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7c736a544947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ver" sheetId="1" r:id="Rd077b53e208f487b"/>
    <x:sheet xmlns:r="http://schemas.openxmlformats.org/officeDocument/2006/relationships" name="Revenue summary" sheetId="2" r:id="R9918b80c8b164a81"/>
    <x:sheet xmlns:r="http://schemas.openxmlformats.org/officeDocument/2006/relationships" name="Income Statement" sheetId="3" r:id="R704c2349e0e44b1b"/>
    <x:sheet xmlns:r="http://schemas.openxmlformats.org/officeDocument/2006/relationships" name="Balance Sheet" sheetId="4" r:id="R5567a0d61223450d"/>
    <x:sheet xmlns:r="http://schemas.openxmlformats.org/officeDocument/2006/relationships" name="Cash Flow Statement" sheetId="5" r:id="Rade9e92c66fe4771"/>
    <x:sheet xmlns:r="http://schemas.openxmlformats.org/officeDocument/2006/relationships" name="Geo" sheetId="6" r:id="R8993c6ce0c794237"/>
    <x:sheet xmlns:r="http://schemas.openxmlformats.org/officeDocument/2006/relationships" name="Share Count" sheetId="7" r:id="R8540a4070e084d91"/>
    <x:sheet xmlns:r="http://schemas.openxmlformats.org/officeDocument/2006/relationships" name="Guidance" sheetId="8" r:id="Rba0231be07c74e52"/>
    <x:sheet xmlns:r="http://schemas.openxmlformats.org/officeDocument/2006/relationships" name="Sources" sheetId="9" r:id="R34128874753c4ce7"/>
    <x:sheet xmlns:r="http://schemas.openxmlformats.org/officeDocument/2006/relationships" name="Inputs" sheetId="10" r:id="R38d64f475f0c4c11"/>
  </x:sheets>
</x:workbook>
</file>

<file path=xl/sharedStrings.xml><?xml version="1.0" encoding="utf-8"?>
<x:sst xmlns:x="http://schemas.openxmlformats.org/spreadsheetml/2006/main">
  <x:si>
    <x:t xml:space="preserve">Progress Software Corporation</x:t>
  </x:si>
  <x:si>
    <x:t xml:space="preserve">Cover — PRGS / NasdaqGS</x:t>
  </x:si>
  <x:si>
    <x:t xml:space="preserve">Company Model — built by Shortcut</x:t>
  </x:si>
  <x:si>
    <x:t xml:space="preserve">$ millions, except per share</x:t>
  </x:si>
  <x:si>
    <x:t xml:space="preserve">Period</x:t>
  </x:si>
  <x:si>
    <x:t xml:space="preserve">3Q25A</x:t>
  </x:si>
  <x:si>
    <x:t xml:space="preserve">4Q25A</x:t>
  </x:si>
  <x:si>
    <x:t xml:space="preserve">FY25A</x:t>
  </x:si>
  <x:si>
    <x:t xml:space="preserve">1Q26A</x:t>
  </x:si>
  <x:si>
    <x:t xml:space="preserve">2Q26A</x:t>
  </x:si>
  <x:si>
    <x:t xml:space="preserve">3Q26E</x:t>
  </x:si>
  <x:si>
    <x:t xml:space="preserve">Period-end date</x:t>
  </x:si>
  <x:si>
    <x:t xml:space="preserve">Days in period</x:t>
  </x:si>
  <x:si>
    <x:t xml:space="preserve">Company / ticker / exchange</x:t>
  </x:si>
  <x:si>
    <x:t xml:space="preserve">Progress Software / PRGS / NasdaqGS</x:t>
  </x:si>
  <x:si>
    <x:t xml:space="preserve">Metric — 3Q26E</x:t>
  </x:si>
  <x:si>
    <x:t xml:space="preserve">Estimate</x:t>
  </x:si>
  <x:si>
    <x:t xml:space="preserve">CapIQ 09/24</x:t>
  </x:si>
  <x:si>
    <x:t xml:space="preserve">Variance</x:t>
  </x:si>
  <x:si>
    <x:t xml:space="preserve">Guidance midpoint</x:t>
  </x:si>
  <x:si>
    <x:t xml:space="preserve">Revenue ($m)</x:t>
  </x:si>
  <x:si>
    <x:t xml:space="preserve">Normalized net income ($m)</x:t>
  </x:si>
  <x:si>
    <x:t xml:space="preserve">Normalized diluted EPS ($)</x:t>
  </x:si>
  <x:si>
    <x:t xml:space="preserve">GAAP net income ($m)</x:t>
  </x:si>
  <x:si>
    <x:t xml:space="preserve">GAAP diluted EPS ($)</x:t>
  </x:si>
  <x:si>
    <x:t xml:space="preserve">P(beat consensus EPS)</x:t>
  </x:si>
  <x:si>
    <x:t xml:space="preserve">Confidence</x:t>
  </x:si>
  <x:si>
    <x:t xml:space="preserve">medium</x:t>
  </x:si>
  <x:si>
    <x:t xml:space="preserve">Fiscal year-end / currency</x:t>
  </x:si>
  <x:si>
    <x:t xml:space="preserve">November 30 / USD per common share</x:t>
  </x:si>
  <x:si>
    <x:t xml:space="preserve">EPS basis</x:t>
  </x:si>
  <x:si>
    <x:t xml:space="preserve">Non-GAAP / normalized diluted</x:t>
  </x:si>
  <x:si>
    <x:t xml:space="preserve">Information cutoff (UTC)</x:t>
  </x:si>
  <x:si>
    <x:t xml:space="preserve">2026-09-29 16:49:46.891847 UTC</x:t>
  </x:si>
  <x:si>
    <x:t xml:space="preserve">Expected result publication</x:t>
  </x:si>
  <x:si>
    <x:t xml:space="preserve">2026-09-30 after market close</x:t>
  </x:si>
  <x:si>
    <x:t xml:space="preserve">CapIQ normalized EPS analyst count</x:t>
  </x:si>
  <x:si>
    <x:t xml:space="preserve">CapIQ GAAP EPS analyst count</x:t>
  </x:si>
  <x:si>
    <x:t xml:space="preserve">Revenue summary — PRGS / NasdaqGS</x:t>
  </x:si>
  <x:si>
    <x:t xml:space="preserve">License</x:t>
  </x:si>
  <x:si>
    <x:t xml:space="preserve">Notes</x:t>
  </x:si>
  <x:si>
    <x:t xml:space="preserve">   Y/Y change</x:t>
  </x:si>
  <x:si>
    <x:t xml:space="preserve">   Absolute sequential change</x:t>
  </x:si>
  <x:si>
    <x:t xml:space="preserve">   % of total revenue</x:t>
  </x:si>
  <x:si>
    <x:t xml:space="preserve">   Organic Y/Y growth</x:t>
  </x:si>
  <x:si>
    <x:t xml:space="preserve">   M&amp;A / scope impact Y/Y</x:t>
  </x:si>
  <x:si>
    <x:t xml:space="preserve">   FX impact Y/Y</x:t>
  </x:si>
  <x:si>
    <x:t xml:space="preserve">   Total Y/Y growth</x:t>
  </x:si>
  <x:si>
    <x:t xml:space="preserve">Maintenance</x:t>
  </x:si>
  <x:si>
    <x:t xml:space="preserve">SaaS</x:t>
  </x:si>
  <x:si>
    <x:t xml:space="preserve">Professional services</x:t>
  </x:si>
  <x:si>
    <x:t xml:space="preserve">Maintenance + SaaS</x:t>
  </x:si>
  <x:si>
    <x:t xml:space="preserve">Service revenue</x:t>
  </x:si>
  <x:si>
    <x:t xml:space="preserve">Total revenue</x:t>
  </x:si>
  <x:si>
    <x:t xml:space="preserve">Segments (one reportable segment)</x:t>
  </x:si>
  <x:si>
    <x:t xml:space="preserve">Consolidated software product segment</x:t>
  </x:si>
  <x:si>
    <x:t xml:space="preserve">Segments less total revenue — check</x:t>
  </x:si>
  <x:si>
    <x:t xml:space="preserve">   Consolidated segment Y/Y change</x:t>
  </x:si>
  <x:si>
    <x:t xml:space="preserve">   Consolidated segment Q/Q change</x:t>
  </x:si>
  <x:si>
    <x:t xml:space="preserve">Annualized recurring revenue (ARR)</x:t>
  </x:si>
  <x:si>
    <x:t xml:space="preserve">   Opening ARR</x:t>
  </x:si>
  <x:si>
    <x:t xml:space="preserve">   Gross additions — unavailable</x:t>
  </x:si>
  <x:si>
    <x:t xml:space="preserve">   Terminations / churn — unavailable</x:t>
  </x:si>
  <x:si>
    <x:t xml:space="preserve">   Net additions</x:t>
  </x:si>
  <x:si>
    <x:t xml:space="preserve">   Closing ARR</x:t>
  </x:si>
  <x:si>
    <x:t xml:space="preserve">   Average ARR</x:t>
  </x:si>
  <x:si>
    <x:t xml:space="preserve">   ARR Y/Y change</x:t>
  </x:si>
  <x:si>
    <x:t xml:space="preserve">   ARR absolute Q/Q change</x:t>
  </x:si>
  <x:si>
    <x:t xml:space="preserve">   Net retention %</x:t>
  </x:si>
  <x:si>
    <x:t xml:space="preserve">      Change (bp)</x:t>
  </x:si>
  <x:si>
    <x:t xml:space="preserve">Customer/subscriber gross additions and churn not separately disclosed in FY25 Form 10-K or May 2026 10-Q; historical unit rates unavailable. Forward component changes are explicit assumptions, not reported units.</x:t>
  </x:si>
  <x:si>
    <x:t xml:space="preserve">   Net retention Y/Y change (bp)</x:t>
  </x:si>
  <x:si>
    <x:t xml:space="preserve">Issuer June 30 release projected +$0.2m FX translation on Q3 revenue; allocation among products and regions is proportional to Q3 FY25 revenue and does not alter total sales.</x:t>
  </x:si>
  <x:si>
    <x:t xml:space="preserve">FORECAST REVENUE DRIVER LADDER</x:t>
  </x:si>
  <x:si>
    <x:t xml:space="preserve">Volume, renewal and delivery deltas are modeled assumptions; issuer does not disclose product-level transaction counts.</x:t>
  </x:si>
  <x:si>
    <x:t xml:space="preserve">License Q2 reported baseline</x:t>
  </x:si>
  <x:si>
    <x:t xml:space="preserve">   Y/Y baseline growth</x:t>
  </x:si>
  <x:si>
    <x:t xml:space="preserve">   Absolute Q/Q baseline change</x:t>
  </x:si>
  <x:si>
    <x:t xml:space="preserve">License volume / renewal / delivery change</x:t>
  </x:si>
  <x:si>
    <x:t xml:space="preserve">   Y/Y absolute change in modeled increment</x:t>
  </x:si>
  <x:si>
    <x:t xml:space="preserve">   Absolute Q/Q change in modeled increment</x:t>
  </x:si>
  <x:si>
    <x:t xml:space="preserve">License modeled Q3 revenue</x:t>
  </x:si>
  <x:si>
    <x:t xml:space="preserve">   Y/Y projected growth</x:t>
  </x:si>
  <x:si>
    <x:t xml:space="preserve">   Absolute Q/Q projected change</x:t>
  </x:si>
  <x:si>
    <x:t xml:space="preserve">Maintenance Q2 reported baseline</x:t>
  </x:si>
  <x:si>
    <x:t xml:space="preserve">Maintenance volume / renewal / delivery change</x:t>
  </x:si>
  <x:si>
    <x:t xml:space="preserve">Maintenance modeled Q3 revenue</x:t>
  </x:si>
  <x:si>
    <x:t xml:space="preserve">SaaS Q2 reported baseline</x:t>
  </x:si>
  <x:si>
    <x:t xml:space="preserve">SaaS volume / renewal / delivery change</x:t>
  </x:si>
  <x:si>
    <x:t xml:space="preserve">SaaS modeled Q3 revenue</x:t>
  </x:si>
  <x:si>
    <x:t xml:space="preserve">Professional services Q2 reported baseline</x:t>
  </x:si>
  <x:si>
    <x:t xml:space="preserve">Professional services volume / renewal / delivery change</x:t>
  </x:si>
  <x:si>
    <x:t xml:space="preserve">Professional services modeled Q3 revenue</x:t>
  </x:si>
  <x:si>
    <x:t xml:space="preserve">ARR METRIC MOVEMENTS</x:t>
  </x:si>
  <x:si>
    <x:t xml:space="preserve">Issuer does not disclose gross customer additions or churn, so those movement rows are intentionally unavailable.</x:t>
  </x:si>
  <x:si>
    <x:t xml:space="preserve">Opening ARR ($m)</x:t>
  </x:si>
  <x:si>
    <x:t xml:space="preserve">   Y/Y change — opening year-ago ARR unavailable</x:t>
  </x:si>
  <x:si>
    <x:t xml:space="preserve">   Q/Q change in opening ARR</x:t>
  </x:si>
  <x:si>
    <x:t xml:space="preserve">Gross ARR additions — unavailable</x:t>
  </x:si>
  <x:si>
    <x:t xml:space="preserve">   Y/Y change — unavailable</x:t>
  </x:si>
  <x:si>
    <x:t xml:space="preserve">   Q/Q change — unavailable</x:t>
  </x:si>
  <x:si>
    <x:t xml:space="preserve">ARR churn / terminations — unavailable</x:t>
  </x:si>
  <x:si>
    <x:t xml:space="preserve">Net ARR additions</x:t>
  </x:si>
  <x:si>
    <x:t xml:space="preserve">   Y/Y change — year-ago net ARR unavailable</x:t>
  </x:si>
  <x:si>
    <x:t xml:space="preserve">   Q/Q change in net additions</x:t>
  </x:si>
  <x:si>
    <x:t xml:space="preserve">Closing ARR</x:t>
  </x:si>
  <x:si>
    <x:t xml:space="preserve">   Q/Q change in closing ARR</x:t>
  </x:si>
  <x:si>
    <x:t xml:space="preserve">Average ARR</x:t>
  </x:si>
  <x:si>
    <x:t xml:space="preserve">   Y/Y change — year-ago opening ARR unavailable</x:t>
  </x:si>
  <x:si>
    <x:t xml:space="preserve">   Q/Q change in average ARR</x:t>
  </x:si>
  <x:si>
    <x:t xml:space="preserve">Net retention rate</x:t>
  </x:si>
  <x:si>
    <x:t xml:space="preserve">   Y/Y change (bp)</x:t>
  </x:si>
  <x:si>
    <x:t xml:space="preserve">   Q/Q change (bp)</x:t>
  </x:si>
  <x:si>
    <x:t xml:space="preserve">CapIQ rounded actual revenue</x:t>
  </x:si>
  <x:si>
    <x:t xml:space="preserve">CapIQ supplied revenue is 2-decimal rounded; SEC as-reported revenue is retained to $0.001m. FY is not an attached CapIQ history observation.</x:t>
  </x:si>
  <x:si>
    <x:t xml:space="preserve">Issuer vs CapIQ rounding — check</x:t>
  </x:si>
  <x:si>
    <x:t xml:space="preserve">Income Statement — PRGS / NasdaqGS</x:t>
  </x:si>
  <x:si>
    <x:t xml:space="preserve">Revenue</x:t>
  </x:si>
  <x:si>
    <x:t xml:space="preserve">   Revenue growth Y/Y</x:t>
  </x:si>
  <x:si>
    <x:t xml:space="preserve">Cost of software licenses</x:t>
  </x:si>
  <x:si>
    <x:t xml:space="preserve">Cost of maintenance, SaaS and services</x:t>
  </x:si>
  <x:si>
    <x:t xml:space="preserve">Amortization of acquired intangibles — COGS</x:t>
  </x:si>
  <x:si>
    <x:t xml:space="preserve">Total cost of revenue</x:t>
  </x:si>
  <x:si>
    <x:t xml:space="preserve">Gross profit</x:t>
  </x:si>
  <x:si>
    <x:t xml:space="preserve">   Gross margin</x:t>
  </x:si>
  <x:si>
    <x:t xml:space="preserve">Sales and marketing</x:t>
  </x:si>
  <x:si>
    <x:t xml:space="preserve">Product development</x:t>
  </x:si>
  <x:si>
    <x:t xml:space="preserve">General and administrative</x:t>
  </x:si>
  <x:si>
    <x:t xml:space="preserve">Amortization of acquired intangibles — OpEx</x:t>
  </x:si>
  <x:si>
    <x:t xml:space="preserve">Cyber vulnerability response expenses</x:t>
  </x:si>
  <x:si>
    <x:t xml:space="preserve">Restructuring expenses</x:t>
  </x:si>
  <x:si>
    <x:t xml:space="preserve">Acquisition-related expenses</x:t>
  </x:si>
  <x:si>
    <x:t xml:space="preserve">Total operating expenses</x:t>
  </x:si>
  <x:si>
    <x:t xml:space="preserve">Operating income</x:t>
  </x:si>
  <x:si>
    <x:t xml:space="preserve">   Operating margin</x:t>
  </x:si>
  <x:si>
    <x:t xml:space="preserve">Other expense, net</x:t>
  </x:si>
  <x:si>
    <x:t xml:space="preserve">Income before taxes</x:t>
  </x:si>
  <x:si>
    <x:t xml:space="preserve">Provision for income taxes</x:t>
  </x:si>
  <x:si>
    <x:t xml:space="preserve">   GAAP effective tax rate</x:t>
  </x:si>
  <x:si>
    <x:t xml:space="preserve">GAAP net income</x:t>
  </x:si>
  <x:si>
    <x:t xml:space="preserve">   GAAP net margin</x:t>
  </x:si>
  <x:si>
    <x:t xml:space="preserve">Basic earnings per share</x:t>
  </x:si>
  <x:si>
    <x:t xml:space="preserve">GAAP diluted earnings per share</x:t>
  </x:si>
  <x:si>
    <x:t xml:space="preserve">Basic weighted shares (millions)</x:t>
  </x:si>
  <x:si>
    <x:t xml:space="preserve">Diluted weighted shares (millions)</x:t>
  </x:si>
  <x:si>
    <x:t xml:space="preserve">GAAP → normalized net income reconciliation</x:t>
  </x:si>
  <x:si>
    <x:t xml:space="preserve">Add: acquired intangible amortization</x:t>
  </x:si>
  <x:si>
    <x:t xml:space="preserve">Add: stock-based compensation</x:t>
  </x:si>
  <x:si>
    <x:t xml:space="preserve">Add: restructuring</x:t>
  </x:si>
  <x:si>
    <x:t xml:space="preserve">Add: acquisition-related expenses</x:t>
  </x:si>
  <x:si>
    <x:t xml:space="preserve">Add: cyber vulnerability response</x:t>
  </x:si>
  <x:si>
    <x:t xml:space="preserve">Less: non-GAAP income-tax adjustment</x:t>
  </x:si>
  <x:si>
    <x:t xml:space="preserve">Normalized net income</x:t>
  </x:si>
  <x:si>
    <x:t xml:space="preserve">Normalized diluted EPS (consensus basis)</x:t>
  </x:si>
  <x:si>
    <x:t xml:space="preserve">Reported non-GAAP net income less bridge</x:t>
  </x:si>
  <x:si>
    <x:t xml:space="preserve">EPS × shares less normalized net income</x:t>
  </x:si>
  <x:si>
    <x:t xml:space="preserve">SUPPLEMENTAL OPERATING-DRIVER CHANGE LADDER</x:t>
  </x:si>
  <x:si>
    <x:t xml:space="preserve">License cost</x:t>
  </x:si>
  <x:si>
    <x:t xml:space="preserve">   Absolute Q/Q change</x:t>
  </x:si>
  <x:si>
    <x:t xml:space="preserve">Services cost</x:t>
  </x:si>
  <x:si>
    <x:t xml:space="preserve">Cost-of-sales amortization</x:t>
  </x:si>
  <x:si>
    <x:t xml:space="preserve">Operating intangible amortization</x:t>
  </x:si>
  <x:si>
    <x:t xml:space="preserve">Cyber vulnerability response</x:t>
  </x:si>
  <x:si>
    <x:t xml:space="preserve">Restructuring</x:t>
  </x:si>
  <x:si>
    <x:t xml:space="preserve">Acquisition-related expense</x:t>
  </x:si>
  <x:si>
    <x:t xml:space="preserve">Gross margin</x:t>
  </x:si>
  <x:si>
    <x:t xml:space="preserve">   Y/Y change (basis points)</x:t>
  </x:si>
  <x:si>
    <x:t xml:space="preserve">   Q/Q change (basis points)</x:t>
  </x:si>
  <x:si>
    <x:t xml:space="preserve">Operating margin</x:t>
  </x:si>
  <x:si>
    <x:t xml:space="preserve">GAAP tax rate</x:t>
  </x:si>
  <x:si>
    <x:t xml:space="preserve">Net income margin</x:t>
  </x:si>
  <x:si>
    <x:t xml:space="preserve">Attached history check — 2-decimal EPS actuals</x:t>
  </x:si>
  <x:si>
    <x:t xml:space="preserve">CapIQ normalized diluted EPS</x:t>
  </x:si>
  <x:si>
    <x:t xml:space="preserve">CapIQ GAAP diluted EPS</x:t>
  </x:si>
  <x:si>
    <x:t xml:space="preserve">Normalized EPS rounded match — check</x:t>
  </x:si>
  <x:si>
    <x:t xml:space="preserve">GAAP EPS rounded match — check</x:t>
  </x:si>
  <x:si>
    <x:t xml:space="preserve">Balance Sheet — PRGS / NasdaqGS</x:t>
  </x:si>
  <x:si>
    <x:t xml:space="preserve">Cash and cash equivalents</x:t>
  </x:si>
  <x:si>
    <x:t xml:space="preserve">Accounts receivable</x:t>
  </x:si>
  <x:si>
    <x:t xml:space="preserve">Unbilled receivables — current</x:t>
  </x:si>
  <x:si>
    <x:t xml:space="preserve">Other current assets</x:t>
  </x:si>
  <x:si>
    <x:t xml:space="preserve">Total current assets</x:t>
  </x:si>
  <x:si>
    <x:t xml:space="preserve">Unbilled receivables — long-term</x:t>
  </x:si>
  <x:si>
    <x:t xml:space="preserve">Property and equipment, net</x:t>
  </x:si>
  <x:si>
    <x:t xml:space="preserve">Intangible assets, net</x:t>
  </x:si>
  <x:si>
    <x:t xml:space="preserve">Goodwill</x:t>
  </x:si>
  <x:si>
    <x:t xml:space="preserve">Lease right-of-use assets</x:t>
  </x:si>
  <x:si>
    <x:t xml:space="preserve">Deferred tax assets</x:t>
  </x:si>
  <x:si>
    <x:t xml:space="preserve">Other non-current assets</x:t>
  </x:si>
  <x:si>
    <x:t xml:space="preserve">Total assets</x:t>
  </x:si>
  <x:si>
    <x:t xml:space="preserve">Accounts payable</x:t>
  </x:si>
  <x:si>
    <x:t xml:space="preserve">Accrued compensation</x:t>
  </x:si>
  <x:si>
    <x:t xml:space="preserve">Deferred revenue — current</x:t>
  </x:si>
  <x:si>
    <x:t xml:space="preserve">Convertible senior notes — current</x:t>
  </x:si>
  <x:si>
    <x:t xml:space="preserve">Lease liabilities — current</x:t>
  </x:si>
  <x:si>
    <x:t xml:space="preserve">Other current liabilities</x:t>
  </x:si>
  <x:si>
    <x:t xml:space="preserve">Total current liabilities</x:t>
  </x:si>
  <x:si>
    <x:t xml:space="preserve">Long-term revolving debt</x:t>
  </x:si>
  <x:si>
    <x:t xml:space="preserve">Convertible senior notes — long-term</x:t>
  </x:si>
  <x:si>
    <x:t xml:space="preserve">Lease liabilities — long-term</x:t>
  </x:si>
  <x:si>
    <x:t xml:space="preserve">Deferred revenue — long-term</x:t>
  </x:si>
  <x:si>
    <x:t xml:space="preserve">Deferred income tax liabilities</x:t>
  </x:si>
  <x:si>
    <x:t xml:space="preserve">Other long-term liabilities</x:t>
  </x:si>
  <x:si>
    <x:t xml:space="preserve">Total liabilities</x:t>
  </x:si>
  <x:si>
    <x:t xml:space="preserve">Total stockholders equity</x:t>
  </x:si>
  <x:si>
    <x:t xml:space="preserve">Assets − liabilities − equity (check)</x:t>
  </x:si>
  <x:si>
    <x:t xml:space="preserve">Cash tie to cash-flow statement</x:t>
  </x:si>
  <x:si>
    <x:t xml:space="preserve">Forecast operating cash from NI / noncash / WC</x:t>
  </x:si>
  <x:si>
    <x:t xml:space="preserve">Forecast investing + financing + FX cash</x:t>
  </x:si>
  <x:si>
    <x:t xml:space="preserve">Cash Flow Statement — PRGS / NasdaqGS</x:t>
  </x:si>
  <x:si>
    <x:t xml:space="preserve">Depreciation of property and equipment</x:t>
  </x:si>
  <x:si>
    <x:t xml:space="preserve">Amortization of acquired intangible assets</x:t>
  </x:si>
  <x:si>
    <x:t xml:space="preserve">Stock-based compensation</x:t>
  </x:si>
  <x:si>
    <x:t xml:space="preserve">Other cash operating and working-capital change</x:t>
  </x:si>
  <x:si>
    <x:t xml:space="preserve">Cash from operating activities</x:t>
  </x:si>
  <x:si>
    <x:t xml:space="preserve">Property and equipment purchases</x:t>
  </x:si>
  <x:si>
    <x:t xml:space="preserve">Equity plan proceeds</x:t>
  </x:si>
  <x:si>
    <x:t xml:space="preserve">Tax withholding on net-share settlement</x:t>
  </x:si>
  <x:si>
    <x:t xml:space="preserve">Share repurchases</x:t>
  </x:si>
  <x:si>
    <x:t xml:space="preserve">Net borrowing / (repayment)</x:t>
  </x:si>
  <x:si>
    <x:t xml:space="preserve">Other financing items</x:t>
  </x:si>
  <x:si>
    <x:t xml:space="preserve">Cash from financing activities</x:t>
  </x:si>
  <x:si>
    <x:t xml:space="preserve">Acquisitions / other investing</x:t>
  </x:si>
  <x:si>
    <x:t xml:space="preserve">Cash from investing activities</x:t>
  </x:si>
  <x:si>
    <x:t xml:space="preserve">FX effect on cash</x:t>
  </x:si>
  <x:si>
    <x:t xml:space="preserve">Change in cash</x:t>
  </x:si>
  <x:si>
    <x:t xml:space="preserve">Beginning cash balance</x:t>
  </x:si>
  <x:si>
    <x:t xml:space="preserve">Ending cash balance</x:t>
  </x:si>
  <x:si>
    <x:t xml:space="preserve">Ending cash less balance-sheet cash (check)</x:t>
  </x:si>
  <x:si>
    <x:t xml:space="preserve">Geo — PRGS / NasdaqGS</x:t>
  </x:si>
  <x:si>
    <x:t xml:space="preserve">North America</x:t>
  </x:si>
  <x:si>
    <x:t xml:space="preserve">   % of total</x:t>
  </x:si>
  <x:si>
    <x:t xml:space="preserve">   Organic Y/Y</x:t>
  </x:si>
  <x:si>
    <x:t xml:space="preserve">   FX impact Y/Y (scope in bridge below)</x:t>
  </x:si>
  <x:si>
    <x:t xml:space="preserve">Europe / Middle East / Africa</x:t>
  </x:si>
  <x:si>
    <x:t xml:space="preserve">Latin America</x:t>
  </x:si>
  <x:si>
    <x:t xml:space="preserve">Asia Pacific</x:t>
  </x:si>
  <x:si>
    <x:t xml:space="preserve">Total regional revenue</x:t>
  </x:si>
  <x:si>
    <x:t xml:space="preserve">Geography less consolidated revenue — check</x:t>
  </x:si>
  <x:si>
    <x:t xml:space="preserve">Geographic growth decomposition — organic / scope / FX</x:t>
  </x:si>
  <x:si>
    <x:t xml:space="preserve">North America revenue</x:t>
  </x:si>
  <x:si>
    <x:t xml:space="preserve">   Acquisition scope Y/Y</x:t>
  </x:si>
  <x:si>
    <x:t xml:space="preserve">   FX Y/Y</x:t>
  </x:si>
  <x:si>
    <x:t xml:space="preserve">   Total Y/Y</x:t>
  </x:si>
  <x:si>
    <x:t xml:space="preserve">EMEA revenue</x:t>
  </x:si>
  <x:si>
    <x:t xml:space="preserve">Latin America revenue</x:t>
  </x:si>
  <x:si>
    <x:t xml:space="preserve">Asia Pacific revenue</x:t>
  </x:si>
  <x:si>
    <x:t xml:space="preserve">Share Count — PRGS / NasdaqGS</x:t>
  </x:si>
  <x:si>
    <x:t xml:space="preserve">Earnings per-share denominators</x:t>
  </x:si>
  <x:si>
    <x:t xml:space="preserve">Weighted-average basic shares (million)</x:t>
  </x:si>
  <x:si>
    <x:t xml:space="preserve">Weighted-average diluted shares (million)</x:t>
  </x:si>
  <x:si>
    <x:t xml:space="preserve">Dilutive share-based instruments</x:t>
  </x:si>
  <x:si>
    <x:t xml:space="preserve">Diluted shares Q/Q change</x:t>
  </x:si>
  <x:si>
    <x:t xml:space="preserve">End-of-quarter shares outstanding</x:t>
  </x:si>
  <x:si>
    <x:t xml:space="preserve">Share repurchases (cash; positive $m)</x:t>
  </x:si>
  <x:si>
    <x:t xml:space="preserve">Gross share-plan issuance (cash $m)</x:t>
  </x:si>
  <x:si>
    <x:t xml:space="preserve">Net-share settlement withholding (cash; positive $m)</x:t>
  </x:si>
  <x:si>
    <x:t xml:space="preserve">Diluted EPS denominator used</x:t>
  </x:si>
  <x:si>
    <x:t xml:space="preserve">EPS denominator less income statement shares</x:t>
  </x:si>
  <x:si>
    <x:t xml:space="preserve">Guidance — PRGS / NasdaqGS</x:t>
  </x:si>
  <x:si>
    <x:t xml:space="preserve">Metric</x:t>
  </x:si>
  <x:si>
    <x:t xml:space="preserve">Issued</x:t>
  </x:si>
  <x:si>
    <x:t xml:space="preserve">Low</x:t>
  </x:si>
  <x:si>
    <x:t xml:space="preserve">High</x:t>
  </x:si>
  <x:si>
    <x:t xml:space="preserve">Midpoint</x:t>
  </x:si>
  <x:si>
    <x:t xml:space="preserve">Reported actual</x:t>
  </x:si>
  <x:si>
    <x:t xml:space="preserve">Beat / miss</x:t>
  </x:si>
  <x:si>
    <x:t xml:space="preserve">Units</x:t>
  </x:si>
  <x:si>
    <x:t xml:space="preserve">3Q26</x:t>
  </x:si>
  <x:si>
    <x:t xml:space="preserve">USD millions</x:t>
  </x:si>
  <x:si>
    <x:t xml:space="preserve">GAAP diluted EPS</x:t>
  </x:si>
  <x:si>
    <x:t xml:space="preserve">USD/share</x:t>
  </x:si>
  <x:si>
    <x:t xml:space="preserve">Normalized diluted EPS</x:t>
  </x:si>
  <x:si>
    <x:t xml:space="preserve">FY26</x:t>
  </x:si>
  <x:si>
    <x:t xml:space="preserve">GAAP operating margin</x:t>
  </x:si>
  <x:si>
    <x:t xml:space="preserve">%</x:t>
  </x:si>
  <x:si>
    <x:t xml:space="preserve">Non-GAAP operating margin</x:t>
  </x:si>
  <x:si>
    <x:t xml:space="preserve">Cash from operations</x:t>
  </x:si>
  <x:si>
    <x:t xml:space="preserve">Adjusted free cash flow</x:t>
  </x:si>
  <x:si>
    <x:t xml:space="preserve">Unlevered free cash flow</x:t>
  </x:si>
  <x:si>
    <x:t xml:space="preserve">2Q26</x:t>
  </x:si>
  <x:si>
    <x:t xml:space="preserve">GAAP effective tax rate</x:t>
  </x:si>
  <x:si>
    <x:t xml:space="preserve">Non-GAAP effective tax rate</x:t>
  </x:si>
  <x:si>
    <x:t xml:space="preserve">Jul 22: Q3 revenue and non-GAAP EPS expected within or above high end of Jun 30 guidance; Domo transaction pending.</x:t>
  </x:si>
  <x:si>
    <x:t xml:space="preserve">1Q26</x:t>
  </x:si>
  <x:si>
    <x:t xml:space="preserve">FY26 GAAP operating income</x:t>
  </x:si>
  <x:si>
    <x:t xml:space="preserve">FY26 non-GAAP operating income</x:t>
  </x:si>
  <x:si>
    <x:t xml:space="preserve">FY26 GAAP net income</x:t>
  </x:si>
  <x:si>
    <x:t xml:space="preserve">FY26 normalized net income</x:t>
  </x:si>
  <x:si>
    <x:t xml:space="preserve">FY26 guided diluted shares</x:t>
  </x:si>
  <x:si>
    <x:t xml:space="preserve">million shares</x:t>
  </x:si>
  <x:si>
    <x:t xml:space="preserve">Q3 EPS addback: acquisition costs</x:t>
  </x:si>
  <x:si>
    <x:t xml:space="preserve">Q3 EPS addback: stock compensation</x:t>
  </x:si>
  <x:si>
    <x:t xml:space="preserve">Q3 EPS addback: intangible amortization</x:t>
  </x:si>
  <x:si>
    <x:t xml:space="preserve">Q3 EPS addback: cyber response</x:t>
  </x:si>
  <x:si>
    <x:t xml:space="preserve">Q3 EPS income tax adjustment</x:t>
  </x:si>
  <x:si>
    <x:t xml:space="preserve">Sources — PRGS / NasdaqGS</x:t>
  </x:si>
  <x:si>
    <x:t xml:space="preserve">ID</x:t>
  </x:si>
  <x:si>
    <x:t xml:space="preserve">Published</x:t>
  </x:si>
  <x:si>
    <x:t xml:space="preserve">Publisher</x:t>
  </x:si>
  <x:si>
    <x:t xml:space="preserve">URL / supplied file</x:t>
  </x:si>
  <x:si>
    <x:t xml:space="preserve">Model input / what it supports</x:t>
  </x:si>
  <x:si>
    <x:t xml:space="preserve">S01</x:t>
  </x:si>
  <x:si>
    <x:t xml:space="preserve">SEC issuer 10-Q</x:t>
  </x:si>
  <x:si>
    <x:t xml:space="preserve">https://www.sec.gov/Archives/edgar/data/876167/000087616726000078/prgs-20260531.htm</x:t>
  </x:si>
  <x:si>
    <x:t xml:space="preserve">FY26 Q2 GAAP, balance, operating cash, single segment</x:t>
  </x:si>
  <x:si>
    <x:t xml:space="preserve">S02</x:t>
  </x:si>
  <x:si>
    <x:t xml:space="preserve">https://www.sec.gov/Archives/edgar/data/876167/000087616726000051/prgs-20260228.htm</x:t>
  </x:si>
  <x:si>
    <x:t xml:space="preserve">FY26 Q1 GAAP, balance, operating cash</x:t>
  </x:si>
  <x:si>
    <x:t xml:space="preserve">S03</x:t>
  </x:si>
  <x:si>
    <x:t xml:space="preserve">SEC issuer FY25 10-K</x:t>
  </x:si>
  <x:si>
    <x:t xml:space="preserve">https://www.sec.gov/Archives/edgar/data/876167/000087616726000008/prgs-20251130.htm</x:t>
  </x:si>
  <x:si>
    <x:t xml:space="preserve">FY25 GAAP annual, BS, CF, geography, one segment</x:t>
  </x:si>
  <x:si>
    <x:t xml:space="preserve">S04</x:t>
  </x:si>
  <x:si>
    <x:t xml:space="preserve">SEC issuer Q3 2025 10-Q</x:t>
  </x:si>
  <x:si>
    <x:t xml:space="preserve">https://www.sec.gov/Archives/edgar/data/876167/000087616725000143/prgs-20250831.htm</x:t>
  </x:si>
  <x:si>
    <x:t xml:space="preserve">Year-ago quarter GAAP, BS and nine-month CF</x:t>
  </x:si>
  <x:si>
    <x:t xml:space="preserve">S05</x:t>
  </x:si>
  <x:si>
    <x:t xml:space="preserve">SEC issuer earnings release</x:t>
  </x:si>
  <x:si>
    <x:t xml:space="preserve">https://www.sec.gov/Archives/edgar/data/876167/000087616726000077/exhibit991-q22026earningsr.htm</x:t>
  </x:si>
  <x:si>
    <x:t xml:space="preserve">Q2 FY26 bridge and Q3/FY26 management guidance</x:t>
  </x:si>
  <x:si>
    <x:t xml:space="preserve">S06</x:t>
  </x:si>
  <x:si>
    <x:t xml:space="preserve">Issuer Q1 earnings release</x:t>
  </x:si>
  <x:si>
    <x:t xml:space="preserve">https://investors.progress.com/static-files/89244c86-71a1-4062-b872-495353fa8a30</x:t>
  </x:si>
  <x:si>
    <x:t xml:space="preserve">Q1 FY26 EPS normalization and Q2 prior guidance</x:t>
  </x:si>
  <x:si>
    <x:t xml:space="preserve">S07</x:t>
  </x:si>
  <x:si>
    <x:t xml:space="preserve">SEC issuer Q4 earnings release</x:t>
  </x:si>
  <x:si>
    <x:t xml:space="preserve">https://www.sec.gov/Archives/edgar/data/876167/000087616726000007/exhibit991-q42025earningsr.htm</x:t>
  </x:si>
  <x:si>
    <x:t xml:space="preserve">Q4 &amp; FY25 GAAP-to-normalized bridges</x:t>
  </x:si>
  <x:si>
    <x:t xml:space="preserve">S08</x:t>
  </x:si>
  <x:si>
    <x:t xml:space="preserve">SEC issuer Q3 earnings release</x:t>
  </x:si>
  <x:si>
    <x:t xml:space="preserve">https://www.sec.gov/Archives/edgar/data/876167/000087616725000142/exhibit991-q32025earningsr.htm</x:t>
  </x:si>
  <x:si>
    <x:t xml:space="preserve">Q3 FY25 GAAP-to-normalized bridge</x:t>
  </x:si>
  <x:si>
    <x:t xml:space="preserve">S09</x:t>
  </x:si>
  <x:si>
    <x:t xml:space="preserve">SEC earnings supplemental deck</x:t>
  </x:si>
  <x:si>
    <x:t xml:space="preserve">https://www.sec.gov/Archives/edgar/data/876167/000087616726000077/q22026supplementaldeck.htm</x:t>
  </x:si>
  <x:si>
    <x:t xml:space="preserve">Quarterly license/maintenance/SaaS/services and four geographic regions</x:t>
  </x:si>
  <x:si>
    <x:t xml:space="preserve">S10</x:t>
  </x:si>
  <x:si>
    <x:t xml:space="preserve">Progress Software press release</x:t>
  </x:si>
  <x:si>
    <x:t xml:space="preserve">https://investors.progress.com/news-releases/news-release-details/progress-software-acquire-domos-ai-and-data-platform-business</x:t>
  </x:si>
  <x:si>
    <x:t xml:space="preserve">Q3 revenue/EPS within or above prior guidance high; Domo pending</x:t>
  </x:si>
  <x:si>
    <x:t xml:space="preserve">S11</x:t>
  </x:si>
  <x:si>
    <x:t xml:space="preserve">GlobeNewswire issuer announcement</x:t>
  </x:si>
  <x:si>
    <x:t xml:space="preserve">https://www.globenewswire.com/news-release/2026/09/16/3363233/0/en/progress-software-to-report-third-quarter-2026-financial-results-on-september-30-2026.html</x:t>
  </x:si>
  <x:si>
    <x:t xml:space="preserve">Expected Q3 announcement September 30 after close; Russell 2000</x:t>
  </x:si>
  <x:si>
    <x:t xml:space="preserve">S12</x:t>
  </x:si>
  <x:si>
    <x:t xml:space="preserve">Stock Analysis / Nasdaq Data Link</x:t>
  </x:si>
  <x:si>
    <x:t xml:space="preserve">https://stockanalysis.com/stocks/prgs/market-cap/</x:t>
  </x:si>
  <x:si>
    <x:t xml:space="preserve">Dated market cap $1.61bn, small-cap cohort</x:t>
  </x:si>
  <x:si>
    <x:t xml:space="preserve">S13</x:t>
  </x:si>
  <x:si>
    <x:t xml:space="preserve">Drillr pre-release preview</x:t>
  </x:si>
  <x:si>
    <x:t xml:space="preserve">https://drillr.ai/article/prgs-progress-software-q3-2026-earnings-preview-license-revenue-domo</x:t>
  </x:si>
  <x:si>
    <x:t xml:space="preserve">Countercase Q2 license timing versus ARR +2%</x:t>
  </x:si>
  <x:si>
    <x:t xml:space="preserve">S14</x:t>
  </x:si>
  <x:si>
    <x:t xml:space="preserve">Q2 earnings call transcript</x:t>
  </x:si>
  <x:si>
    <x:t xml:space="preserve">https://stockanalysis.com/stocks/prgs/transcripts/626725-q2-2026/</x:t>
  </x:si>
  <x:si>
    <x:t xml:space="preserve">Management FY26 and Q3 outlook, ARR and buybacks</x:t>
  </x:si>
  <x:si>
    <x:t xml:space="preserve">I01</x:t>
  </x:si>
  <x:si>
    <x:t xml:space="preserve">2026-09-24 date only</x:t>
  </x:si>
  <x:si>
    <x:t xml:space="preserve">S&amp;P Capital IQ</x:t>
  </x:si>
  <x:si>
    <x:t xml:space="preserve">PRGS_consensus.json</x:t>
  </x:si>
  <x:si>
    <x:t xml:space="preserve">Full summary row Inputs!A19:B67; SHA256 c2bba6c20e9011bebeb214a1a7bfcc6ed7fe7b2397cac29941cb9639db46efb5</x:t>
  </x:si>
  <x:si>
    <x:t xml:space="preserve">I02</x:t>
  </x:si>
  <x:si>
    <x:t xml:space="preserve">2026-06-30 latest</x:t>
  </x:si>
  <x:si>
    <x:t xml:space="preserve">PRGS_history.csv</x:t>
  </x:si>
  <x:si>
    <x:t xml:space="preserve">Six prior pairs Inputs!A10:I16; SHA256 8f2a83ebb5c33552dda97a307c8df14ff1563f73eef13eb1bfbf5e93fa662fff</x:t>
  </x:si>
  <x:si>
    <x:t xml:space="preserve">SCOPE</x:t>
  </x:si>
  <x:si>
    <x:t xml:space="preserve">SEC 10-Q, Note 11</x:t>
  </x:si>
  <x:si>
    <x:t xml:space="preserve">No Segment - tab: exactly one operating/reportable software segment</x:t>
  </x:si>
  <x:si>
    <x:t xml:space="preserve">Forecast source boundary</x:t>
  </x:si>
  <x:si>
    <x:t xml:space="preserve">Information cutoff: 2026-09-29 16:49:46.891847 UTC</x:t>
  </x:si>
  <x:si>
    <x:t xml:space="preserve">No target-quarter results used. Q3 actual cash, customer adds, geography FX unavailable.</x:t>
  </x:si>
  <x:si>
    <x:t xml:space="preserve">CAUTION</x:t>
  </x:si>
  <x:si>
    <x:t xml:space="preserve">SEC amended 8-K</x:t>
  </x:si>
  <x:si>
    <x:t xml:space="preserve">https://www.sec.gov/Archives/edgar/data/876167/000087616725000147/prgs-20250929.htm</x:t>
  </x:si>
  <x:si>
    <x:t xml:space="preserve">Q3 FY25 SaaS slide typo corrected; use Q2 FY26 deck/SEC 10-Q figures</x:t>
  </x:si>
  <x:si>
    <x:t xml:space="preserve">Inputs — PRGS / NasdaqGS</x:t>
  </x:si>
  <x:si>
    <x:t xml:space="preserve">S&amp;P CAPITAL IQ — SIX REPORTED QUARTERS</x:t>
  </x:si>
  <x:si>
    <x:t xml:space="preserve">period_end_date</x:t>
  </x:si>
  <x:si>
    <x:t xml:space="preserve">eps_normalized_consensus</x:t>
  </x:si>
  <x:si>
    <x:t xml:space="preserve">eps_normalized_actual</x:t>
  </x:si>
  <x:si>
    <x:t xml:space="preserve">eps_gaap_consensus</x:t>
  </x:si>
  <x:si>
    <x:t xml:space="preserve">eps_gaap_actual</x:t>
  </x:si>
  <x:si>
    <x:t xml:space="preserve">revenue_m_consensus</x:t>
  </x:si>
  <x:si>
    <x:t xml:space="preserve">revenue_m_actual</x:t>
  </x:si>
  <x:si>
    <x:t xml:space="preserve">EPS surprise USD/share</x:t>
  </x:si>
  <x:si>
    <x:t xml:space="preserve">CAPIQ SUMMARY ROW — captured 2026-09-24</x:t>
  </x:si>
  <x:si>
    <x:t xml:space="preserve">value</x:t>
  </x:si>
  <x:si>
    <x:t xml:space="preserve">Source Notes</x:t>
  </x:si>
  <x:si>
    <x:t xml:space="preserve">ticker</x:t>
  </x:si>
  <x:si>
    <x:t xml:space="preserve">PRGS</x:t>
  </x:si>
  <x:si>
    <x:t xml:space="preserve">company</x:t>
  </x:si>
  <x:si>
    <x:t xml:space="preserve">exchange_ticker</x:t>
  </x:si>
  <x:si>
    <x:t xml:space="preserve">NasdaqGS:PRGS</x:t>
  </x:si>
  <x:si>
    <x:t xml:space="preserve">capiq_company_id</x:t>
  </x:si>
  <x:si>
    <x:t xml:space="preserve">analyst_count</x:t>
  </x:si>
  <x:si>
    <x:t xml:space="preserve">fiscal_year_end</x:t>
  </x:si>
  <x:si>
    <x:t xml:space="preserve">Nov-30</x:t>
  </x:si>
  <x:si>
    <x:t xml:space="preserve">forward_quarter_label</x:t>
  </x:si>
  <x:si>
    <x:t xml:space="preserve">FQ3 2026 - Aug 2026</x:t>
  </x:si>
  <x:si>
    <x:t xml:space="preserve">expected_report_date</x:t>
  </x:si>
  <x:si>
    <x:t xml:space="preserve">eps_normalized_mean</x:t>
  </x:si>
  <x:si>
    <x:t xml:space="preserve">eps_normalized_median</x:t>
  </x:si>
  <x:si>
    <x:t xml:space="preserve">eps_normalized_high</x:t>
  </x:si>
  <x:si>
    <x:t xml:space="preserve">eps_normalized_low</x:t>
  </x:si>
  <x:si>
    <x:t xml:space="preserve">eps_normalized_std_dev</x:t>
  </x:si>
  <x:si>
    <x:t xml:space="preserve">eps_normalized_n_est</x:t>
  </x:si>
  <x:si>
    <x:t xml:space="preserve">eps_normalized_guidance</x:t>
  </x:si>
  <x:si>
    <x:t xml:space="preserve">eps_normalized_guidance_low</x:t>
  </x:si>
  <x:si>
    <x:t xml:space="preserve">eps_normalized_guidance_high</x:t>
  </x:si>
  <x:si>
    <x:t xml:space="preserve">eps_gaap_mean</x:t>
  </x:si>
  <x:si>
    <x:t xml:space="preserve">eps_gaap_median</x:t>
  </x:si>
  <x:si>
    <x:t xml:space="preserve">eps_gaap_high</x:t>
  </x:si>
  <x:si>
    <x:t xml:space="preserve">eps_gaap_low</x:t>
  </x:si>
  <x:si>
    <x:t xml:space="preserve">eps_gaap_std_dev</x:t>
  </x:si>
  <x:si>
    <x:t xml:space="preserve">eps_gaap_n_est</x:t>
  </x:si>
  <x:si>
    <x:t xml:space="preserve">eps_gaap_guidance_low</x:t>
  </x:si>
  <x:si>
    <x:t xml:space="preserve">eps_gaap_guidance_high</x:t>
  </x:si>
  <x:si>
    <x:t xml:space="preserve">revenue_m_mean</x:t>
  </x:si>
  <x:si>
    <x:t xml:space="preserve">revenue_m_median</x:t>
  </x:si>
  <x:si>
    <x:t xml:space="preserve">revenue_m_high</x:t>
  </x:si>
  <x:si>
    <x:t xml:space="preserve">revenue_m_low</x:t>
  </x:si>
  <x:si>
    <x:t xml:space="preserve">revenue_m_std_dev</x:t>
  </x:si>
  <x:si>
    <x:t xml:space="preserve">revenue_m_n_est</x:t>
  </x:si>
  <x:si>
    <x:t xml:space="preserve">revenue_m_guidance_low</x:t>
  </x:si>
  <x:si>
    <x:t xml:space="preserve">revenue_m_guidance_high</x:t>
  </x:si>
  <x:si>
    <x:t xml:space="preserve">ebitda_m_mean</x:t>
  </x:si>
  <x:si>
    <x:t xml:space="preserve">ebit_m_mean</x:t>
  </x:si>
  <x:si>
    <x:t xml:space="preserve">net_income_excl_excep_m_mean</x:t>
  </x:si>
  <x:si>
    <x:t xml:space="preserve">net_income_gaap_m_mean</x:t>
  </x:si>
  <x:si>
    <x:t xml:space="preserve">gross_margin_pct_mean</x:t>
  </x:si>
  <x:si>
    <x:t xml:space="preserve">CapIQ supplied 85.57 percentage points; underlying value preserved.</x:t>
  </x:si>
  <x:si>
    <x:t xml:space="preserve">effective_tax_rate_pct_mean</x:t>
  </x:si>
  <x:si>
    <x:t xml:space="preserve">CapIQ supplied 20.0 percentage points; underlying value preserved.</x:t>
  </x:si>
  <x:si>
    <x:t xml:space="preserve">capex_m_mean</x:t>
  </x:si>
  <x:si>
    <x:t xml:space="preserve">fcf_m_mean</x:t>
  </x:si>
  <x:si>
    <x:t xml:space="preserve">cfo_m_mean</x:t>
  </x:si>
  <x:si>
    <x:t xml:space="preserve">d_and_a_m_mean</x:t>
  </x:si>
  <x:si>
    <x:t xml:space="preserve">recommendation</x:t>
  </x:si>
  <x:si>
    <x:t xml:space="preserve">Buy</x:t>
  </x:si>
  <x:si>
    <x:t xml:space="preserve">recommendation_score</x:t>
  </x:si>
  <x:si>
    <x:t xml:space="preserve">last_close_price</x:t>
  </x:si>
  <x:si>
    <x:t xml:space="preserve">Notes (full original text: J67)</x:t>
  </x:si>
  <x:si>
    <x:t xml:space="preserve">Results after close Sep 30. 52wk range 47.37/23.82. FY2026 guidance EPSn 6.09/6.21, revenue 990.00/1002.00.</x:t>
  </x:si>
  <x:si>
    <x:t xml:space="preserve">History CSV SHA256</x:t>
  </x:si>
  <x:si>
    <x:t xml:space="preserve">8f2a83ebb5c33552dda97a307c8df14ff1563f73eef13eb1bfbf5e93fa662fff</x:t>
  </x:si>
  <x:si>
    <x:t xml:space="preserve">Consensus JSON SHA256</x:t>
  </x:si>
  <x:si>
    <x:t xml:space="preserve">c2bba6c20e9011bebeb214a1a7bfcc6ed7fe7b2397cac29941cb9639db46efb5</x:t>
  </x:si>
  <x:si>
    <x:t xml:space="preserve">As of date (date only)</x:t>
  </x:si>
  <x:si>
    <x:t xml:space="preserve">Market cap USD millions 2026-09-25</x:t>
  </x:si>
  <x:si>
    <x:t xml:space="preserve">Small-cap cohort prior</x:t>
  </x:si>
  <x:si>
    <x:t xml:space="preserve">Pseudo-observations</x:t>
  </x:si>
  <x:si>
    <x:t xml:space="preserve">Historical strict normalized beats</x:t>
  </x:si>
  <x:si>
    <x:t xml:space="preserve">Six valid prior observations</x:t>
  </x:si>
  <x:si>
    <x:t xml:space="preserve">Size-aware starting probability</x:t>
  </x:si>
  <x:si>
    <x:t xml:space="preserve">Quarter-specific probability adjustment</x:t>
  </x:si>
  <x:si>
    <x:t xml:space="preserve">Final P(beat normalized EPS)</x:t>
  </x:si>
  <x:si>
    <x:t xml:space="preserve">License revenue (issuer)</x:t>
  </x:si>
  <x:si>
    <x:t xml:space="preserve">Software licenses</x:t>
  </x:si>
  <x:si>
    <x:t xml:space="preserve">Maintenance revenue (issuer)</x:t>
  </x:si>
  <x:si>
    <x:t xml:space="preserve">SaaS revenue (issuer)</x:t>
  </x:si>
  <x:si>
    <x:t xml:space="preserve">Professional services revenue (issuer)</x:t>
  </x:si>
  <x:si>
    <x:t xml:space="preserve">Maintenance + SaaS subtotal</x:t>
  </x:si>
  <x:si>
    <x:t xml:space="preserve">Maintenance, SaaS, and professional services</x:t>
  </x:si>
  <x:si>
    <x:t xml:space="preserve">Cost of maintenance, SaaS, and professional services</x:t>
  </x:si>
  <x:si>
    <x:t xml:space="preserve">Amortization of acquired intangibles</x:t>
  </x:si>
  <x:si>
    <x:t xml:space="preserve">Operating Amortization of acquired intangibles</x:t>
  </x:si>
  <x:si>
    <x:t xml:space="preserve">Cyber vulnerability response expenses, net</x:t>
  </x:si>
  <x:si>
    <x:t xml:space="preserve">Forecast GAAP effective tax rate</x:t>
  </x:si>
  <x:si>
    <x:t xml:space="preserve">Forecast non-GAAP tax adjustment (per share)</x:t>
  </x:si>
  <x:si>
    <x:t xml:space="preserve">Non-GAAP addback: Amortization of acquired intangibles</x:t>
  </x:si>
  <x:si>
    <x:t xml:space="preserve">Non-GAAP addback: Stock-based compensation</x:t>
  </x:si>
  <x:si>
    <x:t xml:space="preserve">Non-GAAP addback: Restructuring expenses</x:t>
  </x:si>
  <x:si>
    <x:t xml:space="preserve">Non-GAAP addback: Acquisition-related expenses</x:t>
  </x:si>
  <x:si>
    <x:t xml:space="preserve">Non-GAAP addback: Cyber vulnerability response expenses, net</x:t>
  </x:si>
  <x:si>
    <x:t xml:space="preserve">Non-GAAP addback: Provision for income taxes</x:t>
  </x:si>
  <x:si>
    <x:t xml:space="preserve">Basic shares (millions)</x:t>
  </x:si>
  <x:si>
    <x:t xml:space="preserve">Diluted shares (millions)</x:t>
  </x:si>
  <x:si>
    <x:t xml:space="preserve">Non-GAAP reported net income (millions)</x:t>
  </x:si>
  <x:si>
    <x:t xml:space="preserve">Reported total revenue (millions)</x:t>
  </x:si>
  <x:si>
    <x:t xml:space="preserve">Q3 stock-compensation guidance USD/share</x:t>
  </x:si>
  <x:si>
    <x:t xml:space="preserve">Period-end ARR ($m), issuer disclosure</x:t>
  </x:si>
  <x:si>
    <x:t xml:space="preserve">Forecast net ARR addition ($m)</x:t>
  </x:si>
  <x:si>
    <x:t xml:space="preserve">Net retention rate, issuer disclosure</x:t>
  </x:si>
  <x:si>
    <x:t xml:space="preserve">Forecast gross shares issued (millions)</x:t>
  </x:si>
  <x:si>
    <x:t xml:space="preserve">Forecast Δ accounts receivable ($m)</x:t>
  </x:si>
  <x:si>
    <x:t xml:space="preserve">Forecast Δ unbilled receivables ($m)</x:t>
  </x:si>
  <x:si>
    <x:t xml:space="preserve">Forecast Δ other current assets ($m)</x:t>
  </x:si>
  <x:si>
    <x:t xml:space="preserve">Forecast customer billings ($m), independent of revenue</x:t>
  </x:si>
  <x:si>
    <x:t xml:space="preserve">Forecast operating cash flow ($m) — derived</x:t>
  </x:si>
  <x:si>
    <x:t xml:space="preserve">Forecast capex ($m)</x:t>
  </x:si>
  <x:si>
    <x:t xml:space="preserve">Forecast issuance / equity plans ($m)</x:t>
  </x:si>
  <x:si>
    <x:t xml:space="preserve">Forecast net share-settlement tax cash ($m)</x:t>
  </x:si>
  <x:si>
    <x:t xml:space="preserve">Forecast stock buybacks ($m)</x:t>
  </x:si>
  <x:si>
    <x:t xml:space="preserve">Forecast net borrowing / (repayment) ($m)</x:t>
  </x:si>
  <x:si>
    <x:t xml:space="preserve">Forecast acquisitions / other investing ($m)</x:t>
  </x:si>
  <x:si>
    <x:t xml:space="preserve">Forecast FX effect on cash ($m)</x:t>
  </x:si>
  <x:si>
    <x:t xml:space="preserve">Forecast OTHER financing ($m)</x:t>
  </x:si>
  <x:si>
    <x:t xml:space="preserve">1Q25A</x:t>
  </x:si>
  <x:si>
    <x:t xml:space="preserve">2Q25A</x:t>
  </x:si>
  <x:si>
    <x:t xml:space="preserve">Europe / Middle East / Africa revenue</x:t>
  </x:si>
  <x:si>
    <x:t xml:space="preserve">Forecast license booked-volume / mix change ($m)</x:t>
  </x:si>
  <x:si>
    <x:t xml:space="preserve">Forecast maintenance renewal / price change ($m)</x:t>
  </x:si>
  <x:si>
    <x:t xml:space="preserve">Forecast SaaS increment = net ARR adds × attach rate</x:t>
  </x:si>
  <x:si>
    <x:t xml:space="preserve">Forecast professional-service activity change ($m)</x:t>
  </x:si>
  <x:si>
    <x:t xml:space="preserve">SaaS quarter recognition per $1m net ARR adds</x:t>
  </x:si>
  <x:si>
    <x:t xml:space="preserve">One percentage point in basis points conversion</x:t>
  </x:si>
  <x:si>
    <x:t xml:space="preserve">Issuer Q3 $m positive FX translation forecast (Jun 30)</x:t>
  </x:si>
  <x:si>
    <x:t xml:space="preserve">Forecast acquisition scope impact (Domo not closed)</x:t>
  </x:si>
  <x:si>
    <x:t xml:space="preserve">Source rounding reconciliation tolerance</x:t>
  </x:si>
  <x:si>
    <x:t xml:space="preserve">Issuer Q2 FY25 product-line comparatives ($m)</x:t>
  </x:si>
  <x:si>
    <x:t xml:space="preserve">License, 2Q25</x:t>
  </x:si>
  <x:si>
    <x:t xml:space="preserve">Maintenance, 2Q25</x:t>
  </x:si>
  <x:si>
    <x:t xml:space="preserve">SaaS, 2Q25</x:t>
  </x:si>
  <x:si>
    <x:t xml:space="preserve">Professional services, 2Q25</x:t>
  </x:si>
</x:sst>
</file>

<file path=xl/styles.xml><?xml version="1.0" encoding="utf-8"?>
<x:styleSheet xmlns:x="http://schemas.openxmlformats.org/spreadsheetml/2006/main">
  <x:numFmts count="10">
    <x:numFmt numFmtId="164" formatCode="$0.00"/>
    <x:numFmt numFmtId="165" formatCode="#,##0.0_);(#,##0.0);–_)"/>
    <x:numFmt numFmtId="166" formatCode="yyyy-mm-dd"/>
    <x:numFmt numFmtId="167" formatCode="0.0%"/>
    <x:numFmt numFmtId="168" formatCode="0.0%_);(0.0%);–_)"/>
    <x:numFmt numFmtId="169" formatCode="#,##0.00"/>
    <x:numFmt numFmtId="170" formatCode="General"/>
    <x:numFmt numFmtId="171" formatCode="0.000"/>
    <x:numFmt numFmtId="172" formatCode="0.00&quot; pp&quot;"/>
    <x:numFmt numFmtId="200" formatCode="0.00"/>
  </x:numFmts>
  <x:fonts count="11">
    <x:font>
      <x:sz val="11"/>
      <x:name val="Calibri"/>
    </x:font>
    <x:font>
      <x:sz val="11"/>
      <x:color rgb="FF006100"/>
      <x:name val="Calibri"/>
    </x:font>
    <x:font>
      <x:sz val="11"/>
      <x:color rgb="FF000000"/>
      <x:name val="Calibri"/>
    </x:font>
    <x:font>
      <x:b/>
      <x:sz val="11"/>
      <x:color rgb="FF000000"/>
      <x:name val="Calibri"/>
    </x:font>
    <x:font>
      <x:b/>
      <x:sz val="11"/>
      <x:color rgb="FF006100"/>
      <x:name val="Calibri"/>
    </x:font>
    <x:font>
      <x:sz val="11"/>
      <x:color rgb="FF0000FF"/>
      <x:name val="Calibri"/>
    </x:font>
    <x:font>
      <x:i/>
      <x:sz val="11"/>
      <x:color rgb="FF006100"/>
      <x:name val="Calibri"/>
    </x:font>
    <x:font>
      <x:i/>
      <x:sz val="11"/>
      <x:color rgb="FF0000FF"/>
      <x:name val="Calibri"/>
    </x:font>
    <x:font>
      <x:i/>
      <x:sz val="11"/>
      <x:color rgb="FF000000"/>
      <x:name val="Calibri"/>
    </x:font>
    <x:font>
      <x:b/>
      <x:i/>
      <x:sz val="11"/>
      <x:color rgb="FF000000"/>
      <x:name val="Calibri"/>
    </x:font>
    <x:font>
      <x:b/>
      <x:sz val="11"/>
      <x:color rgb="FF0000FF"/>
      <x:name val="Calibri"/>
    </x:font>
  </x:fonts>
  <x:fills count="6">
    <x:fill>
      <x:patternFill patternType="none"/>
    </x:fill>
    <x:fill>
      <x:patternFill patternType="gray125"/>
    </x:fill>
    <x:fill>
      <x:patternFill patternType="solid">
        <x:fgColor rgb="FFF1F5FA"/>
      </x:patternFill>
    </x:fill>
    <x:fill>
      <x:patternFill patternType="solid">
        <x:fgColor rgb="FFF2F2F2"/>
      </x:patternFill>
    </x:fill>
    <x:fill>
      <x:patternFill patternType="solid">
        <x:fgColor rgb="FFECECEC"/>
      </x:patternFill>
    </x:fill>
    <x:fill>
      <x:patternFill patternType="solid">
        <x:fgColor rgb="FFF8F8F8"/>
      </x:patternFill>
    </x:fill>
  </x:fills>
  <x:borders count="6">
    <x:border/>
    <x:border>
      <x:top style="thin">
        <x:color rgb="FFC7C7C7"/>
      </x:top>
      <x:bottom style="thin">
        <x:color rgb="FFC7C7C7"/>
      </x:bottom>
    </x:border>
    <x:border>
      <x:top style="thin">
        <x:color rgb="FFA6A6A6"/>
      </x:top>
      <x:bottom style="thin">
        <x:color rgb="FFA6A6A6"/>
      </x:bottom>
    </x:border>
    <x:border>
      <x:top style="thin">
        <x:color rgb="FFB4B4B4"/>
      </x:top>
    </x:border>
    <x:border>
      <x:top style="thin">
        <x:color rgb="FF888888"/>
      </x:top>
    </x:border>
    <x:border>
      <x:top style="thin">
        <x:color rgb="FFAAAAAA"/>
      </x:top>
      <x:bottom style="thin">
        <x:color rgb="FFAAAAAA"/>
      </x:bottom>
    </x:border>
  </x:borders>
  <x:cellStyleXfs count="1">
    <x:xf numFmtId="0" fontId="0" fillId="0" borderId="0"/>
  </x:cellStyleXfs>
  <x:cellXfs count="64">
    <x:xf numFmtId="0" fontId="0" fillId="0" borderId="0" xfId="0"/>
    <x:xf numFmtId="164" fontId="1" fillId="0" borderId="0" xfId="0" applyNumberFormat="1" applyFont="1" applyFill="1" applyAlignment="1">
      <x:alignment horizontal="general" vertical="bottom"/>
    </x:xf>
    <x:xf numFmtId="165" fontId="2" fillId="0" borderId="0" xfId="0" applyNumberFormat="1" applyFont="1" applyFill="1" applyAlignment="1">
      <x:alignment horizontal="general" vertical="bottom"/>
    </x:xf>
    <x:xf numFmtId="165" fontId="2" fillId="2" borderId="0" xfId="0" applyNumberFormat="1" applyFont="1" applyFill="1" applyAlignment="1">
      <x:alignment horizontal="general" vertical="bottom"/>
    </x:xf>
    <x:xf numFmtId="0" fontId="3" fillId="3" borderId="1" xfId="0" applyFont="1" applyFill="1" applyBorder="1" applyAlignment="1">
      <x:alignment horizontal="general" vertical="bottom"/>
    </x:xf>
    <x:xf numFmtId="165" fontId="1" fillId="0" borderId="0" xfId="0" applyNumberFormat="1" applyFont="1" applyFill="1" applyAlignment="1">
      <x:alignment horizontal="general" vertical="bottom"/>
    </x:xf>
    <x:xf numFmtId="0" fontId="3" fillId="3" borderId="2" xfId="0" applyFont="1" applyFill="1" applyBorder="1" applyAlignment="1">
      <x:alignment horizontal="general" vertical="bottom"/>
    </x:xf>
    <x:xf numFmtId="0" fontId="2" fillId="0" borderId="0" xfId="0" applyFont="1" applyFill="1" applyAlignment="1">
      <x:alignment horizontal="general" vertical="bottom"/>
    </x:xf>
    <x:xf numFmtId="165" fontId="4" fillId="0" borderId="3" xfId="0" applyNumberFormat="1" applyFont="1" applyFill="1" applyBorder="1" applyAlignment="1">
      <x:alignment horizontal="general" vertical="bottom"/>
    </x:xf>
    <x:xf numFmtId="165" fontId="1" fillId="2" borderId="0" xfId="0" applyNumberFormat="1" applyFont="1" applyFill="1" applyAlignment="1">
      <x:alignment horizontal="general" vertical="bottom"/>
    </x:xf>
    <x:xf numFmtId="0" fontId="3" fillId="0" borderId="3" xfId="0" applyFont="1" applyFill="1" applyBorder="1" applyAlignment="1">
      <x:alignment horizontal="general" vertical="bottom"/>
    </x:xf>
    <x:xf numFmtId="0" fontId="2" fillId="2" borderId="0" xfId="0" applyFont="1" applyFill="1" applyAlignment="1">
      <x:alignment horizontal="general" vertical="bottom"/>
    </x:xf>
    <x:xf numFmtId="166" fontId="3" fillId="3" borderId="1" xfId="0" applyNumberFormat="1" applyFont="1" applyFill="1" applyBorder="1" applyAlignment="1">
      <x:alignment horizontal="general" vertical="bottom"/>
    </x:xf>
    <x:xf numFmtId="165" fontId="3" fillId="0" borderId="3" xfId="0" applyNumberFormat="1" applyFont="1" applyFill="1" applyBorder="1" applyAlignment="1">
      <x:alignment horizontal="general" vertical="bottom"/>
    </x:xf>
    <x:xf numFmtId="165" fontId="4" fillId="0" borderId="4" xfId="0" applyNumberFormat="1" applyFont="1" applyFill="1" applyBorder="1" applyAlignment="1">
      <x:alignment horizontal="general" vertical="bottom"/>
    </x:xf>
    <x:xf numFmtId="165" fontId="4" fillId="2" borderId="3" xfId="0" applyNumberFormat="1" applyFont="1" applyFill="1" applyBorder="1" applyAlignment="1">
      <x:alignment horizontal="general" vertical="bottom"/>
    </x:xf>
    <x:xf numFmtId="0" fontId="3" fillId="0" borderId="4" xfId="0" applyFont="1" applyFill="1" applyBorder="1" applyAlignment="1">
      <x:alignment horizontal="general" vertical="bottom"/>
    </x:xf>
    <x:xf numFmtId="165" fontId="3" fillId="2" borderId="3" xfId="0" applyNumberFormat="1" applyFont="1" applyFill="1" applyBorder="1" applyAlignment="1">
      <x:alignment horizontal="general" vertical="bottom"/>
    </x:xf>
    <x:xf numFmtId="166" fontId="5" fillId="0" borderId="0" xfId="0" applyNumberFormat="1" applyFont="1" applyFill="1" applyAlignment="1">
      <x:alignment horizontal="general" vertical="bottom"/>
    </x:xf>
    <x:xf numFmtId="165" fontId="2" fillId="0" borderId="0" xfId="0" applyNumberFormat="1" applyFont="1" applyFill="1" applyAlignment="1">
      <x:alignment horizontal="general" vertical="bottom" wrapText="1"/>
    </x:xf>
    <x:xf numFmtId="164" fontId="2" fillId="0" borderId="0" xfId="0" applyNumberFormat="1" applyFont="1" applyFill="1" applyAlignment="1">
      <x:alignment horizontal="general" vertical="bottom"/>
    </x:xf>
    <x:xf numFmtId="167" fontId="6" fillId="0" borderId="0" xfId="0" applyNumberFormat="1" applyFont="1" applyFill="1" applyAlignment="1">
      <x:alignment horizontal="general" vertical="bottom"/>
    </x:xf>
    <x:xf numFmtId="165" fontId="3" fillId="4" borderId="5" xfId="0" applyNumberFormat="1" applyFont="1" applyFill="1" applyBorder="1" applyAlignment="1">
      <x:alignment horizontal="general" vertical="bottom"/>
    </x:xf>
    <x:xf numFmtId="0" fontId="1" fillId="5" borderId="0" xfId="0" applyFont="1" applyFill="1" applyAlignment="1">
      <x:alignment horizontal="general" vertical="bottom"/>
    </x:xf>
    <x:xf numFmtId="0" fontId="3" fillId="4" borderId="5" xfId="0" applyFont="1" applyFill="1" applyBorder="1" applyAlignment="1">
      <x:alignment horizontal="general" vertical="bottom"/>
    </x:xf>
    <x:xf numFmtId="164" fontId="5" fillId="0" borderId="0" xfId="0" applyNumberFormat="1" applyFont="1" applyFill="1" applyAlignment="1">
      <x:alignment horizontal="general" vertical="bottom"/>
    </x:xf>
    <x:xf numFmtId="165" fontId="5" fillId="0" borderId="0" xfId="0" applyNumberFormat="1" applyFont="1" applyFill="1" applyAlignment="1">
      <x:alignment horizontal="general" vertical="bottom"/>
    </x:xf>
    <x:xf numFmtId="168" fontId="7" fillId="0" borderId="0" xfId="0" applyNumberFormat="1" applyFont="1" applyFill="1" applyAlignment="1">
      <x:alignment horizontal="general" vertical="bottom"/>
    </x:xf>
    <x:xf numFmtId="168" fontId="8" fillId="2" borderId="0" xfId="0" applyNumberFormat="1" applyFont="1" applyFill="1" applyAlignment="1">
      <x:alignment horizontal="general" vertical="bottom"/>
    </x:xf>
    <x:xf numFmtId="0" fontId="2" fillId="5" borderId="0" xfId="0" applyFont="1" applyFill="1" applyAlignment="1">
      <x:alignment horizontal="general" vertical="bottom"/>
    </x:xf>
    <x:xf numFmtId="168" fontId="8" fillId="0" borderId="0" xfId="0" applyNumberFormat="1" applyFont="1" applyFill="1" applyAlignment="1">
      <x:alignment horizontal="general" vertical="bottom"/>
    </x:xf>
    <x:xf numFmtId="168" fontId="6" fillId="0" borderId="0" xfId="0" applyNumberFormat="1" applyFont="1" applyFill="1" applyAlignment="1">
      <x:alignment horizontal="general" vertical="bottom"/>
    </x:xf>
    <x:xf numFmtId="164" fontId="2" fillId="2" borderId="0" xfId="0" applyNumberFormat="1" applyFont="1" applyFill="1" applyAlignment="1">
      <x:alignment horizontal="general" vertical="bottom"/>
    </x:xf>
    <x:xf numFmtId="164" fontId="1" fillId="2" borderId="0" xfId="0" applyNumberFormat="1" applyFont="1" applyFill="1" applyAlignment="1">
      <x:alignment horizontal="general" vertical="bottom"/>
    </x:xf>
    <x:xf numFmtId="165" fontId="1" fillId="5" borderId="0" xfId="0" applyNumberFormat="1" applyFont="1" applyFill="1" applyAlignment="1">
      <x:alignment horizontal="general" vertical="bottom"/>
    </x:xf>
    <x:xf numFmtId="168" fontId="6" fillId="2" borderId="0" xfId="0" applyNumberFormat="1" applyFont="1" applyFill="1" applyAlignment="1">
      <x:alignment horizontal="general" vertical="bottom"/>
    </x:xf>
    <x:xf numFmtId="0" fontId="2" fillId="0" borderId="0" xfId="0" applyFont="1" applyFill="1" applyAlignment="1">
      <x:alignment horizontal="general" vertical="bottom" wrapText="1"/>
    </x:xf>
    <x:xf numFmtId="169" fontId="1" fillId="0" borderId="0" xfId="0" applyNumberFormat="1" applyFont="1" applyFill="1" applyAlignment="1">
      <x:alignment horizontal="general" vertical="bottom"/>
    </x:xf>
    <x:xf numFmtId="164" fontId="3" fillId="0" borderId="3" xfId="0" applyNumberFormat="1" applyFont="1" applyFill="1" applyBorder="1" applyAlignment="1">
      <x:alignment horizontal="general" vertical="bottom"/>
    </x:xf>
    <x:xf numFmtId="167" fontId="8" fillId="0" borderId="0" xfId="0" applyNumberFormat="1" applyFont="1" applyFill="1" applyAlignment="1">
      <x:alignment horizontal="general" vertical="bottom"/>
    </x:xf>
    <x:xf numFmtId="170" fontId="1" fillId="0" borderId="0" xfId="0" applyNumberFormat="1" applyFont="1" applyFill="1" applyAlignment="1">
      <x:alignment horizontal="general" vertical="bottom"/>
    </x:xf>
    <x:xf numFmtId="165" fontId="8" fillId="0" borderId="0" xfId="0" applyNumberFormat="1" applyFont="1" applyFill="1" applyAlignment="1">
      <x:alignment horizontal="general" vertical="bottom"/>
    </x:xf>
    <x:xf numFmtId="164" fontId="3" fillId="2" borderId="3" xfId="0" applyNumberFormat="1" applyFont="1" applyFill="1" applyBorder="1" applyAlignment="1">
      <x:alignment horizontal="general" vertical="bottom"/>
    </x:xf>
    <x:xf numFmtId="165" fontId="6" fillId="0" borderId="0" xfId="0" applyNumberFormat="1" applyFont="1" applyFill="1" applyAlignment="1">
      <x:alignment horizontal="general" vertical="bottom"/>
    </x:xf>
    <x:xf numFmtId="169" fontId="2" fillId="0" borderId="0" xfId="0" applyNumberFormat="1" applyFont="1" applyFill="1" applyAlignment="1">
      <x:alignment horizontal="general" vertical="bottom"/>
    </x:xf>
    <x:xf numFmtId="170" fontId="2" fillId="0" borderId="0" xfId="0" applyNumberFormat="1" applyFont="1" applyFill="1" applyAlignment="1">
      <x:alignment horizontal="general" vertical="bottom"/>
    </x:xf>
    <x:xf numFmtId="165" fontId="9" fillId="2" borderId="3" xfId="0" applyNumberFormat="1" applyFont="1" applyFill="1" applyBorder="1" applyAlignment="1">
      <x:alignment horizontal="general" vertical="bottom"/>
    </x:xf>
    <x:xf numFmtId="0" fontId="1" fillId="0" borderId="0" xfId="0" applyFont="1" applyFill="1" applyAlignment="1">
      <x:alignment horizontal="general" vertical="bottom"/>
    </x:xf>
    <x:xf numFmtId="165" fontId="5" fillId="2" borderId="0" xfId="0" applyNumberFormat="1" applyFont="1" applyFill="1" applyAlignment="1">
      <x:alignment horizontal="general" vertical="bottom"/>
    </x:xf>
    <x:xf numFmtId="0" fontId="5" fillId="0" borderId="0" xfId="0" applyFont="1" applyFill="1" applyAlignment="1">
      <x:alignment horizontal="general" vertical="bottom"/>
    </x:xf>
    <x:xf numFmtId="171" fontId="2" fillId="0" borderId="0" xfId="0" applyNumberFormat="1" applyFont="1" applyFill="1" applyAlignment="1">
      <x:alignment horizontal="general" vertical="bottom"/>
    </x:xf>
    <x:xf numFmtId="164" fontId="5" fillId="2" borderId="0" xfId="0" applyNumberFormat="1" applyFont="1" applyFill="1" applyAlignment="1">
      <x:alignment horizontal="general" vertical="bottom"/>
    </x:xf>
    <x:xf numFmtId="172" fontId="5" fillId="0" borderId="0" xfId="0" applyNumberFormat="1" applyFont="1" applyFill="1" applyAlignment="1">
      <x:alignment horizontal="general" vertical="bottom"/>
    </x:xf>
    <x:xf numFmtId="165" fontId="10" fillId="0" borderId="3" xfId="0" applyNumberFormat="1" applyFont="1" applyFill="1" applyBorder="1" applyAlignment="1">
      <x:alignment horizontal="general" vertical="bottom"/>
    </x:xf>
    <x:xf numFmtId="168" fontId="7" fillId="2" borderId="0" xfId="0" applyNumberFormat="1" applyFont="1" applyFill="1" applyAlignment="1">
      <x:alignment horizontal="general" vertical="bottom"/>
    </x:xf>
    <x:xf numFmtId="0" fontId="3" fillId="3" borderId="1" xfId="0" applyNumberFormat="1" applyFont="1" applyFill="1" applyBorder="1" applyAlignment="1">
      <x:alignment horizontal="right" vertical="bottom"/>
    </x:xf>
    <x:xf numFmtId="165" fontId="3" fillId="4" borderId="5" xfId="0" applyNumberFormat="1" applyFont="1" applyFill="1" applyBorder="1" applyAlignment="1">
      <x:alignment horizontal="right" vertical="bottom"/>
    </x:xf>
    <x:xf numFmtId="165" fontId="2" fillId="0" borderId="0" xfId="0" applyNumberFormat="1" applyFont="1" applyFill="1" applyBorder="1" applyAlignment="1">
      <x:alignment horizontal="right" vertical="bottom"/>
    </x:xf>
    <x:xf numFmtId="165" fontId="2" fillId="2" borderId="0" xfId="0" applyNumberFormat="1" applyFont="1" applyFill="1" applyBorder="1" applyAlignment="1">
      <x:alignment horizontal="right" vertical="bottom"/>
    </x:xf>
    <x:xf numFmtId="0" fontId="0" fillId="0" borderId="0" xfId="0" applyNumberFormat="1" applyFont="1" applyFill="1" applyBorder="1" applyAlignment="1">
      <x:alignment horizontal="right"/>
    </x:xf>
    <x:xf numFmtId="166" fontId="5" fillId="0" borderId="0" xfId="0" applyNumberFormat="1" applyFont="1" applyFill="1" applyBorder="1" applyAlignment="1">
      <x:alignment horizontal="right" vertical="bottom"/>
    </x:xf>
    <x:xf numFmtId="0" fontId="0" fillId="0" borderId="0" xfId="0" applyNumberFormat="1" applyFont="1" applyFill="1" applyBorder="1" applyAlignment="1">
      <x:alignment wrapText="1"/>
    </x:xf>
    <x:xf numFmtId="166" fontId="5" fillId="0" borderId="0" xfId="0" applyNumberFormat="1" applyFont="1" applyFill="1" applyBorder="1" applyAlignment="1">
      <x:alignment horizontal="general" vertical="bottom"/>
    </x:xf>
    <x:xf numFmtId="200" fontId="5" fillId="0" borderId="0" xfId="0" applyNumberFormat="1" applyFont="1" applyFill="1" applyBorder="1" applyAlignment="1">
      <x:alignment horizontal="general" vertical="bottom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6105f785344bb2" /><Relationship Type="http://schemas.openxmlformats.org/officeDocument/2006/relationships/theme" Target="/xl/theme/theme1.xml" Id="R3b62b2625d924c3c" /><Relationship Type="http://schemas.openxmlformats.org/officeDocument/2006/relationships/sharedStrings" Target="/xl/sharedStrings.xml" Id="R8fcd0518192b4164" /><Relationship Type="http://schemas.openxmlformats.org/officeDocument/2006/relationships/worksheet" Target="/xl/worksheets/sheet1.xml" Id="Rd077b53e208f487b" /><Relationship Type="http://schemas.openxmlformats.org/officeDocument/2006/relationships/worksheet" Target="/xl/worksheets/sheet2.xml" Id="R9918b80c8b164a81" /><Relationship Type="http://schemas.openxmlformats.org/officeDocument/2006/relationships/worksheet" Target="/xl/worksheets/sheet3.xml" Id="R704c2349e0e44b1b" /><Relationship Type="http://schemas.openxmlformats.org/officeDocument/2006/relationships/worksheet" Target="/xl/worksheets/sheet4.xml" Id="R5567a0d61223450d" /><Relationship Type="http://schemas.openxmlformats.org/officeDocument/2006/relationships/worksheet" Target="/xl/worksheets/sheet5.xml" Id="Rade9e92c66fe4771" /><Relationship Type="http://schemas.openxmlformats.org/officeDocument/2006/relationships/worksheet" Target="/xl/worksheets/sheet6.xml" Id="R8993c6ce0c794237" /><Relationship Type="http://schemas.openxmlformats.org/officeDocument/2006/relationships/worksheet" Target="/xl/worksheets/sheet7.xml" Id="R8540a4070e084d91" /><Relationship Type="http://schemas.openxmlformats.org/officeDocument/2006/relationships/worksheet" Target="/xl/worksheets/sheet8.xml" Id="Rba0231be07c74e52" /><Relationship Type="http://schemas.openxmlformats.org/officeDocument/2006/relationships/worksheet" Target="/xl/worksheets/sheet9.xml" Id="R34128874753c4ce7" /><Relationship Type="http://schemas.openxmlformats.org/officeDocument/2006/relationships/worksheet" Target="/xl/worksheets/sheet10.xml" Id="R38d64f475f0c4c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3c64aada693542ea" /></Relationships>
</file>

<file path=xl/drawings/drawing1.xml><?xml version="1.0" encoding="utf-8"?>
<xdr:wsDr xmlns:xdr="http://schemas.openxmlformats.org/drawingml/2006/spreadsheetDrawing">
  <xdr:oneCellAnchor>
    <xdr:from>
      <xdr:col>0</xdr:col>
      <xdr:colOff>57150</xdr:colOff>
      <xdr:row>0</xdr:row>
      <xdr:rowOff>47625</xdr:rowOff>
    </xdr:from>
    <xdr:ext cx="571500" cy="571500"/>
    <xdr:pic>
      <xdr:nvPicPr>
        <xdr:cNvPr id="1" name="/xl/media/image1.pn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3c64aada693542ea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>
          <a:solidFill>
            <a:schemeClr val="phClr"/>
          </a:solidFill>
        </a:ln>
        <a:ln w="12700">
          <a:solidFill>
            <a:schemeClr val="phClr"/>
          </a:solidFill>
        </a:ln>
        <a:ln w="19050"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3b51f4289c8148d0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4" customWidth="1"/>
    <x:col min="2" max="7" width="13" customWidth="1"/>
    <x:col min="10" max="10" width="65" hidden="0" customWidth="1"/>
  </x:cols>
  <x:sheetData>
    <x:row r="1">
      <x:c r="A1" s="6"/>
      <x:c r="B1" s="6" t="s">
        <x:v>0</x:v>
      </x:c>
      <x:c r="C1" s="6"/>
      <x:c r="D1" s="6"/>
      <x:c r="E1" s="6"/>
      <x:c r="F1" s="6"/>
      <x:c r="G1" s="6"/>
    </x:row>
    <x:row r="2">
      <x:c r="A2" s="6" t="s">
        <x:v>1</x:v>
      </x:c>
      <x:c r="B2" s="6" t="s">
        <x:v>2</x:v>
      </x:c>
      <x:c r="C2" s="6"/>
      <x:c r="D2" s="6"/>
      <x:c r="E2" s="6"/>
      <x:c r="F2" s="6"/>
      <x:c r="G2" s="6"/>
    </x:row>
    <x:row r="3">
      <x:c r="A3" s="6" t="s">
        <x:v>3</x:v>
      </x:c>
      <x:c r="B3" s="6"/>
      <x:c r="C3" s="6"/>
      <x:c r="D3" s="6"/>
      <x:c r="E3" s="6"/>
      <x:c r="F3" s="6"/>
      <x:c r="G3" s="6"/>
    </x:row>
    <x:row r="4">
      <x:c r="A4" s="4" t="s">
        <x:v>4</x:v>
      </x:c>
      <x:c r="B4" s="55" t="s">
        <x:v>5</x:v>
      </x:c>
      <x:c r="C4" s="55" t="s">
        <x:v>6</x:v>
      </x:c>
      <x:c r="D4" s="55" t="s">
        <x:v>7</x:v>
      </x:c>
      <x:c r="E4" s="55" t="s">
        <x:v>8</x:v>
      </x:c>
      <x:c r="F4" s="55" t="s">
        <x:v>9</x:v>
      </x:c>
      <x:c r="G4" s="55" t="s">
        <x:v>10</x:v>
      </x:c>
    </x:row>
    <x:row r="5">
      <x:c r="A5" s="4" t="s">
        <x:v>11</x:v>
      </x:c>
      <x:c r="B5" s="12">
        <x:v>45900</x:v>
      </x:c>
      <x:c r="C5" s="12">
        <x:v>45991</x:v>
      </x:c>
      <x:c r="D5" s="12">
        <x:v>45991</x:v>
      </x:c>
      <x:c r="E5" s="12">
        <x:v>46081</x:v>
      </x:c>
      <x:c r="F5" s="12">
        <x:v>46173</x:v>
      </x:c>
      <x:c r="G5" s="12">
        <x:v>46265</x:v>
      </x:c>
    </x:row>
    <x:row r="6">
      <x:c r="A6" s="4" t="s">
        <x:v>12</x:v>
      </x:c>
      <x:c r="B6" s="4">
        <x:v>92</x:v>
      </x:c>
      <x:c r="C6" s="4">
        <x:v>91</x:v>
      </x:c>
      <x:c r="D6" s="4">
        <x:v>365</x:v>
      </x:c>
      <x:c r="E6" s="4">
        <x:v>90</x:v>
      </x:c>
      <x:c r="F6" s="4">
        <x:v>92</x:v>
      </x:c>
      <x:c r="G6" s="4">
        <x:v>92</x:v>
      </x:c>
    </x:row>
    <x:row r="7">
      <x:c r="A7" s="7"/>
      <x:c r="B7" s="7"/>
      <x:c r="C7" s="7"/>
      <x:c r="D7" s="7"/>
      <x:c r="E7" s="7"/>
      <x:c r="F7" s="7"/>
      <x:c r="G7" s="11"/>
    </x:row>
    <x:row r="8">
      <x:c r="A8" s="7" t="s">
        <x:v>13</x:v>
      </x:c>
      <x:c r="B8" s="2" t="s">
        <x:v>14</x:v>
      </x:c>
      <x:c r="C8" s="2"/>
      <x:c r="D8" s="2"/>
      <x:c r="E8" s="2"/>
      <x:c r="F8" s="2"/>
      <x:c r="G8" s="3"/>
    </x:row>
    <x:row r="9">
      <x:c r="A9" s="24" t="s">
        <x:v>15</x:v>
      </x:c>
      <x:c r="B9" s="56" t="s">
        <x:v>16</x:v>
      </x:c>
      <x:c r="C9" s="56" t="s">
        <x:v>17</x:v>
      </x:c>
      <x:c r="D9" s="56" t="s">
        <x:v>18</x:v>
      </x:c>
      <x:c r="E9" s="56" t="s">
        <x:v>19</x:v>
      </x:c>
      <x:c r="F9" s="2"/>
      <x:c r="G9" s="3"/>
    </x:row>
    <x:row r="10">
      <x:c r="A10" s="7" t="s">
        <x:v>20</x:v>
      </x:c>
      <x:c r="B10" s="5" t="n">
        <x:f>'Income Statement'!G9</x:f>
        <x:v>251.39999999999998</x:v>
      </x:c>
      <x:c r="C10" s="5" t="n">
        <x:f>Inputs!B46</x:f>
        <x:v>247.59</x:v>
      </x:c>
      <x:c r="D10" s="2" t="n">
        <x:f>B10-C10</x:f>
        <x:v>3.809999999999974</x:v>
      </x:c>
      <x:c r="E10" s="5" t="n">
        <x:f>Guidance!F10</x:f>
        <x:v>247</x:v>
      </x:c>
      <x:c r="F10" s="2"/>
      <x:c r="G10" s="3"/>
    </x:row>
    <x:row r="11">
      <x:c r="A11" s="7" t="s">
        <x:v>21</x:v>
      </x:c>
      <x:c r="B11" s="5" t="n">
        <x:f>'Income Statement'!G53</x:f>
        <x:v>69.27249999999998</x:v>
      </x:c>
      <x:c r="C11" s="5" t="n">
        <x:f>Inputs!B56</x:f>
        <x:v>63.25</x:v>
      </x:c>
      <x:c r="D11" s="2" t="n">
        <x:f>B11-C11</x:f>
        <x:v>6.0224999999999795</x:v>
      </x:c>
      <x:c r="E11" s="5" t="n">
        <x:f>Guidance!F12*'Income Statement'!G44</x:f>
        <x:v>65.52</x:v>
      </x:c>
      <x:c r="F11" s="2"/>
      <x:c r="G11" s="3"/>
    </x:row>
    <x:row r="12">
      <x:c r="A12" s="7" t="s">
        <x:v>22</x:v>
      </x:c>
      <x:c r="B12" s="1" t="n">
        <x:f>'Income Statement'!G54</x:f>
        <x:v>1.6493452380952376</x:v>
      </x:c>
      <x:c r="C12" s="1" t="n">
        <x:f>Inputs!B29</x:f>
        <x:v>1.52</x:v>
      </x:c>
      <x:c r="D12" s="20" t="n">
        <x:f>B12-C12</x:f>
        <x:v>0.12934523809523757</x:v>
      </x:c>
      <x:c r="E12" s="1" t="n">
        <x:f>Guidance!F12</x:f>
        <x:v>1.56</x:v>
      </x:c>
      <x:c r="F12" s="2"/>
      <x:c r="G12" s="3"/>
    </x:row>
    <x:row r="13">
      <x:c r="A13" s="7" t="s">
        <x:v>23</x:v>
      </x:c>
      <x:c r="B13" s="5" t="n">
        <x:f>'Income Statement'!G38</x:f>
        <x:v>19.91249999999998</x:v>
      </x:c>
      <x:c r="C13" s="5" t="n">
        <x:f>Inputs!B57</x:f>
        <x:v>15.88</x:v>
      </x:c>
      <x:c r="D13" s="2" t="n">
        <x:f>B13-C13</x:f>
        <x:v>4.032499999999979</x:v>
      </x:c>
      <x:c r="E13" s="5" t="n">
        <x:f>Guidance!F11*'Income Statement'!G44</x:f>
        <x:v>15.96</x:v>
      </x:c>
      <x:c r="F13" s="2"/>
      <x:c r="G13" s="3"/>
    </x:row>
    <x:row r="14">
      <x:c r="A14" s="7" t="s">
        <x:v>24</x:v>
      </x:c>
      <x:c r="B14" s="1" t="n">
        <x:f>'Income Statement'!G41</x:f>
        <x:v>0.4741071428571424</x:v>
      </x:c>
      <x:c r="C14" s="1" t="n">
        <x:f>Inputs!B38</x:f>
        <x:v>0.39</x:v>
      </x:c>
      <x:c r="D14" s="20" t="n">
        <x:f>B14-C14</x:f>
        <x:v>0.08410714285714238</x:v>
      </x:c>
      <x:c r="E14" s="1" t="n">
        <x:f>Guidance!F11</x:f>
        <x:v>0.38</x:v>
      </x:c>
      <x:c r="F14" s="2"/>
      <x:c r="G14" s="3"/>
    </x:row>
    <x:row r="15">
      <x:c r="A15" s="7"/>
      <x:c r="B15" s="2"/>
      <x:c r="C15" s="2"/>
      <x:c r="D15" s="2"/>
      <x:c r="E15" s="2"/>
      <x:c r="F15" s="2"/>
      <x:c r="G15" s="3"/>
    </x:row>
    <x:row r="16">
      <x:c r="A16" s="7" t="s">
        <x:v>25</x:v>
      </x:c>
      <x:c r="B16" s="21" t="n">
        <x:f>Inputs!B80</x:f>
        <x:v>0.7942857142857143</x:v>
      </x:c>
      <x:c r="C16" s="2"/>
      <x:c r="D16" s="2"/>
      <x:c r="E16" s="2"/>
      <x:c r="F16" s="2"/>
      <x:c r="G16" s="3"/>
    </x:row>
    <x:row r="17">
      <x:c r="A17" s="7" t="s">
        <x:v>26</x:v>
      </x:c>
      <x:c r="B17" s="2" t="s">
        <x:v>27</x:v>
      </x:c>
      <x:c r="C17" s="2"/>
      <x:c r="D17" s="2"/>
      <x:c r="E17" s="2"/>
      <x:c r="F17" s="2"/>
      <x:c r="G17" s="3"/>
    </x:row>
    <x:row r="18">
      <x:c r="A18" s="7"/>
      <x:c r="B18" s="2"/>
      <x:c r="C18" s="2"/>
      <x:c r="D18" s="2"/>
      <x:c r="E18" s="2"/>
      <x:c r="F18" s="2"/>
      <x:c r="G18" s="3"/>
    </x:row>
    <x:row r="19">
      <x:c r="A19" s="16" t="str">
        <x:v>Selected arithmetic checks</x:v>
      </x:c>
      <x:c r="B19" s="14" t="str">
        <x:f>IF(AND(ABS('Revenue summary'!G75)&lt;0.000001,ABS(Geo!G35)&lt;0.000001,ABS('Balance Sheet'!G42)&lt;0.000001,ABS('Cash Flow Statement'!G30)&lt;0.000001,ABS('Income Statement'!G56)&lt;0.000001,B10='Income Statement'!G9,B11='Income Statement'!G53,B12='Income Statement'!G54,B16=Inputs!B80),"Ties","Review")</x:f>
        <x:v>Ties</x:v>
      </x:c>
      <x:c r="C19" s="2"/>
      <x:c r="D19" s="2"/>
      <x:c r="E19" s="2"/>
      <x:c r="F19" s="2"/>
      <x:c r="G19" s="3"/>
    </x:row>
    <x:row r="20">
      <x:c r="A20" s="7"/>
      <x:c r="B20" s="2"/>
      <x:c r="C20" s="2"/>
      <x:c r="D20" s="2"/>
      <x:c r="E20" s="2"/>
      <x:c r="F20" s="2"/>
      <x:c r="G20" s="3"/>
    </x:row>
    <x:row r="21">
      <x:c r="A21" s="7" t="s">
        <x:v>28</x:v>
      </x:c>
      <x:c r="B21" s="2" t="s">
        <x:v>29</x:v>
      </x:c>
      <x:c r="C21" s="2"/>
      <x:c r="D21" s="2"/>
      <x:c r="E21" s="2"/>
      <x:c r="F21" s="2"/>
      <x:c r="G21" s="3"/>
    </x:row>
    <x:row r="22">
      <x:c r="A22" s="7" t="s">
        <x:v>30</x:v>
      </x:c>
      <x:c r="B22" s="2" t="s">
        <x:v>31</x:v>
      </x:c>
      <x:c r="C22" s="2"/>
      <x:c r="D22" s="2"/>
      <x:c r="E22" s="2"/>
      <x:c r="F22" s="2"/>
      <x:c r="G22" s="3"/>
    </x:row>
    <x:row r="23">
      <x:c r="A23" s="7" t="s">
        <x:v>32</x:v>
      </x:c>
      <x:c r="B23" s="2" t="s">
        <x:v>33</x:v>
      </x:c>
      <x:c r="C23" s="2"/>
      <x:c r="D23" s="2"/>
      <x:c r="E23" s="2"/>
      <x:c r="F23" s="2"/>
      <x:c r="G23" s="3"/>
    </x:row>
    <x:row r="24">
      <x:c r="A24" s="7" t="s">
        <x:v>34</x:v>
      </x:c>
      <x:c r="B24" s="2" t="s">
        <x:v>35</x:v>
      </x:c>
      <x:c r="C24" s="2"/>
      <x:c r="D24" s="2"/>
      <x:c r="E24" s="2"/>
      <x:c r="F24" s="2"/>
      <x:c r="G24" s="3"/>
    </x:row>
    <x:row r="25">
      <x:c r="A25" s="7" t="s">
        <x:v>36</x:v>
      </x:c>
      <x:c r="B25" s="5" t="n">
        <x:f>Inputs!B34</x:f>
        <x:v>4</x:v>
      </x:c>
      <x:c r="C25" s="2"/>
      <x:c r="D25" s="2"/>
      <x:c r="E25" s="2"/>
      <x:c r="F25" s="2"/>
      <x:c r="G25" s="3"/>
    </x:row>
    <x:row r="26">
      <x:c r="A26" s="7" t="s">
        <x:v>37</x:v>
      </x:c>
      <x:c r="B26" s="5" t="n">
        <x:f>Inputs!B43</x:f>
        <x:v>3</x:v>
      </x:c>
      <x:c r="C26" s="2"/>
      <x:c r="D26" s="2"/>
      <x:c r="E26" s="2"/>
      <x:c r="F26" s="2"/>
      <x:c r="G26" s="3"/>
    </x:row>
    <x:row r="38" ht="48" customHeight="1">
      <x:c r="J38" s="61" t="str">
        <x:v>EPS calculations reviewed and confirmed errors repaired. Supplemental statements and judgmental assumptions have limitations detailed in Sources. Arithmetic ties are not independent source verification.</x:v>
      </x:c>
    </x:row>
  </x:sheetData>
  <x:pageMargins left="0.7" right="0.7" top="0.75" bottom="0.75" header="0.3" footer="0.3"/>
  <x:drawing xmlns:r="http://schemas.openxmlformats.org/officeDocument/2006/relationships" r:id="R3b51f4289c8148d0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ColWidth="8.42578125" defaultRowHeight="15"/>
  <x:cols>
    <x:col min="1" max="1" width="34" customWidth="1"/>
    <x:col min="2" max="7" width="13" customWidth="1"/>
    <x:col min="8" max="8" width="80" customWidth="1"/>
  </x:cols>
  <x:sheetData>
    <x:row r="1">
      <x:c r="A1" s="6" t="s">
        <x:v>0</x:v>
      </x:c>
      <x:c r="B1" s="6"/>
      <x:c r="C1" s="6"/>
      <x:c r="D1" s="6"/>
      <x:c r="E1" s="6"/>
      <x:c r="F1" s="6"/>
      <x:c r="G1" s="6"/>
    </x:row>
    <x:row r="2">
      <x:c r="A2" s="6" t="s">
        <x:v>38</x:v>
      </x:c>
      <x:c r="B2" s="6"/>
      <x:c r="C2" s="6"/>
      <x:c r="D2" s="6"/>
      <x:c r="E2" s="6"/>
      <x:c r="F2" s="6"/>
      <x:c r="G2" s="6"/>
    </x:row>
    <x:row r="3">
      <x:c r="A3" s="6" t="s">
        <x:v>3</x:v>
      </x:c>
      <x:c r="B3" s="6"/>
      <x:c r="C3" s="6"/>
      <x:c r="D3" s="6"/>
      <x:c r="E3" s="6"/>
      <x:c r="F3" s="6"/>
      <x:c r="G3" s="6"/>
    </x:row>
    <x:row r="4">
      <x:c r="A4" s="4" t="s">
        <x:v>4</x:v>
      </x:c>
      <x:c r="B4" s="55" t="s">
        <x:v>5</x:v>
      </x:c>
      <x:c r="C4" s="55" t="s">
        <x:v>6</x:v>
      </x:c>
      <x:c r="D4" s="55" t="s">
        <x:v>7</x:v>
      </x:c>
      <x:c r="E4" s="55" t="s">
        <x:v>8</x:v>
      </x:c>
      <x:c r="F4" s="55" t="s">
        <x:v>9</x:v>
      </x:c>
      <x:c r="G4" s="55" t="s">
        <x:v>10</x:v>
      </x:c>
    </x:row>
    <x:row r="5">
      <x:c r="A5" s="4" t="s">
        <x:v>11</x:v>
      </x:c>
      <x:c r="B5" s="12">
        <x:v>45900</x:v>
      </x:c>
      <x:c r="C5" s="12">
        <x:v>45991</x:v>
      </x:c>
      <x:c r="D5" s="12">
        <x:v>45991</x:v>
      </x:c>
      <x:c r="E5" s="12">
        <x:v>46081</x:v>
      </x:c>
      <x:c r="F5" s="12">
        <x:v>46173</x:v>
      </x:c>
      <x:c r="G5" s="12">
        <x:v>46265</x:v>
      </x:c>
    </x:row>
    <x:row r="6">
      <x:c r="A6" s="4" t="s">
        <x:v>12</x:v>
      </x:c>
      <x:c r="B6" s="4">
        <x:v>92</x:v>
      </x:c>
      <x:c r="C6" s="4">
        <x:v>91</x:v>
      </x:c>
      <x:c r="D6" s="4">
        <x:v>365</x:v>
      </x:c>
      <x:c r="E6" s="4">
        <x:v>90</x:v>
      </x:c>
      <x:c r="F6" s="4">
        <x:v>92</x:v>
      </x:c>
      <x:c r="G6" s="4">
        <x:v>92</x:v>
      </x:c>
    </x:row>
    <x:row r="7">
      <x:c r="A7" s="7"/>
      <x:c r="B7" s="7"/>
      <x:c r="C7" s="7"/>
      <x:c r="D7" s="7"/>
      <x:c r="E7" s="7"/>
      <x:c r="F7" s="7"/>
      <x:c r="G7" s="11"/>
    </x:row>
    <x:row r="8">
      <x:c r="A8" s="7"/>
      <x:c r="B8" s="2"/>
      <x:c r="C8" s="2"/>
      <x:c r="D8" s="2"/>
      <x:c r="E8" s="2"/>
      <x:c r="F8" s="2"/>
      <x:c r="G8" s="3"/>
    </x:row>
    <x:row r="9">
      <x:c r="A9" s="10" t="s">
        <x:v>39</x:v>
      </x:c>
      <x:c r="B9" s="8" t="n">
        <x:f>Inputs!B91</x:f>
        <x:v>63.437</x:v>
      </x:c>
      <x:c r="C9" s="8" t="n">
        <x:f>Inputs!C91</x:f>
        <x:v>65.21</x:v>
      </x:c>
      <x:c r="D9" s="8" t="n">
        <x:f>Inputs!D91</x:f>
        <x:v>237.887</x:v>
      </x:c>
      <x:c r="E9" s="8" t="n">
        <x:f>Inputs!E91</x:f>
        <x:v>67.581</x:v>
      </x:c>
      <x:c r="F9" s="8" t="n">
        <x:f>Inputs!F91</x:f>
        <x:v>68.979</x:v>
      </x:c>
      <x:c r="G9" s="17" t="n">
        <x:f>G101</x:f>
        <x:v>65.6</x:v>
      </x:c>
      <x:c r="H9" t="s">
        <x:v>40</x:v>
      </x:c>
    </x:row>
    <x:row r="10">
      <x:c r="A10" s="7" t="s">
        <x:v>41</x:v>
      </x:c>
      <x:c r="B10" s="30"/>
      <x:c r="C10" s="30"/>
      <x:c r="D10" s="30"/>
      <x:c r="E10" s="30"/>
      <x:c r="F10" s="30"/>
      <x:c r="G10" s="28" t="n">
        <x:f>G9/B9-1</x:f>
        <x:v>0.03409682046755047</x:v>
      </x:c>
    </x:row>
    <x:row r="11">
      <x:c r="A11" s="7" t="s">
        <x:v>42</x:v>
      </x:c>
      <x:c r="B11" s="2"/>
      <x:c r="C11" s="2" t="n">
        <x:f>C9-B9</x:f>
        <x:v>1.7729999999999961</x:v>
      </x:c>
      <x:c r="D11" s="2"/>
      <x:c r="E11" s="2" t="n">
        <x:f>E9-C9</x:f>
        <x:v>2.3710000000000093</x:v>
      </x:c>
      <x:c r="F11" s="2" t="n">
        <x:f>F9-E9</x:f>
        <x:v>1.3979999999999961</x:v>
      </x:c>
      <x:c r="G11" s="3" t="n">
        <x:f>G9-F9</x:f>
        <x:v>-3.379000000000005</x:v>
      </x:c>
    </x:row>
    <x:row r="12">
      <x:c r="A12" s="7" t="s">
        <x:v>43</x:v>
      </x:c>
      <x:c r="B12" s="30" t="n">
        <x:f>B9/B63</x:f>
        <x:v>0.25395624412017853</x:v>
      </x:c>
      <x:c r="C12" s="30" t="n">
        <x:f>C9/C63</x:f>
        <x:v>0.25808775221042796</x:v>
      </x:c>
      <x:c r="D12" s="30" t="n">
        <x:f>D9/D63</x:f>
        <x:v>0.24328028053927522</x:v>
      </x:c>
      <x:c r="E12" s="30" t="n">
        <x:f>E9/E63</x:f>
        <x:v>0.2727250715297479</x:v>
      </x:c>
      <x:c r="F12" s="30" t="n">
        <x:f>F9/F63</x:f>
        <x:v>0.2721440830094885</x:v>
      </x:c>
      <x:c r="G12" s="28" t="n">
        <x:f>G9/G63</x:f>
        <x:v>0.2609387430389817</x:v>
      </x:c>
    </x:row>
    <x:row r="13">
      <x:c r="A13" s="7" t="s">
        <x:v>44</x:v>
      </x:c>
      <x:c r="B13" s="30"/>
      <x:c r="C13" s="30"/>
      <x:c r="D13" s="30"/>
      <x:c r="E13" s="30"/>
      <x:c r="F13" s="30"/>
      <x:c r="G13" s="28" t="n">
        <x:f>(1+G16)/((1+G14)*(1+G15))-1</x:f>
        <x:v>0.03326952646529646</x:v>
      </x:c>
    </x:row>
    <x:row r="14">
      <x:c r="A14" s="7" t="s">
        <x:v>45</x:v>
      </x:c>
      <x:c r="B14" s="30"/>
      <x:c r="C14" s="30"/>
      <x:c r="D14" s="30"/>
      <x:c r="E14" s="30"/>
      <x:c r="F14" s="30"/>
      <x:c r="G14" s="35" t="n">
        <x:f>Inputs!G258</x:f>
        <x:v>0</x:v>
      </x:c>
    </x:row>
    <x:row r="15">
      <x:c r="A15" s="7" t="s">
        <x:v>46</x:v>
      </x:c>
      <x:c r="B15" s="30"/>
      <x:c r="C15" s="30"/>
      <x:c r="D15" s="30"/>
      <x:c r="E15" s="30"/>
      <x:c r="F15" s="30"/>
      <x:c r="G15" s="35" t="n">
        <x:f>Inputs!G257/B63</x:f>
        <x:v>0.0008006565383614564</x:v>
      </x:c>
    </x:row>
    <x:row r="16">
      <x:c r="A16" s="7" t="s">
        <x:v>47</x:v>
      </x:c>
      <x:c r="B16" s="30"/>
      <x:c r="C16" s="30"/>
      <x:c r="D16" s="30"/>
      <x:c r="E16" s="30"/>
      <x:c r="F16" s="30"/>
      <x:c r="G16" s="28" t="n">
        <x:f>G9/B9-1</x:f>
        <x:v>0.03409682046755047</x:v>
      </x:c>
    </x:row>
    <x:row r="17">
      <x:c r="A17" s="7"/>
      <x:c r="B17" s="2"/>
      <x:c r="C17" s="2"/>
      <x:c r="D17" s="2"/>
      <x:c r="E17" s="2"/>
      <x:c r="F17" s="2"/>
      <x:c r="G17" s="3"/>
    </x:row>
    <x:row r="18">
      <x:c r="A18" s="10" t="s">
        <x:v>48</x:v>
      </x:c>
      <x:c r="B18" s="8" t="n">
        <x:f>Inputs!B93</x:f>
        <x:v>104.849</x:v>
      </x:c>
      <x:c r="C18" s="8" t="n">
        <x:f>Inputs!C93</x:f>
        <x:v>102.299</x:v>
      </x:c>
      <x:c r="D18" s="8" t="n">
        <x:f>Inputs!D93</x:f>
        <x:v>410.174</x:v>
      </x:c>
      <x:c r="E18" s="8" t="n">
        <x:f>Inputs!E93</x:f>
        <x:v>100.339</x:v>
      </x:c>
      <x:c r="F18" s="8" t="n">
        <x:f>Inputs!F93</x:f>
        <x:v>101.222</x:v>
      </x:c>
      <x:c r="G18" s="17" t="n">
        <x:f>G113</x:f>
        <x:v>102.5</x:v>
      </x:c>
    </x:row>
    <x:row r="19">
      <x:c r="A19" s="7" t="s">
        <x:v>41</x:v>
      </x:c>
      <x:c r="B19" s="30"/>
      <x:c r="C19" s="30"/>
      <x:c r="D19" s="30"/>
      <x:c r="E19" s="30"/>
      <x:c r="F19" s="30"/>
      <x:c r="G19" s="28" t="n">
        <x:f>G18/B18-1</x:f>
        <x:v>-0.02240364714971055</x:v>
      </x:c>
    </x:row>
    <x:row r="20">
      <x:c r="A20" s="7" t="s">
        <x:v>42</x:v>
      </x:c>
      <x:c r="B20" s="2"/>
      <x:c r="C20" s="2" t="n">
        <x:f>C18-B18</x:f>
        <x:v>-2.549999999999997</x:v>
      </x:c>
      <x:c r="D20" s="2"/>
      <x:c r="E20" s="2" t="n">
        <x:f>E18-C18</x:f>
        <x:v>-1.960000000000008</x:v>
      </x:c>
      <x:c r="F20" s="2" t="n">
        <x:f>F18-E18</x:f>
        <x:v>0.8829999999999956</x:v>
      </x:c>
      <x:c r="G20" s="3" t="n">
        <x:f>G18-F18</x:f>
        <x:v>1.2780000000000058</x:v>
      </x:c>
    </x:row>
    <x:row r="21">
      <x:c r="A21" s="7" t="s">
        <x:v>43</x:v>
      </x:c>
      <x:c r="B21" s="30" t="n">
        <x:f>B18/B63</x:f>
        <x:v>0.4197401869533017</x:v>
      </x:c>
      <x:c r="C21" s="30" t="n">
        <x:f>C18/C63</x:f>
        <x:v>0.4048783769878021</x:v>
      </x:c>
      <x:c r="D21" s="30" t="n">
        <x:f>D18/D63</x:f>
        <x:v>0.41947330366903895</x:v>
      </x:c>
      <x:c r="E21" s="30" t="n">
        <x:f>E18/E63</x:f>
        <x:v>0.4049209238132518</x:v>
      </x:c>
      <x:c r="F21" s="30" t="n">
        <x:f>F18/F63</x:f>
        <x:v>0.39935296786538577</x:v>
      </x:c>
      <x:c r="G21" s="28" t="n">
        <x:f>G18/G63</x:f>
        <x:v>0.40771678599840894</x:v>
      </x:c>
    </x:row>
    <x:row r="22">
      <x:c r="A22" s="7" t="s">
        <x:v>44</x:v>
      </x:c>
      <x:c r="B22" s="30"/>
      <x:c r="C22" s="30"/>
      <x:c r="D22" s="30"/>
      <x:c r="E22" s="30"/>
      <x:c r="F22" s="30"/>
      <x:c r="G22" s="28" t="n">
        <x:f>(1+G25)/((1+G23)*(1+G24))-1</x:f>
        <x:v>-0.0231857398738452</x:v>
      </x:c>
    </x:row>
    <x:row r="23">
      <x:c r="A23" s="7" t="s">
        <x:v>45</x:v>
      </x:c>
      <x:c r="B23" s="30"/>
      <x:c r="C23" s="30"/>
      <x:c r="D23" s="30"/>
      <x:c r="E23" s="30"/>
      <x:c r="F23" s="30"/>
      <x:c r="G23" s="35" t="n">
        <x:f>Inputs!G258</x:f>
        <x:v>0</x:v>
      </x:c>
    </x:row>
    <x:row r="24">
      <x:c r="A24" s="7" t="s">
        <x:v>46</x:v>
      </x:c>
      <x:c r="B24" s="30"/>
      <x:c r="C24" s="30"/>
      <x:c r="D24" s="30"/>
      <x:c r="E24" s="30"/>
      <x:c r="F24" s="30"/>
      <x:c r="G24" s="35" t="n">
        <x:f>Inputs!G257/B63</x:f>
        <x:v>0.0008006565383614564</x:v>
      </x:c>
    </x:row>
    <x:row r="25">
      <x:c r="A25" s="7" t="s">
        <x:v>47</x:v>
      </x:c>
      <x:c r="B25" s="30"/>
      <x:c r="C25" s="30"/>
      <x:c r="D25" s="30"/>
      <x:c r="E25" s="30"/>
      <x:c r="F25" s="30"/>
      <x:c r="G25" s="28" t="n">
        <x:f>G18/B18-1</x:f>
        <x:v>-0.02240364714971055</x:v>
      </x:c>
    </x:row>
    <x:row r="26">
      <x:c r="A26" s="7"/>
      <x:c r="B26" s="2"/>
      <x:c r="C26" s="2"/>
      <x:c r="D26" s="2"/>
      <x:c r="E26" s="2"/>
      <x:c r="F26" s="2"/>
      <x:c r="G26" s="3"/>
    </x:row>
    <x:row r="27">
      <x:c r="A27" s="10" t="s">
        <x:v>49</x:v>
      </x:c>
      <x:c r="B27" s="8" t="n">
        <x:f>Inputs!B94</x:f>
        <x:v>71.512</x:v>
      </x:c>
      <x:c r="C27" s="8" t="n">
        <x:f>Inputs!C94</x:f>
        <x:v>74.901</x:v>
      </x:c>
      <x:c r="D27" s="8" t="n">
        <x:f>Inputs!D94</x:f>
        <x:v>287.928</x:v>
      </x:c>
      <x:c r="E27" s="8" t="n">
        <x:f>Inputs!E94</x:f>
        <x:v>70.461</x:v>
      </x:c>
      <x:c r="F27" s="8" t="n">
        <x:f>Inputs!F94</x:f>
        <x:v>73.005</x:v>
      </x:c>
      <x:c r="G27" s="17" t="n">
        <x:f>G125</x:f>
        <x:v>73.19999999999999</x:v>
      </x:c>
    </x:row>
    <x:row r="28">
      <x:c r="A28" s="7" t="s">
        <x:v>41</x:v>
      </x:c>
      <x:c r="B28" s="30"/>
      <x:c r="C28" s="30"/>
      <x:c r="D28" s="30"/>
      <x:c r="E28" s="30"/>
      <x:c r="F28" s="30"/>
      <x:c r="G28" s="28" t="n">
        <x:f>G27/B27-1</x:f>
        <x:v>0.023604430025729872</x:v>
      </x:c>
    </x:row>
    <x:row r="29">
      <x:c r="A29" s="7" t="s">
        <x:v>42</x:v>
      </x:c>
      <x:c r="B29" s="2"/>
      <x:c r="C29" s="2" t="n">
        <x:f>C27-B27</x:f>
        <x:v>3.388999999999996</x:v>
      </x:c>
      <x:c r="D29" s="2"/>
      <x:c r="E29" s="2" t="n">
        <x:f>E27-C27</x:f>
        <x:v>-4.439999999999998</x:v>
      </x:c>
      <x:c r="F29" s="2" t="n">
        <x:f>F27-E27</x:f>
        <x:v>2.543999999999997</x:v>
      </x:c>
      <x:c r="G29" s="3" t="n">
        <x:f>G27-F27</x:f>
        <x:v>0.19499999999999318</x:v>
      </x:c>
    </x:row>
    <x:row r="30">
      <x:c r="A30" s="7" t="s">
        <x:v>43</x:v>
      </x:c>
      <x:c r="B30" s="30" t="n">
        <x:f>B27/B63</x:f>
        <x:v>0.28628275185652236</x:v>
      </x:c>
      <x:c r="C30" s="30" t="n">
        <x:f>C27/C63</x:f>
        <x:v>0.2964427346774002</x:v>
      </x:c>
      <x:c r="D30" s="30" t="n">
        <x:f>D27/D63</x:f>
        <x:v>0.2944557904177716</x:v>
      </x:c>
      <x:c r="E30" s="30" t="n">
        <x:f>E27/E63</x:f>
        <x:v>0.2843473944608331</x:v>
      </x:c>
      <x:c r="F30" s="30" t="n">
        <x:f>F27/F63</x:f>
        <x:v>0.28802793285068945</x:v>
      </x:c>
      <x:c r="G30" s="28" t="n">
        <x:f>G27/G63</x:f>
        <x:v>0.2911694510739857</x:v>
      </x:c>
    </x:row>
    <x:row r="31">
      <x:c r="A31" s="7" t="s">
        <x:v>44</x:v>
      </x:c>
      <x:c r="B31" s="30"/>
      <x:c r="C31" s="30"/>
      <x:c r="D31" s="30"/>
      <x:c r="E31" s="30"/>
      <x:c r="F31" s="30"/>
      <x:c r="G31" s="28" t="n">
        <x:f>(1+G34)/((1+G32)*(1+G33))-1</x:f>
        <x:v>0.022785530103710983</x:v>
      </x:c>
    </x:row>
    <x:row r="32">
      <x:c r="A32" s="7" t="s">
        <x:v>45</x:v>
      </x:c>
      <x:c r="B32" s="30"/>
      <x:c r="C32" s="30"/>
      <x:c r="D32" s="30"/>
      <x:c r="E32" s="30"/>
      <x:c r="F32" s="30"/>
      <x:c r="G32" s="35" t="n">
        <x:f>Inputs!G258</x:f>
        <x:v>0</x:v>
      </x:c>
    </x:row>
    <x:row r="33">
      <x:c r="A33" s="7" t="s">
        <x:v>46</x:v>
      </x:c>
      <x:c r="B33" s="30"/>
      <x:c r="C33" s="30"/>
      <x:c r="D33" s="30"/>
      <x:c r="E33" s="30"/>
      <x:c r="F33" s="30"/>
      <x:c r="G33" s="35" t="n">
        <x:f>Inputs!G257/B63</x:f>
        <x:v>0.0008006565383614564</x:v>
      </x:c>
    </x:row>
    <x:row r="34">
      <x:c r="A34" s="7" t="s">
        <x:v>47</x:v>
      </x:c>
      <x:c r="B34" s="30"/>
      <x:c r="C34" s="30"/>
      <x:c r="D34" s="30"/>
      <x:c r="E34" s="30"/>
      <x:c r="F34" s="30"/>
      <x:c r="G34" s="28" t="n">
        <x:f>G27/B27-1</x:f>
        <x:v>0.023604430025729872</x:v>
      </x:c>
    </x:row>
    <x:row r="35">
      <x:c r="A35" s="7"/>
      <x:c r="B35" s="2"/>
      <x:c r="C35" s="2"/>
      <x:c r="D35" s="2"/>
      <x:c r="E35" s="2"/>
      <x:c r="F35" s="2"/>
      <x:c r="G35" s="3"/>
    </x:row>
    <x:row r="36">
      <x:c r="A36" s="10" t="s">
        <x:v>50</x:v>
      </x:c>
      <x:c r="B36" s="8" t="n">
        <x:f>Inputs!B95</x:f>
        <x:v>9.997</x:v>
      </x:c>
      <x:c r="C36" s="8" t="n">
        <x:f>Inputs!C95</x:f>
        <x:v>10.256</x:v>
      </x:c>
      <x:c r="D36" s="8" t="n">
        <x:f>Inputs!D95</x:f>
        <x:v>41.842</x:v>
      </x:c>
      <x:c r="E36" s="8" t="n">
        <x:f>Inputs!E95</x:f>
        <x:v>9.418</x:v>
      </x:c>
      <x:c r="F36" s="8" t="n">
        <x:f>Inputs!F95</x:f>
        <x:v>10.259</x:v>
      </x:c>
      <x:c r="G36" s="17" t="n">
        <x:f>G137</x:f>
        <x:v>10.1</x:v>
      </x:c>
    </x:row>
    <x:row r="37">
      <x:c r="A37" s="7" t="s">
        <x:v>41</x:v>
      </x:c>
      <x:c r="B37" s="30"/>
      <x:c r="C37" s="30"/>
      <x:c r="D37" s="30"/>
      <x:c r="E37" s="30"/>
      <x:c r="F37" s="30"/>
      <x:c r="G37" s="28" t="n">
        <x:f>G36/B36-1</x:f>
        <x:v>0.010303090927278102</x:v>
      </x:c>
    </x:row>
    <x:row r="38">
      <x:c r="A38" s="7" t="s">
        <x:v>42</x:v>
      </x:c>
      <x:c r="B38" s="2"/>
      <x:c r="C38" s="2" t="n">
        <x:f>C36-B36</x:f>
        <x:v>0.25900000000000034</x:v>
      </x:c>
      <x:c r="D38" s="2"/>
      <x:c r="E38" s="2" t="n">
        <x:f>E36-C36</x:f>
        <x:v>-0.838000000000001</x:v>
      </x:c>
      <x:c r="F38" s="2" t="n">
        <x:f>F36-E36</x:f>
        <x:v>0.8410000000000011</x:v>
      </x:c>
      <x:c r="G38" s="3" t="n">
        <x:f>G36-F36</x:f>
        <x:v>-0.1590000000000007</x:v>
      </x:c>
    </x:row>
    <x:row r="39">
      <x:c r="A39" s="7" t="s">
        <x:v>43</x:v>
      </x:c>
      <x:c r="B39" s="30" t="n">
        <x:f>B36/B63</x:f>
        <x:v>0.0400208170699974</x:v>
      </x:c>
      <x:c r="C39" s="30" t="n">
        <x:f>C36/C63</x:f>
        <x:v>0.04059113612436972</x:v>
      </x:c>
      <x:c r="D39" s="30" t="n">
        <x:f>D36/D63</x:f>
        <x:v>0.04279062537391431</x:v>
      </x:c>
      <x:c r="E39" s="30" t="n">
        <x:f>E36/E63</x:f>
        <x:v>0.038006610196167044</x:v>
      </x:c>
      <x:c r="F39" s="30" t="n">
        <x:f>F36/F63</x:f>
        <x:v>0.040475016274436316</x:v>
      </x:c>
      <x:c r="G39" s="28" t="n">
        <x:f>G36/G63</x:f>
        <x:v>0.04017501988862371</x:v>
      </x:c>
    </x:row>
    <x:row r="40">
      <x:c r="A40" s="7" t="s">
        <x:v>44</x:v>
      </x:c>
      <x:c r="B40" s="30"/>
      <x:c r="C40" s="30"/>
      <x:c r="D40" s="30"/>
      <x:c r="E40" s="30"/>
      <x:c r="F40" s="30"/>
      <x:c r="G40" s="28" t="n">
        <x:f>(1+G43)/((1+G41)*(1+G42))-1</x:f>
        <x:v>0.009494832289363542</x:v>
      </x:c>
    </x:row>
    <x:row r="41">
      <x:c r="A41" s="7" t="s">
        <x:v>45</x:v>
      </x:c>
      <x:c r="B41" s="30"/>
      <x:c r="C41" s="30"/>
      <x:c r="D41" s="30"/>
      <x:c r="E41" s="30"/>
      <x:c r="F41" s="30"/>
      <x:c r="G41" s="35" t="n">
        <x:f>Inputs!G258</x:f>
        <x:v>0</x:v>
      </x:c>
    </x:row>
    <x:row r="42">
      <x:c r="A42" s="7" t="s">
        <x:v>46</x:v>
      </x:c>
      <x:c r="B42" s="30"/>
      <x:c r="C42" s="30"/>
      <x:c r="D42" s="30"/>
      <x:c r="E42" s="30"/>
      <x:c r="F42" s="30"/>
      <x:c r="G42" s="35" t="n">
        <x:f>Inputs!G257/B63</x:f>
        <x:v>0.0008006565383614564</x:v>
      </x:c>
    </x:row>
    <x:row r="43">
      <x:c r="A43" s="7" t="s">
        <x:v>47</x:v>
      </x:c>
      <x:c r="B43" s="30"/>
      <x:c r="C43" s="30"/>
      <x:c r="D43" s="30"/>
      <x:c r="E43" s="30"/>
      <x:c r="F43" s="30"/>
      <x:c r="G43" s="28" t="n">
        <x:f>G36/B36-1</x:f>
        <x:v>0.010303090927278102</x:v>
      </x:c>
    </x:row>
    <x:row r="44">
      <x:c r="A44" s="7"/>
      <x:c r="B44" s="2"/>
      <x:c r="C44" s="2"/>
      <x:c r="D44" s="2"/>
      <x:c r="E44" s="2"/>
      <x:c r="F44" s="2"/>
      <x:c r="G44" s="3"/>
    </x:row>
    <x:row r="45">
      <x:c r="A45" s="10" t="s">
        <x:v>51</x:v>
      </x:c>
      <x:c r="B45" s="13" t="n">
        <x:f>SUM(B18,B27)</x:f>
        <x:v>176.361</x:v>
      </x:c>
      <x:c r="C45" s="13" t="n">
        <x:f>SUM(C18,C27)</x:f>
        <x:v>177.2</x:v>
      </x:c>
      <x:c r="D45" s="13" t="n">
        <x:f>SUM(D18,D27)</x:f>
        <x:v>698.102</x:v>
      </x:c>
      <x:c r="E45" s="13" t="n">
        <x:f>SUM(E18,E27)</x:f>
        <x:v>170.8</x:v>
      </x:c>
      <x:c r="F45" s="13" t="n">
        <x:f>SUM(F18,F27)</x:f>
        <x:v>174.22699999999998</x:v>
      </x:c>
      <x:c r="G45" s="17" t="n">
        <x:f>SUM(G18,G27)</x:f>
        <x:v>175.7</x:v>
      </x:c>
    </x:row>
    <x:row r="46">
      <x:c r="A46" s="7" t="s">
        <x:v>41</x:v>
      </x:c>
      <x:c r="B46" s="30"/>
      <x:c r="C46" s="30"/>
      <x:c r="D46" s="30"/>
      <x:c r="E46" s="30"/>
      <x:c r="F46" s="30"/>
      <x:c r="G46" s="28" t="n">
        <x:f>G45/B45-1</x:f>
        <x:v>-0.0037479941710468756</x:v>
      </x:c>
    </x:row>
    <x:row r="47">
      <x:c r="A47" s="7" t="s">
        <x:v>42</x:v>
      </x:c>
      <x:c r="B47" s="2"/>
      <x:c r="C47" s="2" t="n">
        <x:f>C45-B45</x:f>
        <x:v>0.8389999999999986</x:v>
      </x:c>
      <x:c r="D47" s="2"/>
      <x:c r="E47" s="2" t="n">
        <x:f>E45-C45</x:f>
        <x:v>-6.399999999999977</x:v>
      </x:c>
      <x:c r="F47" s="2" t="n">
        <x:f>F45-E45</x:f>
        <x:v>3.426999999999964</x:v>
      </x:c>
      <x:c r="G47" s="3" t="n">
        <x:f>G45-F45</x:f>
        <x:v>1.4730000000000132</x:v>
      </x:c>
    </x:row>
    <x:row r="48">
      <x:c r="A48" s="7" t="s">
        <x:v>43</x:v>
      </x:c>
      <x:c r="B48" s="30" t="n">
        <x:f>B45/B63</x:f>
        <x:v>0.7060229388098239</x:v>
      </x:c>
      <x:c r="C48" s="30" t="n">
        <x:f>C45/C63</x:f>
        <x:v>0.7013211116652023</x:v>
      </x:c>
      <x:c r="D48" s="30" t="n">
        <x:f>D45/D63</x:f>
        <x:v>0.7139290940868106</x:v>
      </x:c>
      <x:c r="E48" s="30" t="n">
        <x:f>E45/E63</x:f>
        <x:v>0.689268318274085</x:v>
      </x:c>
      <x:c r="F48" s="30" t="n">
        <x:f>F45/F63</x:f>
        <x:v>0.6873809007160752</x:v>
      </x:c>
      <x:c r="G48" s="28" t="n">
        <x:f>G45/G63</x:f>
        <x:v>0.6988862370723946</x:v>
      </x:c>
    </x:row>
    <x:row r="49">
      <x:c r="A49" s="7" t="s">
        <x:v>44</x:v>
      </x:c>
      <x:c r="B49" s="30"/>
      <x:c r="C49" s="30"/>
      <x:c r="D49" s="30"/>
      <x:c r="E49" s="30"/>
      <x:c r="F49" s="30"/>
      <x:c r="G49" s="28" t="n">
        <x:f>(1+G52)/((1+G50)*(1+G51))-1</x:f>
        <x:v>-0.0045450117160608094</x:v>
      </x:c>
    </x:row>
    <x:row r="50">
      <x:c r="A50" s="7" t="s">
        <x:v>45</x:v>
      </x:c>
      <x:c r="B50" s="30"/>
      <x:c r="C50" s="30"/>
      <x:c r="D50" s="30"/>
      <x:c r="E50" s="30"/>
      <x:c r="F50" s="30"/>
      <x:c r="G50" s="35" t="n">
        <x:f>Inputs!G258</x:f>
        <x:v>0</x:v>
      </x:c>
    </x:row>
    <x:row r="51">
      <x:c r="A51" s="7" t="s">
        <x:v>46</x:v>
      </x:c>
      <x:c r="B51" s="30"/>
      <x:c r="C51" s="30"/>
      <x:c r="D51" s="30"/>
      <x:c r="E51" s="30"/>
      <x:c r="F51" s="30"/>
      <x:c r="G51" s="35" t="n">
        <x:f>Inputs!G257/B63</x:f>
        <x:v>0.0008006565383614564</x:v>
      </x:c>
    </x:row>
    <x:row r="52">
      <x:c r="A52" s="7" t="s">
        <x:v>47</x:v>
      </x:c>
      <x:c r="B52" s="30"/>
      <x:c r="C52" s="30"/>
      <x:c r="D52" s="30"/>
      <x:c r="E52" s="30"/>
      <x:c r="F52" s="30"/>
      <x:c r="G52" s="28" t="n">
        <x:f>G45/B45-1</x:f>
        <x:v>-0.0037479941710468756</x:v>
      </x:c>
    </x:row>
    <x:row r="53">
      <x:c r="A53" s="7"/>
      <x:c r="B53" s="2"/>
      <x:c r="C53" s="2"/>
      <x:c r="D53" s="2"/>
      <x:c r="E53" s="2"/>
      <x:c r="F53" s="2"/>
      <x:c r="G53" s="3"/>
    </x:row>
    <x:row r="54">
      <x:c r="A54" s="10" t="s">
        <x:v>52</x:v>
      </x:c>
      <x:c r="B54" s="13" t="n">
        <x:f>SUM(B45,B36)</x:f>
        <x:v>186.358</x:v>
      </x:c>
      <x:c r="C54" s="13" t="n">
        <x:f>SUM(C45,C36)</x:f>
        <x:v>187.456</x:v>
      </x:c>
      <x:c r="D54" s="13" t="n">
        <x:f>SUM(D45,D36)</x:f>
        <x:v>739.944</x:v>
      </x:c>
      <x:c r="E54" s="13" t="n">
        <x:f>SUM(E45,E36)</x:f>
        <x:v>180.21800000000002</x:v>
      </x:c>
      <x:c r="F54" s="13" t="n">
        <x:f>SUM(F45,F36)</x:f>
        <x:v>184.486</x:v>
      </x:c>
      <x:c r="G54" s="17" t="n">
        <x:f>SUM(G45,G36)</x:f>
        <x:v>185.79999999999998</x:v>
      </x:c>
    </x:row>
    <x:row r="55">
      <x:c r="A55" s="7" t="s">
        <x:v>41</x:v>
      </x:c>
      <x:c r="B55" s="30"/>
      <x:c r="C55" s="30"/>
      <x:c r="D55" s="30"/>
      <x:c r="E55" s="30"/>
      <x:c r="F55" s="30"/>
      <x:c r="G55" s="28" t="n">
        <x:f>G54/B54-1</x:f>
        <x:v>-0.002994236898872127</x:v>
      </x:c>
    </x:row>
    <x:row r="56">
      <x:c r="A56" s="7" t="s">
        <x:v>42</x:v>
      </x:c>
      <x:c r="B56" s="2"/>
      <x:c r="C56" s="2" t="n">
        <x:f>C54-B54</x:f>
        <x:v>1.0979999999999848</x:v>
      </x:c>
      <x:c r="D56" s="2"/>
      <x:c r="E56" s="2" t="n">
        <x:f>E54-C54</x:f>
        <x:v>-7.237999999999971</x:v>
      </x:c>
      <x:c r="F56" s="2" t="n">
        <x:f>F54-E54</x:f>
        <x:v>4.267999999999972</x:v>
      </x:c>
      <x:c r="G56" s="3" t="n">
        <x:f>G54-F54</x:f>
        <x:v>1.313999999999993</x:v>
      </x:c>
    </x:row>
    <x:row r="57">
      <x:c r="A57" s="7" t="s">
        <x:v>43</x:v>
      </x:c>
      <x:c r="B57" s="30" t="n">
        <x:f>B54/B63</x:f>
        <x:v>0.7460437558798214</x:v>
      </x:c>
      <x:c r="C57" s="30" t="n">
        <x:f>C54/C63</x:f>
        <x:v>0.741912247789572</x:v>
      </x:c>
      <x:c r="D57" s="30" t="n">
        <x:f>D54/D63</x:f>
        <x:v>0.7567197194607248</x:v>
      </x:c>
      <x:c r="E57" s="30" t="n">
        <x:f>E54/E63</x:f>
        <x:v>0.7272749284702521</x:v>
      </x:c>
      <x:c r="F57" s="30" t="n">
        <x:f>F54/F63</x:f>
        <x:v>0.7278559169905116</x:v>
      </x:c>
      <x:c r="G57" s="28" t="n">
        <x:f>G54/G63</x:f>
        <x:v>0.7390612569610183</x:v>
      </x:c>
    </x:row>
    <x:row r="58">
      <x:c r="A58" s="7" t="s">
        <x:v>44</x:v>
      </x:c>
      <x:c r="B58" s="30"/>
      <x:c r="C58" s="30"/>
      <x:c r="D58" s="30"/>
      <x:c r="E58" s="30"/>
      <x:c r="F58" s="30"/>
      <x:c r="G58" s="28" t="n">
        <x:f>(1+G61)/((1+G59)*(1+G60))-1</x:f>
        <x:v>-0.0037918574617642475</x:v>
      </x:c>
    </x:row>
    <x:row r="59">
      <x:c r="A59" s="7" t="s">
        <x:v>45</x:v>
      </x:c>
      <x:c r="B59" s="30"/>
      <x:c r="C59" s="30"/>
      <x:c r="D59" s="30"/>
      <x:c r="E59" s="30"/>
      <x:c r="F59" s="30"/>
      <x:c r="G59" s="35" t="n">
        <x:f>Inputs!G258</x:f>
        <x:v>0</x:v>
      </x:c>
    </x:row>
    <x:row r="60">
      <x:c r="A60" s="7" t="s">
        <x:v>46</x:v>
      </x:c>
      <x:c r="B60" s="30"/>
      <x:c r="C60" s="30"/>
      <x:c r="D60" s="30"/>
      <x:c r="E60" s="30"/>
      <x:c r="F60" s="30"/>
      <x:c r="G60" s="35" t="n">
        <x:f>Inputs!G257/B63</x:f>
        <x:v>0.0008006565383614564</x:v>
      </x:c>
    </x:row>
    <x:row r="61">
      <x:c r="A61" s="7" t="s">
        <x:v>47</x:v>
      </x:c>
      <x:c r="B61" s="30"/>
      <x:c r="C61" s="30"/>
      <x:c r="D61" s="30"/>
      <x:c r="E61" s="30"/>
      <x:c r="F61" s="30"/>
      <x:c r="G61" s="28" t="n">
        <x:f>G54/B54-1</x:f>
        <x:v>-0.002994236898872127</x:v>
      </x:c>
    </x:row>
    <x:row r="62">
      <x:c r="A62" s="7"/>
      <x:c r="B62" s="2"/>
      <x:c r="C62" s="2"/>
      <x:c r="D62" s="2"/>
      <x:c r="E62" s="2"/>
      <x:c r="F62" s="2"/>
      <x:c r="G62" s="3"/>
    </x:row>
    <x:row r="63">
      <x:c r="A63" s="10" t="s">
        <x:v>53</x:v>
      </x:c>
      <x:c r="B63" s="13" t="n">
        <x:f>SUM(B9,B54)</x:f>
        <x:v>249.79500000000002</x:v>
      </x:c>
      <x:c r="C63" s="13" t="n">
        <x:f>SUM(C9,C54)</x:f>
        <x:v>252.666</x:v>
      </x:c>
      <x:c r="D63" s="13" t="n">
        <x:f>SUM(D9,D54)</x:f>
        <x:v>977.8309999999999</x:v>
      </x:c>
      <x:c r="E63" s="13" t="n">
        <x:f>SUM(E9,E54)</x:f>
        <x:v>247.79900000000004</x:v>
      </x:c>
      <x:c r="F63" s="13" t="n">
        <x:f>SUM(F9,F54)</x:f>
        <x:v>253.46499999999997</x:v>
      </x:c>
      <x:c r="G63" s="17" t="n">
        <x:f>SUM(G9,G54)</x:f>
        <x:v>251.39999999999998</x:v>
      </x:c>
    </x:row>
    <x:row r="64">
      <x:c r="A64" s="7" t="s">
        <x:v>41</x:v>
      </x:c>
      <x:c r="B64" s="30"/>
      <x:c r="C64" s="30"/>
      <x:c r="D64" s="30"/>
      <x:c r="E64" s="30"/>
      <x:c r="F64" s="30"/>
      <x:c r="G64" s="28" t="n">
        <x:f>G63/B63-1</x:f>
        <x:v>0.006425268720350541</x:v>
      </x:c>
    </x:row>
    <x:row r="65">
      <x:c r="A65" s="7" t="s">
        <x:v>42</x:v>
      </x:c>
      <x:c r="B65" s="2"/>
      <x:c r="C65" s="2" t="n">
        <x:f>C63-B63</x:f>
        <x:v>2.870999999999981</x:v>
      </x:c>
      <x:c r="D65" s="2"/>
      <x:c r="E65" s="2" t="n">
        <x:f>E63-C63</x:f>
        <x:v>-4.866999999999962</x:v>
      </x:c>
      <x:c r="F65" s="2" t="n">
        <x:f>F63-E63</x:f>
        <x:v>5.66599999999994</x:v>
      </x:c>
      <x:c r="G65" s="3" t="n">
        <x:f>G63-F63</x:f>
        <x:v>-2.0649999999999977</x:v>
      </x:c>
    </x:row>
    <x:row r="66">
      <x:c r="A66" s="7" t="s">
        <x:v>43</x:v>
      </x:c>
      <x:c r="B66" s="30" t="n">
        <x:f>B63/B63</x:f>
        <x:v>1</x:v>
      </x:c>
      <x:c r="C66" s="30" t="n">
        <x:f>C63/C63</x:f>
        <x:v>1</x:v>
      </x:c>
      <x:c r="D66" s="30" t="n">
        <x:f>D63/D63</x:f>
        <x:v>1</x:v>
      </x:c>
      <x:c r="E66" s="30" t="n">
        <x:f>E63/E63</x:f>
        <x:v>1</x:v>
      </x:c>
      <x:c r="F66" s="30" t="n">
        <x:f>F63/F63</x:f>
        <x:v>1</x:v>
      </x:c>
      <x:c r="G66" s="28" t="n">
        <x:f>G63/G63</x:f>
        <x:v>1</x:v>
      </x:c>
    </x:row>
    <x:row r="67">
      <x:c r="A67" s="7" t="s">
        <x:v>44</x:v>
      </x:c>
      <x:c r="B67" s="30"/>
      <x:c r="C67" s="30"/>
      <x:c r="D67" s="30"/>
      <x:c r="E67" s="30"/>
      <x:c r="F67" s="30"/>
      <x:c r="G67" s="28" t="n">
        <x:f>(1+G70)/((1+G68)*(1+G69))-1</x:f>
        <x:v>0.005620112402247912</x:v>
      </x:c>
    </x:row>
    <x:row r="68">
      <x:c r="A68" s="7" t="s">
        <x:v>45</x:v>
      </x:c>
      <x:c r="B68" s="30"/>
      <x:c r="C68" s="30"/>
      <x:c r="D68" s="30"/>
      <x:c r="E68" s="30"/>
      <x:c r="F68" s="30"/>
      <x:c r="G68" s="35" t="n">
        <x:f>Inputs!G258</x:f>
        <x:v>0</x:v>
      </x:c>
    </x:row>
    <x:row r="69">
      <x:c r="A69" s="7" t="s">
        <x:v>46</x:v>
      </x:c>
      <x:c r="B69" s="30"/>
      <x:c r="C69" s="30"/>
      <x:c r="D69" s="30"/>
      <x:c r="E69" s="30"/>
      <x:c r="F69" s="30"/>
      <x:c r="G69" s="35" t="n">
        <x:f>Inputs!G257/B63</x:f>
        <x:v>0.0008006565383614564</x:v>
      </x:c>
    </x:row>
    <x:row r="70">
      <x:c r="A70" s="7" t="s">
        <x:v>47</x:v>
      </x:c>
      <x:c r="B70" s="30"/>
      <x:c r="C70" s="30"/>
      <x:c r="D70" s="30"/>
      <x:c r="E70" s="30"/>
      <x:c r="F70" s="30"/>
      <x:c r="G70" s="28" t="n">
        <x:f>G63/B63-1</x:f>
        <x:v>0.006425268720350541</x:v>
      </x:c>
    </x:row>
    <x:row r="71">
      <x:c r="A71" s="7"/>
      <x:c r="B71" s="2"/>
      <x:c r="C71" s="2"/>
      <x:c r="D71" s="2"/>
      <x:c r="E71" s="2"/>
      <x:c r="F71" s="2"/>
      <x:c r="G71" s="3"/>
    </x:row>
    <x:row r="72">
      <x:c r="A72" s="7" t="s">
        <x:v>54</x:v>
      </x:c>
      <x:c r="B72" s="2"/>
      <x:c r="C72" s="2"/>
      <x:c r="D72" s="2"/>
      <x:c r="E72" s="2"/>
      <x:c r="F72" s="2"/>
      <x:c r="G72" s="3"/>
    </x:row>
    <x:row r="73">
      <x:c r="A73" s="10" t="s">
        <x:v>55</x:v>
      </x:c>
      <x:c r="B73" s="13" t="n">
        <x:f>B63</x:f>
        <x:v>249.79500000000002</x:v>
      </x:c>
      <x:c r="C73" s="13" t="n">
        <x:f>C63</x:f>
        <x:v>252.666</x:v>
      </x:c>
      <x:c r="D73" s="13" t="n">
        <x:f>D63</x:f>
        <x:v>977.8309999999999</x:v>
      </x:c>
      <x:c r="E73" s="13" t="n">
        <x:f>E63</x:f>
        <x:v>247.79900000000004</x:v>
      </x:c>
      <x:c r="F73" s="13" t="n">
        <x:f>F63</x:f>
        <x:v>253.46499999999997</x:v>
      </x:c>
      <x:c r="G73" s="17" t="n">
        <x:f>G63</x:f>
        <x:v>251.39999999999998</x:v>
      </x:c>
    </x:row>
    <x:row r="74">
      <x:c r="A74" s="7" t="s">
        <x:v>43</x:v>
      </x:c>
      <x:c r="B74" s="30" t="n">
        <x:f>B73/B63</x:f>
        <x:v>1</x:v>
      </x:c>
      <x:c r="C74" s="30" t="n">
        <x:f>C73/C63</x:f>
        <x:v>1</x:v>
      </x:c>
      <x:c r="D74" s="30" t="n">
        <x:f>D73/D63</x:f>
        <x:v>1</x:v>
      </x:c>
      <x:c r="E74" s="30" t="n">
        <x:f>E73/E63</x:f>
        <x:v>1</x:v>
      </x:c>
      <x:c r="F74" s="30" t="n">
        <x:f>F73/F63</x:f>
        <x:v>1</x:v>
      </x:c>
      <x:c r="G74" s="28" t="n">
        <x:f>G73/G63</x:f>
        <x:v>1</x:v>
      </x:c>
    </x:row>
    <x:row r="75">
      <x:c r="A75" s="10" t="s">
        <x:v>56</x:v>
      </x:c>
      <x:c r="B75" s="13" t="n">
        <x:f>B73-B63</x:f>
        <x:v>0</x:v>
      </x:c>
      <x:c r="C75" s="13" t="n">
        <x:f>C73-C63</x:f>
        <x:v>0</x:v>
      </x:c>
      <x:c r="D75" s="13" t="n">
        <x:f>D73-D63</x:f>
        <x:v>0</x:v>
      </x:c>
      <x:c r="E75" s="13" t="n">
        <x:f>E73-E63</x:f>
        <x:v>0</x:v>
      </x:c>
      <x:c r="F75" s="13" t="n">
        <x:f>F73-F63</x:f>
        <x:v>0</x:v>
      </x:c>
      <x:c r="G75" s="17" t="n">
        <x:f>G73-G63</x:f>
        <x:v>0</x:v>
      </x:c>
    </x:row>
    <x:row r="76">
      <x:c r="A76" s="7" t="s">
        <x:v>57</x:v>
      </x:c>
      <x:c r="B76" s="2"/>
      <x:c r="C76" s="2"/>
      <x:c r="D76" s="2"/>
      <x:c r="E76" s="2"/>
      <x:c r="F76" s="2"/>
      <x:c r="G76" s="28" t="n">
        <x:f>G73/B73-1</x:f>
        <x:v>0.006425268720350541</x:v>
      </x:c>
    </x:row>
    <x:row r="77">
      <x:c r="A77" s="7" t="s">
        <x:v>58</x:v>
      </x:c>
      <x:c r="B77" s="2"/>
      <x:c r="C77" s="2"/>
      <x:c r="D77" s="2"/>
      <x:c r="E77" s="2"/>
      <x:c r="F77" s="2"/>
      <x:c r="G77" s="28" t="n">
        <x:f>G73/F73-1</x:f>
        <x:v>-0.00814708145108789</x:v>
      </x:c>
    </x:row>
    <x:row r="78">
      <x:c r="A78" s="7" t="s">
        <x:v>59</x:v>
      </x:c>
      <x:c r="B78" s="2"/>
      <x:c r="C78" s="2"/>
      <x:c r="D78" s="2"/>
      <x:c r="E78" s="2"/>
      <x:c r="F78" s="2"/>
      <x:c r="G78" s="3"/>
    </x:row>
    <x:row r="79">
      <x:c r="A79" s="7" t="s">
        <x:v>60</x:v>
      </x:c>
      <x:c r="B79" s="2"/>
      <x:c r="C79" s="2" t="n">
        <x:f>B83</x:f>
        <x:v>849</x:v>
      </x:c>
      <x:c r="D79" s="2"/>
      <x:c r="E79" s="2" t="n">
        <x:f>C83</x:f>
        <x:v>852</x:v>
      </x:c>
      <x:c r="F79" s="2" t="n">
        <x:f>E83</x:f>
        <x:v>863</x:v>
      </x:c>
      <x:c r="G79" s="3" t="n">
        <x:f>F83</x:f>
        <x:v>868</x:v>
      </x:c>
    </x:row>
    <x:row r="80">
      <x:c r="A80" s="7" t="s">
        <x:v>61</x:v>
      </x:c>
      <x:c r="B80" s="2"/>
      <x:c r="C80" s="2"/>
      <x:c r="D80" s="2"/>
      <x:c r="E80" s="2"/>
      <x:c r="F80" s="2"/>
      <x:c r="G80" s="3"/>
    </x:row>
    <x:row r="81">
      <x:c r="A81" s="7" t="s">
        <x:v>62</x:v>
      </x:c>
      <x:c r="B81" s="2"/>
      <x:c r="C81" s="2"/>
      <x:c r="D81" s="2"/>
      <x:c r="E81" s="2"/>
      <x:c r="F81" s="2"/>
      <x:c r="G81" s="3"/>
    </x:row>
    <x:row r="82">
      <x:c r="A82" s="7" t="s">
        <x:v>63</x:v>
      </x:c>
      <x:c r="B82" s="2"/>
      <x:c r="C82" s="2" t="n">
        <x:f>C83-C79</x:f>
        <x:v>3</x:v>
      </x:c>
      <x:c r="D82" s="2"/>
      <x:c r="E82" s="2" t="n">
        <x:f>E83-E79</x:f>
        <x:v>11</x:v>
      </x:c>
      <x:c r="F82" s="2" t="n">
        <x:f>F83-F79</x:f>
        <x:v>5</x:v>
      </x:c>
      <x:c r="G82" s="3" t="n">
        <x:f>G83-G79</x:f>
        <x:v>5</x:v>
      </x:c>
    </x:row>
    <x:row r="83">
      <x:c r="A83" s="10" t="s">
        <x:v>64</x:v>
      </x:c>
      <x:c r="B83" s="8" t="n">
        <x:f>Inputs!B134</x:f>
        <x:v>849</x:v>
      </x:c>
      <x:c r="C83" s="8" t="n">
        <x:f>Inputs!C134</x:f>
        <x:v>852</x:v>
      </x:c>
      <x:c r="D83" s="13" t="n">
        <x:f>C83</x:f>
        <x:v>852</x:v>
      </x:c>
      <x:c r="E83" s="8" t="n">
        <x:f>Inputs!E134</x:f>
        <x:v>863</x:v>
      </x:c>
      <x:c r="F83" s="8" t="n">
        <x:f>Inputs!F134</x:f>
        <x:v>868</x:v>
      </x:c>
      <x:c r="G83" s="15" t="n">
        <x:f>F83+Inputs!G135</x:f>
        <x:v>873</x:v>
      </x:c>
    </x:row>
    <x:row r="84">
      <x:c r="A84" s="7" t="s">
        <x:v>65</x:v>
      </x:c>
      <x:c r="B84" s="2"/>
      <x:c r="C84" s="2" t="n">
        <x:f>AVERAGE(C79,C83)</x:f>
        <x:v>850.5</x:v>
      </x:c>
      <x:c r="D84" s="2"/>
      <x:c r="E84" s="2" t="n">
        <x:f>AVERAGE(E79,E83)</x:f>
        <x:v>857.5</x:v>
      </x:c>
      <x:c r="F84" s="2" t="n">
        <x:f>AVERAGE(F79,F83)</x:f>
        <x:v>865.5</x:v>
      </x:c>
      <x:c r="G84" s="3" t="n">
        <x:f>AVERAGE(G79,G83)</x:f>
        <x:v>870.5</x:v>
      </x:c>
    </x:row>
    <x:row r="85">
      <x:c r="A85" s="7" t="s">
        <x:v>66</x:v>
      </x:c>
      <x:c r="B85" s="30"/>
      <x:c r="C85" s="30"/>
      <x:c r="D85" s="30"/>
      <x:c r="E85" s="30"/>
      <x:c r="F85" s="30"/>
      <x:c r="G85" s="28" t="n">
        <x:f>G83/B83-1</x:f>
        <x:v>0.028268551236749095</x:v>
      </x:c>
    </x:row>
    <x:row r="86">
      <x:c r="A86" s="7" t="s">
        <x:v>67</x:v>
      </x:c>
      <x:c r="B86" s="2"/>
      <x:c r="C86" s="2" t="n">
        <x:f>C83-C79</x:f>
        <x:v>3</x:v>
      </x:c>
      <x:c r="D86" s="2"/>
      <x:c r="E86" s="2" t="n">
        <x:f>E83-E79</x:f>
        <x:v>11</x:v>
      </x:c>
      <x:c r="F86" s="2" t="n">
        <x:f>F83-F79</x:f>
        <x:v>5</x:v>
      </x:c>
      <x:c r="G86" s="3" t="n">
        <x:f>G83-G79</x:f>
        <x:v>5</x:v>
      </x:c>
    </x:row>
    <x:row r="87">
      <x:c r="A87" s="7" t="s">
        <x:v>68</x:v>
      </x:c>
      <x:c r="B87" s="31" t="n">
        <x:f>Inputs!B136</x:f>
        <x:v>1</x:v>
      </x:c>
      <x:c r="C87" s="31" t="n">
        <x:f>Inputs!C136</x:f>
        <x:v>1</x:v>
      </x:c>
      <x:c r="D87" s="31" t="n">
        <x:f>Inputs!D136</x:f>
        <x:v>1</x:v>
      </x:c>
      <x:c r="E87" s="31" t="n">
        <x:f>Inputs!E136</x:f>
        <x:v>1</x:v>
      </x:c>
      <x:c r="F87" s="31" t="n">
        <x:f>Inputs!F136</x:f>
        <x:v>1</x:v>
      </x:c>
      <x:c r="G87" s="35" t="n">
        <x:f>Inputs!G136</x:f>
        <x:v>1</x:v>
      </x:c>
    </x:row>
    <x:row r="88">
      <x:c r="A88" s="7" t="s">
        <x:v>69</x:v>
      </x:c>
      <x:c r="B88" s="2"/>
      <x:c r="C88" s="2"/>
      <x:c r="D88" s="2"/>
      <x:c r="E88" s="2"/>
      <x:c r="F88" s="2"/>
      <x:c r="G88" s="9" t="n">
        <x:f>(G87-F87)*Inputs!G256</x:f>
        <x:v>0</x:v>
      </x:c>
    </x:row>
    <x:row r="89">
      <x:c r="A89" s="7"/>
      <x:c r="B89" s="2"/>
      <x:c r="C89" s="2"/>
      <x:c r="D89" s="2"/>
      <x:c r="E89" s="2"/>
      <x:c r="F89" s="2"/>
      <x:c r="G89" s="3"/>
    </x:row>
    <x:row r="90">
      <x:c r="A90" s="7"/>
      <x:c r="B90" s="2"/>
      <x:c r="C90" s="2"/>
      <x:c r="D90" s="2"/>
      <x:c r="E90" s="2"/>
      <x:c r="F90" s="2"/>
      <x:c r="G90" s="3"/>
      <x:c r="H90" s="36" t="s">
        <x:v>70</x:v>
      </x:c>
    </x:row>
    <x:row r="91">
      <x:c r="A91" t="s">
        <x:v>71</x:v>
      </x:c>
      <x:c r="G91" s="43" t="n">
        <x:f>(G87-B87)*Inputs!G256</x:f>
        <x:v>0</x:v>
      </x:c>
      <x:c r="H91" s="36" t="s">
        <x:v>72</x:v>
      </x:c>
    </x:row>
    <x:row r="92">
      <x:c r="H92" s="36"/>
    </x:row>
    <x:row r="93">
      <x:c r="H93" s="36"/>
    </x:row>
    <x:row r="94">
      <x:c r="A94" t="s">
        <x:v>73</x:v>
      </x:c>
      <x:c r="H94" s="36" t="s">
        <x:v>74</x:v>
      </x:c>
    </x:row>
    <x:row r="95">
      <x:c r="A95" t="s">
        <x:v>75</x:v>
      </x:c>
      <x:c r="G95" s="3" t="n">
        <x:f>F9</x:f>
        <x:v>68.979</x:v>
      </x:c>
      <x:c r="H95" s="36"/>
    </x:row>
    <x:row r="96">
      <x:c r="A96" t="s">
        <x:v>76</x:v>
      </x:c>
      <x:c r="G96" s="35" t="n">
        <x:f>G95/Inputs!J260-1</x:f>
        <x:v>0.3579879909439905</x:v>
      </x:c>
      <x:c r="H96" s="36"/>
    </x:row>
    <x:row r="97">
      <x:c r="A97" t="s">
        <x:v>77</x:v>
      </x:c>
      <x:c r="G97" s="3" t="n">
        <x:f>G95-E9</x:f>
        <x:v>1.3979999999999961</x:v>
      </x:c>
      <x:c r="H97" s="36"/>
    </x:row>
    <x:row r="98">
      <x:c r="A98" t="s">
        <x:v>78</x:v>
      </x:c>
      <x:c r="G98" s="9" t="n">
        <x:f>Inputs!G250</x:f>
        <x:v>-3.379</x:v>
      </x:c>
      <x:c r="H98" s="36"/>
    </x:row>
    <x:row r="99">
      <x:c r="A99" t="s">
        <x:v>79</x:v>
      </x:c>
      <x:c r="G99" s="9" t="n">
        <x:f>G98-(B9-Inputs!J260)</x:f>
        <x:v>-16.020999999999997</x:v>
      </x:c>
      <x:c r="H99" s="36"/>
    </x:row>
    <x:row r="100">
      <x:c r="A100" t="s">
        <x:v>80</x:v>
      </x:c>
      <x:c r="G100" s="3" t="n">
        <x:f>G98-(F9-E9)</x:f>
        <x:v>-4.776999999999996</x:v>
      </x:c>
      <x:c r="H100" s="36"/>
    </x:row>
    <x:row r="101">
      <x:c r="A101" s="10" t="s">
        <x:v>81</x:v>
      </x:c>
      <x:c r="B101" s="10"/>
      <x:c r="C101" s="10"/>
      <x:c r="D101" s="10"/>
      <x:c r="E101" s="10"/>
      <x:c r="F101" s="10"/>
      <x:c r="G101" s="17" t="n">
        <x:f>SUM(G95,G98)</x:f>
        <x:v>65.6</x:v>
      </x:c>
      <x:c r="H101" s="36"/>
    </x:row>
    <x:row r="102">
      <x:c r="A102" t="s">
        <x:v>82</x:v>
      </x:c>
      <x:c r="G102" s="28" t="n">
        <x:f>G101/B9-1</x:f>
        <x:v>0.03409682046755047</x:v>
      </x:c>
      <x:c r="H102" s="36"/>
    </x:row>
    <x:row r="103">
      <x:c r="A103" t="s">
        <x:v>83</x:v>
      </x:c>
      <x:c r="G103" s="3" t="n">
        <x:f>G101-F9</x:f>
        <x:v>-3.379000000000005</x:v>
      </x:c>
      <x:c r="H103" s="36"/>
    </x:row>
    <x:row r="104">
      <x:c r="G104" s="47"/>
      <x:c r="H104" s="36"/>
    </x:row>
    <x:row r="105">
      <x:c r="H105" s="36"/>
    </x:row>
    <x:row r="106">
      <x:c r="A106" s="10"/>
      <x:c r="B106" s="10"/>
      <x:c r="C106" s="10"/>
      <x:c r="D106" s="10"/>
      <x:c r="E106" s="10"/>
      <x:c r="F106" s="10"/>
      <x:c r="G106" s="10"/>
      <x:c r="H106" s="36"/>
    </x:row>
    <x:row r="107">
      <x:c r="A107" t="s">
        <x:v>84</x:v>
      </x:c>
      <x:c r="G107" s="3" t="n">
        <x:f>F18</x:f>
        <x:v>101.222</x:v>
      </x:c>
      <x:c r="H107" s="36"/>
    </x:row>
    <x:row r="108">
      <x:c r="A108" t="s">
        <x:v>76</x:v>
      </x:c>
      <x:c r="G108" s="35" t="n">
        <x:f>G107/Inputs!J261-1</x:f>
        <x:v>-0.021924611801992455</x:v>
      </x:c>
      <x:c r="H108" s="36"/>
    </x:row>
    <x:row r="109">
      <x:c r="A109" t="s">
        <x:v>77</x:v>
      </x:c>
      <x:c r="G109" s="3" t="n">
        <x:f>G107-E18</x:f>
        <x:v>0.8829999999999956</x:v>
      </x:c>
      <x:c r="H109" s="36"/>
    </x:row>
    <x:row r="110">
      <x:c r="A110" t="s">
        <x:v>85</x:v>
      </x:c>
      <x:c r="G110" s="9" t="n">
        <x:f>Inputs!G251</x:f>
        <x:v>1.278</x:v>
      </x:c>
      <x:c r="H110" s="36"/>
    </x:row>
    <x:row r="111">
      <x:c r="A111" s="10" t="s">
        <x:v>79</x:v>
      </x:c>
      <x:c r="B111" s="10"/>
      <x:c r="C111" s="10"/>
      <x:c r="D111" s="10"/>
      <x:c r="E111" s="10"/>
      <x:c r="F111" s="10"/>
      <x:c r="G111" s="15" t="n">
        <x:f>G110-(B18-Inputs!J261)</x:f>
        <x:v>-0.08000000000000407</x:v>
      </x:c>
      <x:c r="H111" s="36"/>
    </x:row>
    <x:row r="112">
      <x:c r="A112" t="s">
        <x:v>80</x:v>
      </x:c>
      <x:c r="G112" s="3" t="n">
        <x:f>G110-(F18-E18)</x:f>
        <x:v>0.39500000000000446</x:v>
      </x:c>
      <x:c r="H112" s="36"/>
    </x:row>
    <x:row r="113">
      <x:c r="A113" s="10" t="s">
        <x:v>86</x:v>
      </x:c>
      <x:c r="B113" s="10"/>
      <x:c r="C113" s="10"/>
      <x:c r="D113" s="10"/>
      <x:c r="E113" s="10"/>
      <x:c r="F113" s="10"/>
      <x:c r="G113" s="17" t="n">
        <x:f>SUM(G107,G110)</x:f>
        <x:v>102.5</x:v>
      </x:c>
      <x:c r="H113" s="36"/>
    </x:row>
    <x:row r="114">
      <x:c r="A114" t="s">
        <x:v>82</x:v>
      </x:c>
      <x:c r="G114" s="28" t="n">
        <x:f>G113/B18-1</x:f>
        <x:v>-0.02240364714971055</x:v>
      </x:c>
      <x:c r="H114" s="36"/>
    </x:row>
    <x:row r="115">
      <x:c r="A115" t="s">
        <x:v>83</x:v>
      </x:c>
      <x:c r="G115" s="3" t="n">
        <x:f>G113-F18</x:f>
        <x:v>1.2780000000000058</x:v>
      </x:c>
      <x:c r="H115" s="36"/>
    </x:row>
    <x:row r="116">
      <x:c r="A116" s="10"/>
      <x:c r="B116" s="10"/>
      <x:c r="C116" s="10"/>
      <x:c r="D116" s="10"/>
      <x:c r="E116" s="10"/>
      <x:c r="F116" s="10"/>
      <x:c r="G116" s="10"/>
      <x:c r="H116" s="36"/>
    </x:row>
    <x:row r="117">
      <x:c r="H117" s="36"/>
    </x:row>
    <x:row r="118">
      <x:c r="H118" s="36"/>
    </x:row>
    <x:row r="119">
      <x:c r="A119" t="s">
        <x:v>87</x:v>
      </x:c>
      <x:c r="G119" s="3" t="n">
        <x:f>F27</x:f>
        <x:v>73.005</x:v>
      </x:c>
      <x:c r="H119" s="36"/>
    </x:row>
    <x:row r="120">
      <x:c r="A120" t="s">
        <x:v>76</x:v>
      </x:c>
      <x:c r="G120" s="35" t="n">
        <x:f>G119/Inputs!J262-1</x:f>
        <x:v>0.01248179737882249</x:v>
      </x:c>
      <x:c r="H120" s="36"/>
    </x:row>
    <x:row r="121">
      <x:c r="A121" t="s">
        <x:v>77</x:v>
      </x:c>
      <x:c r="G121" s="3" t="n">
        <x:f>G119-E27</x:f>
        <x:v>2.543999999999997</x:v>
      </x:c>
      <x:c r="H121" s="36"/>
    </x:row>
    <x:row r="122">
      <x:c r="A122" t="s">
        <x:v>88</x:v>
      </x:c>
      <x:c r="G122" s="9" t="n">
        <x:f>Inputs!G252</x:f>
        <x:v>0.195</x:v>
      </x:c>
      <x:c r="H122" s="36"/>
    </x:row>
    <x:row r="123">
      <x:c r="A123" t="s">
        <x:v>79</x:v>
      </x:c>
      <x:c r="G123" s="9" t="n">
        <x:f>G122-(B27-Inputs!J262)</x:f>
        <x:v>0.7880000000000036</x:v>
      </x:c>
      <x:c r="H123" s="36"/>
    </x:row>
    <x:row r="124">
      <x:c r="A124" t="s">
        <x:v>80</x:v>
      </x:c>
      <x:c r="G124" s="3" t="n">
        <x:f>G122-(F27-E27)</x:f>
        <x:v>-2.348999999999997</x:v>
      </x:c>
      <x:c r="H124" s="36"/>
    </x:row>
    <x:row r="125">
      <x:c r="A125" s="10" t="s">
        <x:v>89</x:v>
      </x:c>
      <x:c r="B125" s="10"/>
      <x:c r="C125" s="10"/>
      <x:c r="D125" s="10"/>
      <x:c r="E125" s="10"/>
      <x:c r="F125" s="10"/>
      <x:c r="G125" s="17" t="n">
        <x:f>SUM(G119,G122)</x:f>
        <x:v>73.19999999999999</x:v>
      </x:c>
      <x:c r="H125" s="36"/>
    </x:row>
    <x:row r="126">
      <x:c r="A126" t="s">
        <x:v>82</x:v>
      </x:c>
      <x:c r="G126" s="28" t="n">
        <x:f>G125/B27-1</x:f>
        <x:v>0.023604430025729872</x:v>
      </x:c>
      <x:c r="H126" s="36"/>
    </x:row>
    <x:row r="127">
      <x:c r="A127" t="s">
        <x:v>83</x:v>
      </x:c>
      <x:c r="G127" s="3" t="n">
        <x:f>G125-F27</x:f>
        <x:v>0.19499999999999318</x:v>
      </x:c>
      <x:c r="H127" s="36"/>
    </x:row>
    <x:row r="128">
      <x:c r="H128" s="36"/>
    </x:row>
    <x:row r="129">
      <x:c r="H129" s="36"/>
    </x:row>
    <x:row r="130">
      <x:c r="H130" s="36"/>
    </x:row>
    <x:row r="131">
      <x:c r="A131" t="s">
        <x:v>90</x:v>
      </x:c>
      <x:c r="G131" s="3" t="n">
        <x:f>F36</x:f>
        <x:v>10.259</x:v>
      </x:c>
      <x:c r="H131" s="36"/>
    </x:row>
    <x:row r="132">
      <x:c r="A132" t="s">
        <x:v>76</x:v>
      </x:c>
      <x:c r="G132" s="35" t="n">
        <x:f>G131/Inputs!J263-1</x:f>
        <x:v>-0.0643013498723094</x:v>
      </x:c>
      <x:c r="H132" s="36"/>
    </x:row>
    <x:row r="133">
      <x:c r="A133" t="s">
        <x:v>77</x:v>
      </x:c>
      <x:c r="G133" s="3" t="n">
        <x:f>G131-E36</x:f>
        <x:v>0.8410000000000011</x:v>
      </x:c>
      <x:c r="H133" s="36"/>
    </x:row>
    <x:row r="134">
      <x:c r="A134" t="s">
        <x:v>91</x:v>
      </x:c>
      <x:c r="G134" s="9" t="n">
        <x:f>Inputs!G253</x:f>
        <x:v>-0.159</x:v>
      </x:c>
      <x:c r="H134" s="36"/>
    </x:row>
    <x:row r="135">
      <x:c r="A135" t="s">
        <x:v>79</x:v>
      </x:c>
      <x:c r="G135" s="9" t="n">
        <x:f>G134-(B36-Inputs!J263)</x:f>
        <x:v>0.8080000000000005</x:v>
      </x:c>
      <x:c r="H135" s="36"/>
    </x:row>
    <x:row r="136">
      <x:c r="A136" t="s">
        <x:v>80</x:v>
      </x:c>
      <x:c r="G136" s="3" t="n">
        <x:f>G134-(F36-E36)</x:f>
        <x:v>-1.000000000000001</x:v>
      </x:c>
      <x:c r="H136" s="36"/>
    </x:row>
    <x:row r="137">
      <x:c r="A137" s="10" t="s">
        <x:v>92</x:v>
      </x:c>
      <x:c r="B137" s="10"/>
      <x:c r="C137" s="10"/>
      <x:c r="D137" s="10"/>
      <x:c r="E137" s="10"/>
      <x:c r="F137" s="10"/>
      <x:c r="G137" s="46" t="n">
        <x:f>SUM(G131,G134)</x:f>
        <x:v>10.1</x:v>
      </x:c>
      <x:c r="H137" s="36"/>
    </x:row>
    <x:row r="138">
      <x:c r="A138" t="s">
        <x:v>82</x:v>
      </x:c>
      <x:c r="G138" s="28" t="n">
        <x:f>G137/B36-1</x:f>
        <x:v>0.010303090927278102</x:v>
      </x:c>
      <x:c r="H138" s="36"/>
    </x:row>
    <x:row r="139">
      <x:c r="A139" t="s">
        <x:v>83</x:v>
      </x:c>
      <x:c r="G139" s="3" t="n">
        <x:f>G137-F36</x:f>
        <x:v>-0.1590000000000007</x:v>
      </x:c>
      <x:c r="H139" s="36"/>
    </x:row>
    <x:row r="140">
      <x:c r="G140" s="2"/>
      <x:c r="H140" s="36"/>
    </x:row>
    <x:row r="141">
      <x:c r="H141" s="36"/>
    </x:row>
    <x:row r="142">
      <x:c r="G142" s="2"/>
      <x:c r="H142" s="36"/>
    </x:row>
    <x:row r="143">
      <x:c r="H143" s="36"/>
    </x:row>
    <x:row r="144">
      <x:c r="G144" s="39"/>
      <x:c r="H144" s="36"/>
    </x:row>
    <x:row r="145">
      <x:c r="G145" s="43"/>
      <x:c r="H145" s="36"/>
    </x:row>
    <x:row r="146">
      <x:c r="G146" s="43"/>
      <x:c r="H146" s="36"/>
    </x:row>
    <x:row r="147">
      <x:c r="H147" s="36"/>
    </x:row>
    <x:row r="148">
      <x:c r="H148" s="36"/>
    </x:row>
    <x:row r="149">
      <x:c r="H149" s="36"/>
    </x:row>
    <x:row r="150">
      <x:c r="A150" t="s">
        <x:v>93</x:v>
      </x:c>
      <x:c r="H150" s="36" t="s">
        <x:v>94</x:v>
      </x:c>
    </x:row>
    <x:row r="151">
      <x:c r="A151" t="s">
        <x:v>95</x:v>
      </x:c>
      <x:c r="G151" s="2" t="n">
        <x:f>G79</x:f>
        <x:v>868</x:v>
      </x:c>
    </x:row>
    <x:row r="152">
      <x:c r="A152" t="s">
        <x:v>96</x:v>
      </x:c>
    </x:row>
    <x:row r="153">
      <x:c r="A153" t="s">
        <x:v>97</x:v>
      </x:c>
      <x:c r="G153" s="2" t="n">
        <x:f>G79-F79</x:f>
        <x:v>5</x:v>
      </x:c>
    </x:row>
    <x:row r="155">
      <x:c r="A155" t="s">
        <x:v>98</x:v>
      </x:c>
    </x:row>
    <x:row r="156">
      <x:c r="A156" t="s">
        <x:v>99</x:v>
      </x:c>
    </x:row>
    <x:row r="157">
      <x:c r="A157" t="s">
        <x:v>100</x:v>
      </x:c>
    </x:row>
    <x:row r="159">
      <x:c r="A159" t="s">
        <x:v>101</x:v>
      </x:c>
    </x:row>
    <x:row r="160">
      <x:c r="A160" t="s">
        <x:v>99</x:v>
      </x:c>
    </x:row>
    <x:row r="161">
      <x:c r="A161" t="s">
        <x:v>100</x:v>
      </x:c>
    </x:row>
    <x:row r="163">
      <x:c r="A163" t="s">
        <x:v>102</x:v>
      </x:c>
      <x:c r="G163" s="2" t="n">
        <x:f>G82</x:f>
        <x:v>5</x:v>
      </x:c>
    </x:row>
    <x:row r="164">
      <x:c r="A164" t="s">
        <x:v>103</x:v>
      </x:c>
    </x:row>
    <x:row r="165">
      <x:c r="A165" t="s">
        <x:v>104</x:v>
      </x:c>
      <x:c r="G165" s="2" t="n">
        <x:f>G82-F82</x:f>
        <x:v>0</x:v>
      </x:c>
    </x:row>
    <x:row r="167">
      <x:c r="A167" t="s">
        <x:v>105</x:v>
      </x:c>
      <x:c r="G167" s="2" t="n">
        <x:f>G83</x:f>
        <x:v>873</x:v>
      </x:c>
    </x:row>
    <x:row r="168">
      <x:c r="A168" t="s">
        <x:v>41</x:v>
      </x:c>
      <x:c r="G168" s="30" t="n">
        <x:f>G83/B83-1</x:f>
        <x:v>0.028268551236749095</x:v>
      </x:c>
    </x:row>
    <x:row r="169">
      <x:c r="A169" t="s">
        <x:v>106</x:v>
      </x:c>
      <x:c r="G169" s="2" t="n">
        <x:f>G83-F83</x:f>
        <x:v>5</x:v>
      </x:c>
    </x:row>
    <x:row r="171">
      <x:c r="A171" t="s">
        <x:v>107</x:v>
      </x:c>
      <x:c r="G171" s="2" t="n">
        <x:f>G84</x:f>
        <x:v>870.5</x:v>
      </x:c>
    </x:row>
    <x:row r="172">
      <x:c r="A172" t="s">
        <x:v>108</x:v>
      </x:c>
    </x:row>
    <x:row r="173">
      <x:c r="A173" t="s">
        <x:v>109</x:v>
      </x:c>
      <x:c r="G173" s="2" t="n">
        <x:f>G84-F84</x:f>
        <x:v>5</x:v>
      </x:c>
    </x:row>
    <x:row r="175">
      <x:c r="A175" t="s">
        <x:v>110</x:v>
      </x:c>
      <x:c r="G175" s="30" t="n">
        <x:f>G87</x:f>
        <x:v>1</x:v>
      </x:c>
    </x:row>
    <x:row r="176">
      <x:c r="A176" t="s">
        <x:v>111</x:v>
      </x:c>
      <x:c r="G176" s="43" t="n">
        <x:f>(G87-B87)*Inputs!G256</x:f>
        <x:v>0</x:v>
      </x:c>
    </x:row>
    <x:row r="177">
      <x:c r="A177" t="s">
        <x:v>112</x:v>
      </x:c>
      <x:c r="G177" s="43" t="n">
        <x:f>(G87-F87)*Inputs!G256</x:f>
        <x:v>0</x:v>
      </x:c>
    </x:row>
    <x:row r="179">
      <x:c r="A179" t="s">
        <x:v>113</x:v>
      </x:c>
      <x:c r="B179" s="37" t="n">
        <x:f>Inputs!G13</x:f>
        <x:v>249.8</x:v>
      </x:c>
      <x:c r="C179" s="37" t="n">
        <x:f>Inputs!G14</x:f>
        <x:v>252.67</x:v>
      </x:c>
      <x:c r="D179" s="44"/>
      <x:c r="E179" s="37" t="n">
        <x:f>Inputs!G15</x:f>
        <x:v>247.8</x:v>
      </x:c>
      <x:c r="F179" s="37" t="n">
        <x:f>Inputs!G16</x:f>
        <x:v>253.47</x:v>
      </x:c>
      <x:c r="G179" s="2"/>
      <x:c r="H179" t="s">
        <x:v>114</x:v>
      </x:c>
    </x:row>
    <x:row r="180">
      <x:c r="A180" t="s">
        <x:v>115</x:v>
      </x:c>
      <x:c r="B180" s="40" t="b">
        <x:f>ABS(B63-B179)&lt;Inputs!G259</x:f>
        <x:v>1</x:v>
      </x:c>
      <x:c r="C180" s="40" t="b">
        <x:f>ABS(C63-C179)&lt;Inputs!G259</x:f>
        <x:v>1</x:v>
      </x:c>
      <x:c r="D180" s="45"/>
      <x:c r="E180" s="40" t="b">
        <x:f>ABS(E63-E179)&lt;Inputs!G259</x:f>
        <x:v>1</x:v>
      </x:c>
      <x:c r="F180" s="40" t="b">
        <x:f>ABS(F63-F179)&lt;Inputs!G259</x:f>
        <x:v>1</x:v>
      </x:c>
      <x:c r="G180" s="2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ColWidth="8.42578125" defaultRowHeight="15"/>
  <x:cols>
    <x:col min="1" max="1" width="34" customWidth="1"/>
    <x:col min="2" max="7" width="13" customWidth="1"/>
    <x:col min="10" max="10" width="65" hidden="0" customWidth="1"/>
  </x:cols>
  <x:sheetData>
    <x:row r="1">
      <x:c r="A1" s="6" t="s">
        <x:v>0</x:v>
      </x:c>
      <x:c r="B1" s="6"/>
      <x:c r="C1" s="6"/>
      <x:c r="D1" s="6"/>
      <x:c r="E1" s="6"/>
      <x:c r="F1" s="6"/>
      <x:c r="G1" s="6"/>
    </x:row>
    <x:row r="2">
      <x:c r="A2" s="6" t="s">
        <x:v>116</x:v>
      </x:c>
      <x:c r="B2" s="6"/>
      <x:c r="C2" s="6"/>
      <x:c r="D2" s="6"/>
      <x:c r="E2" s="6"/>
      <x:c r="F2" s="6"/>
      <x:c r="G2" s="6"/>
    </x:row>
    <x:row r="3">
      <x:c r="A3" s="6" t="s">
        <x:v>3</x:v>
      </x:c>
      <x:c r="B3" s="6"/>
      <x:c r="C3" s="6"/>
      <x:c r="D3" s="6"/>
      <x:c r="E3" s="6"/>
      <x:c r="F3" s="6"/>
      <x:c r="G3" s="6"/>
    </x:row>
    <x:row r="4">
      <x:c r="A4" s="4" t="s">
        <x:v>4</x:v>
      </x:c>
      <x:c r="B4" s="55" t="s">
        <x:v>5</x:v>
      </x:c>
      <x:c r="C4" s="55" t="s">
        <x:v>6</x:v>
      </x:c>
      <x:c r="D4" s="55" t="s">
        <x:v>7</x:v>
      </x:c>
      <x:c r="E4" s="55" t="s">
        <x:v>8</x:v>
      </x:c>
      <x:c r="F4" s="55" t="s">
        <x:v>9</x:v>
      </x:c>
      <x:c r="G4" s="55" t="s">
        <x:v>10</x:v>
      </x:c>
    </x:row>
    <x:row r="5">
      <x:c r="A5" s="4" t="s">
        <x:v>11</x:v>
      </x:c>
      <x:c r="B5" s="12">
        <x:v>45900</x:v>
      </x:c>
      <x:c r="C5" s="12">
        <x:v>45991</x:v>
      </x:c>
      <x:c r="D5" s="12">
        <x:v>45991</x:v>
      </x:c>
      <x:c r="E5" s="12">
        <x:v>46081</x:v>
      </x:c>
      <x:c r="F5" s="12">
        <x:v>46173</x:v>
      </x:c>
      <x:c r="G5" s="12">
        <x:v>46265</x:v>
      </x:c>
    </x:row>
    <x:row r="6">
      <x:c r="A6" s="4" t="s">
        <x:v>12</x:v>
      </x:c>
      <x:c r="B6" s="4">
        <x:v>92</x:v>
      </x:c>
      <x:c r="C6" s="4">
        <x:v>91</x:v>
      </x:c>
      <x:c r="D6" s="4">
        <x:v>365</x:v>
      </x:c>
      <x:c r="E6" s="4">
        <x:v>90</x:v>
      </x:c>
      <x:c r="F6" s="4">
        <x:v>92</x:v>
      </x:c>
      <x:c r="G6" s="4">
        <x:v>92</x:v>
      </x:c>
    </x:row>
    <x:row r="7">
      <x:c r="A7" s="7"/>
      <x:c r="B7" s="7"/>
      <x:c r="C7" s="7"/>
      <x:c r="D7" s="7"/>
      <x:c r="E7" s="7"/>
      <x:c r="F7" s="7"/>
      <x:c r="G7" s="11"/>
    </x:row>
    <x:row r="8">
      <x:c r="A8" s="7"/>
      <x:c r="B8" s="2"/>
      <x:c r="C8" s="2"/>
      <x:c r="D8" s="2"/>
      <x:c r="E8" s="2"/>
      <x:c r="F8" s="2"/>
      <x:c r="G8" s="3"/>
    </x:row>
    <x:row r="9">
      <x:c r="A9" s="10" t="s">
        <x:v>117</x:v>
      </x:c>
      <x:c r="B9" s="8" t="n">
        <x:f>'Revenue summary'!B63</x:f>
        <x:v>249.79500000000002</x:v>
      </x:c>
      <x:c r="C9" s="8" t="n">
        <x:f>'Revenue summary'!C63</x:f>
        <x:v>252.666</x:v>
      </x:c>
      <x:c r="D9" s="8" t="n">
        <x:f>'Revenue summary'!D63</x:f>
        <x:v>977.8309999999999</x:v>
      </x:c>
      <x:c r="E9" s="8" t="n">
        <x:f>'Revenue summary'!E63</x:f>
        <x:v>247.79900000000004</x:v>
      </x:c>
      <x:c r="F9" s="8" t="n">
        <x:f>'Revenue summary'!F63</x:f>
        <x:v>253.46499999999997</x:v>
      </x:c>
      <x:c r="G9" s="15" t="n">
        <x:f>'Revenue summary'!G63</x:f>
        <x:v>251.39999999999998</x:v>
      </x:c>
    </x:row>
    <x:row r="10">
      <x:c r="A10" s="7" t="s">
        <x:v>118</x:v>
      </x:c>
      <x:c r="B10" s="30"/>
      <x:c r="C10" s="30"/>
      <x:c r="D10" s="30"/>
      <x:c r="E10" s="30"/>
      <x:c r="F10" s="30"/>
      <x:c r="G10" s="28" t="n">
        <x:f>G9/B9-1</x:f>
        <x:v>0.006425268720350541</x:v>
      </x:c>
    </x:row>
    <x:row r="11">
      <x:c r="A11" s="7" t="s">
        <x:v>119</x:v>
      </x:c>
      <x:c r="B11" s="5" t="n">
        <x:f>Inputs!B102</x:f>
        <x:v>2.833</x:v>
      </x:c>
      <x:c r="C11" s="5" t="n">
        <x:f>Inputs!C102</x:f>
        <x:v>3.86</x:v>
      </x:c>
      <x:c r="D11" s="5" t="n">
        <x:f>Inputs!D102</x:f>
        <x:v>12.605</x:v>
      </x:c>
      <x:c r="E11" s="5" t="n">
        <x:f>Inputs!E102</x:f>
        <x:v>3.013</x:v>
      </x:c>
      <x:c r="F11" s="5" t="n">
        <x:f>Inputs!F102</x:f>
        <x:v>3.675</x:v>
      </x:c>
      <x:c r="G11" s="9" t="n">
        <x:f>Inputs!G102</x:f>
        <x:v>3.55</x:v>
      </x:c>
    </x:row>
    <x:row r="12">
      <x:c r="A12" s="7" t="s">
        <x:v>120</x:v>
      </x:c>
      <x:c r="B12" s="5" t="n">
        <x:f>Inputs!B103</x:f>
        <x:v>33.919</x:v>
      </x:c>
      <x:c r="C12" s="5" t="n">
        <x:f>Inputs!C103</x:f>
        <x:v>33.183</x:v>
      </x:c>
      <x:c r="D12" s="5" t="n">
        <x:f>Inputs!D103</x:f>
        <x:v>133.75</x:v>
      </x:c>
      <x:c r="E12" s="5" t="n">
        <x:f>Inputs!E103</x:f>
        <x:v>32.1</x:v>
      </x:c>
      <x:c r="F12" s="5" t="n">
        <x:f>Inputs!F103</x:f>
        <x:v>32.259</x:v>
      </x:c>
      <x:c r="G12" s="9" t="n">
        <x:f>Inputs!G103</x:f>
        <x:v>32</x:v>
      </x:c>
    </x:row>
    <x:row r="13">
      <x:c r="A13" s="7" t="s">
        <x:v>121</x:v>
      </x:c>
      <x:c r="B13" s="5" t="n">
        <x:f>Inputs!B104</x:f>
        <x:v>10.784</x:v>
      </x:c>
      <x:c r="C13" s="5" t="n">
        <x:f>Inputs!C104</x:f>
        <x:v>9.483</x:v>
      </x:c>
      <x:c r="D13" s="5" t="n">
        <x:f>Inputs!D104</x:f>
        <x:v>41.226</x:v>
      </x:c>
      <x:c r="E13" s="5" t="n">
        <x:f>Inputs!E104</x:f>
        <x:v>8.751</x:v>
      </x:c>
      <x:c r="F13" s="5" t="n">
        <x:f>Inputs!F104</x:f>
        <x:v>8.938</x:v>
      </x:c>
      <x:c r="G13" s="9" t="n">
        <x:f>Inputs!G104</x:f>
        <x:v>8.7</x:v>
      </x:c>
    </x:row>
    <x:row r="14">
      <x:c r="A14" s="10" t="s">
        <x:v>122</x:v>
      </x:c>
      <x:c r="B14" s="13" t="n">
        <x:f>SUM(B11:B13)</x:f>
        <x:v>47.535999999999994</x:v>
      </x:c>
      <x:c r="C14" s="13" t="n">
        <x:f>SUM(C11:C13)</x:f>
        <x:v>46.525999999999996</x:v>
      </x:c>
      <x:c r="D14" s="13" t="n">
        <x:f>SUM(D11:D13)</x:f>
        <x:v>187.581</x:v>
      </x:c>
      <x:c r="E14" s="13" t="n">
        <x:f>SUM(E11:E13)</x:f>
        <x:v>43.864</x:v>
      </x:c>
      <x:c r="F14" s="13" t="n">
        <x:f>SUM(F11:F13)</x:f>
        <x:v>44.872</x:v>
      </x:c>
      <x:c r="G14" s="17" t="n">
        <x:f>SUM(G11:G13)</x:f>
        <x:v>44.25</x:v>
      </x:c>
    </x:row>
    <x:row r="15">
      <x:c r="A15" s="10" t="s">
        <x:v>123</x:v>
      </x:c>
      <x:c r="B15" s="13" t="n">
        <x:f>B9-B14</x:f>
        <x:v>202.25900000000001</x:v>
      </x:c>
      <x:c r="C15" s="13" t="n">
        <x:f>C9-C14</x:f>
        <x:v>206.14</x:v>
      </x:c>
      <x:c r="D15" s="13" t="n">
        <x:f>D9-D14</x:f>
        <x:v>790.2499999999999</x:v>
      </x:c>
      <x:c r="E15" s="13" t="n">
        <x:f>E9-E14</x:f>
        <x:v>203.93500000000003</x:v>
      </x:c>
      <x:c r="F15" s="13" t="n">
        <x:f>F9-F14</x:f>
        <x:v>208.59299999999996</x:v>
      </x:c>
      <x:c r="G15" s="17" t="n">
        <x:f>G9-G14</x:f>
        <x:v>207.14999999999998</x:v>
      </x:c>
    </x:row>
    <x:row r="16">
      <x:c r="A16" s="7" t="s">
        <x:v>124</x:v>
      </x:c>
      <x:c r="B16" s="30" t="n">
        <x:f>B15/B9</x:f>
        <x:v>0.809699953962249</x:v>
      </x:c>
      <x:c r="C16" s="30" t="n">
        <x:f>C15/C9</x:f>
        <x:v>0.8158596724529615</x:v>
      </x:c>
      <x:c r="D16" s="30" t="n">
        <x:f>D15/D9</x:f>
        <x:v>0.808166237315037</x:v>
      </x:c>
      <x:c r="E16" s="30" t="n">
        <x:f>E15/E9</x:f>
        <x:v>0.8229855649134985</x:v>
      </x:c>
      <x:c r="F16" s="30" t="n">
        <x:f>F15/F9</x:f>
        <x:v>0.8229656954609117</x:v>
      </x:c>
      <x:c r="G16" s="28" t="n">
        <x:f>G15/G9</x:f>
        <x:v>0.8239856801909308</x:v>
      </x:c>
    </x:row>
    <x:row r="17">
      <x:c r="A17" s="7"/>
      <x:c r="B17" s="2"/>
      <x:c r="C17" s="2"/>
      <x:c r="D17" s="2"/>
      <x:c r="E17" s="2"/>
      <x:c r="F17" s="2"/>
      <x:c r="G17" s="3"/>
    </x:row>
    <x:row r="18">
      <x:c r="A18" s="7" t="s">
        <x:v>125</x:v>
      </x:c>
      <x:c r="B18" s="5" t="n">
        <x:f>Inputs!B105</x:f>
        <x:v>51.85</x:v>
      </x:c>
      <x:c r="C18" s="5" t="n">
        <x:f>Inputs!C105</x:f>
        <x:v>58.19</x:v>
      </x:c>
      <x:c r="D18" s="5" t="n">
        <x:f>Inputs!D105</x:f>
        <x:v>211.013</x:v>
      </x:c>
      <x:c r="E18" s="5" t="n">
        <x:f>Inputs!E105</x:f>
        <x:v>51.997</x:v>
      </x:c>
      <x:c r="F18" s="5" t="n">
        <x:f>Inputs!F105</x:f>
        <x:v>54.341</x:v>
      </x:c>
      <x:c r="G18" s="9" t="n">
        <x:f>Inputs!G105</x:f>
        <x:v>52.5</x:v>
      </x:c>
    </x:row>
    <x:row r="19">
      <x:c r="A19" s="7" t="s">
        <x:v>126</x:v>
      </x:c>
      <x:c r="B19" s="5" t="n">
        <x:f>Inputs!B106</x:f>
        <x:v>49.432</x:v>
      </x:c>
      <x:c r="C19" s="5" t="n">
        <x:f>Inputs!C106</x:f>
        <x:v>49.888</x:v>
      </x:c>
      <x:c r="D19" s="5" t="n">
        <x:f>Inputs!D106</x:f>
        <x:v>192.265</x:v>
      </x:c>
      <x:c r="E19" s="5" t="n">
        <x:f>Inputs!E106</x:f>
        <x:v>50.474</x:v>
      </x:c>
      <x:c r="F19" s="5" t="n">
        <x:f>Inputs!F106</x:f>
        <x:v>48.84</x:v>
      </x:c>
      <x:c r="G19" s="9" t="n">
        <x:f>Inputs!G106</x:f>
        <x:v>48</x:v>
      </x:c>
    </x:row>
    <x:row r="20">
      <x:c r="A20" s="7" t="s">
        <x:v>127</x:v>
      </x:c>
      <x:c r="B20" s="5" t="n">
        <x:f>Inputs!B107</x:f>
        <x:v>28.308</x:v>
      </x:c>
      <x:c r="C20" s="5" t="n">
        <x:f>Inputs!C107</x:f>
        <x:v>28.647</x:v>
      </x:c>
      <x:c r="D20" s="5" t="n">
        <x:f>Inputs!D107</x:f>
        <x:v>108.215</x:v>
      </x:c>
      <x:c r="E20" s="5" t="n">
        <x:f>Inputs!E107</x:f>
        <x:v>26.504</x:v>
      </x:c>
      <x:c r="F20" s="5" t="n">
        <x:f>Inputs!F107</x:f>
        <x:v>32.236</x:v>
      </x:c>
      <x:c r="G20" s="9" t="n">
        <x:f>Inputs!G107</x:f>
        <x:v>29.7</x:v>
      </x:c>
    </x:row>
    <x:row r="21">
      <x:c r="A21" s="7" t="s">
        <x:v>128</x:v>
      </x:c>
      <x:c r="B21" s="5" t="n">
        <x:f>Inputs!B108</x:f>
        <x:v>26.415</x:v>
      </x:c>
      <x:c r="C21" s="5" t="n">
        <x:f>Inputs!C108</x:f>
        <x:v>25.98</x:v>
      </x:c>
      <x:c r="D21" s="5" t="n">
        <x:f>Inputs!D108</x:f>
        <x:v>104.266</x:v>
      </x:c>
      <x:c r="E21" s="5" t="n">
        <x:f>Inputs!E108</x:f>
        <x:v>25.617000000000004</x:v>
      </x:c>
      <x:c r="F21" s="5" t="n">
        <x:f>Inputs!F108</x:f>
        <x:v>26.16699999999999</x:v>
      </x:c>
      <x:c r="G21" s="9" t="n">
        <x:f>Inputs!G108</x:f>
        <x:v>26.8</x:v>
      </x:c>
    </x:row>
    <x:row r="22">
      <x:c r="A22" s="7" t="s">
        <x:v>129</x:v>
      </x:c>
      <x:c r="B22" s="5" t="n">
        <x:f>Inputs!B109</x:f>
        <x:v>0.659</x:v>
      </x:c>
      <x:c r="C22" s="5" t="n">
        <x:f>Inputs!C109</x:f>
        <x:v>0.649</x:v>
      </x:c>
      <x:c r="D22" s="5" t="n">
        <x:f>Inputs!D109</x:f>
        <x:v>2.775</x:v>
      </x:c>
      <x:c r="E22" s="5" t="n">
        <x:f>Inputs!E109</x:f>
        <x:v>1.358</x:v>
      </x:c>
      <x:c r="F22" s="5" t="n">
        <x:f>Inputs!F109</x:f>
        <x:v>1.266</x:v>
      </x:c>
      <x:c r="G22" s="9" t="n">
        <x:f>Inputs!G109</x:f>
        <x:v>5.46</x:v>
      </x:c>
    </x:row>
    <x:row r="23">
      <x:c r="A23" s="7" t="s">
        <x:v>130</x:v>
      </x:c>
      <x:c r="B23" s="5" t="n">
        <x:f>Inputs!B110</x:f>
        <x:v>0.907</x:v>
      </x:c>
      <x:c r="C23" s="5" t="n">
        <x:f>Inputs!C110</x:f>
        <x:v>4.13</x:v>
      </x:c>
      <x:c r="D23" s="5" t="n">
        <x:f>Inputs!D110</x:f>
        <x:v>13.109</x:v>
      </x:c>
      <x:c r="E23" s="5" t="n">
        <x:f>Inputs!E110</x:f>
        <x:v>0.706</x:v>
      </x:c>
      <x:c r="F23" s="5" t="n">
        <x:f>Inputs!F110</x:f>
        <x:v>1.48</x:v>
      </x:c>
      <x:c r="G23" s="9" t="n">
        <x:f>Inputs!G110</x:f>
        <x:v>0</x:v>
      </x:c>
    </x:row>
    <x:row r="24">
      <x:c r="A24" s="7" t="s">
        <x:v>131</x:v>
      </x:c>
      <x:c r="B24" s="5" t="n">
        <x:f>Inputs!B111</x:f>
        <x:v>0.814</x:v>
      </x:c>
      <x:c r="C24" s="5" t="n">
        <x:f>Inputs!C111</x:f>
        <x:v>0.282</x:v>
      </x:c>
      <x:c r="D24" s="5" t="n">
        <x:f>Inputs!D111</x:f>
        <x:v>5.317</x:v>
      </x:c>
      <x:c r="E24" s="5" t="n">
        <x:f>Inputs!E111</x:f>
        <x:v>0.814</x:v>
      </x:c>
      <x:c r="F24" s="5" t="n">
        <x:f>Inputs!F111</x:f>
        <x:v>-0.939</x:v>
      </x:c>
      <x:c r="G24" s="9" t="n">
        <x:f>Inputs!G111</x:f>
        <x:v>2.94</x:v>
      </x:c>
    </x:row>
    <x:row r="25">
      <x:c r="A25" s="10" t="s">
        <x:v>132</x:v>
      </x:c>
      <x:c r="B25" s="13" t="n">
        <x:f>SUM(B18:B24)</x:f>
        <x:v>158.385</x:v>
      </x:c>
      <x:c r="C25" s="13" t="n">
        <x:f>SUM(C18:C24)</x:f>
        <x:v>167.766</x:v>
      </x:c>
      <x:c r="D25" s="13" t="n">
        <x:f>SUM(D18:D24)</x:f>
        <x:v>636.96</x:v>
      </x:c>
      <x:c r="E25" s="13" t="n">
        <x:f>SUM(E18:E24)</x:f>
        <x:v>157.46999999999997</x:v>
      </x:c>
      <x:c r="F25" s="13" t="n">
        <x:f>SUM(F18:F24)</x:f>
        <x:v>163.391</x:v>
      </x:c>
      <x:c r="G25" s="17" t="n">
        <x:f>SUM(G18:G24)</x:f>
        <x:v>165.4</x:v>
      </x:c>
    </x:row>
    <x:row r="26">
      <x:c r="A26" s="10" t="s">
        <x:v>133</x:v>
      </x:c>
      <x:c r="B26" s="13" t="n">
        <x:f>B15-B25</x:f>
        <x:v>43.874000000000024</x:v>
      </x:c>
      <x:c r="C26" s="13" t="n">
        <x:f>C15-C25</x:f>
        <x:v>38.373999999999995</x:v>
      </x:c>
      <x:c r="D26" s="13" t="n">
        <x:f>D15-D25</x:f>
        <x:v>153.28999999999985</x:v>
      </x:c>
      <x:c r="E26" s="13" t="n">
        <x:f>E15-E25</x:f>
        <x:v>46.46500000000006</x:v>
      </x:c>
      <x:c r="F26" s="13" t="n">
        <x:f>F15-F25</x:f>
        <x:v>45.20199999999997</x:v>
      </x:c>
      <x:c r="G26" s="17" t="n">
        <x:f>G15-G25</x:f>
        <x:v>41.74999999999997</x:v>
      </x:c>
    </x:row>
    <x:row r="27">
      <x:c r="A27" s="7" t="s">
        <x:v>134</x:v>
      </x:c>
      <x:c r="B27" s="30" t="n">
        <x:f>B26/B9</x:f>
        <x:v>0.17564002482035276</x:v>
      </x:c>
      <x:c r="C27" s="30" t="n">
        <x:f>C26/C9</x:f>
        <x:v>0.15187639017517196</x:v>
      </x:c>
      <x:c r="D27" s="30" t="n">
        <x:f>D26/D9</x:f>
        <x:v>0.1567653306143903</x:v>
      </x:c>
      <x:c r="E27" s="30" t="n">
        <x:f>E26/E9</x:f>
        <x:v>0.18751084548363817</x:v>
      </x:c>
      <x:c r="F27" s="30" t="n">
        <x:f>F26/F9</x:f>
        <x:v>0.1783362594441046</x:v>
      </x:c>
      <x:c r="G27" s="28" t="n">
        <x:f>G26/G9</x:f>
        <x:v>0.16607000795544938</x:v>
      </x:c>
    </x:row>
    <x:row r="28">
      <x:c r="A28" s="7"/>
      <x:c r="B28" s="2"/>
      <x:c r="C28" s="2"/>
      <x:c r="D28" s="2"/>
      <x:c r="E28" s="2"/>
      <x:c r="F28" s="2"/>
      <x:c r="G28" s="3"/>
    </x:row>
    <x:row r="29">
      <x:c r="A29" s="7"/>
      <x:c r="B29" s="2"/>
      <x:c r="C29" s="2"/>
      <x:c r="D29" s="2"/>
      <x:c r="E29" s="2"/>
      <x:c r="F29" s="2"/>
      <x:c r="G29" s="3"/>
    </x:row>
    <x:row r="30">
      <x:c r="A30" s="7" t="s">
        <x:v>135</x:v>
      </x:c>
      <x:c r="B30" s="5" t="n">
        <x:f>Inputs!B112</x:f>
        <x:v>-17.668</x:v>
      </x:c>
      <x:c r="C30" s="5" t="n">
        <x:f>Inputs!C112</x:f>
        <x:v>-16.118</x:v>
      </x:c>
      <x:c r="D30" s="5" t="n">
        <x:f>Inputs!D112</x:f>
        <x:v>-71.662</x:v>
      </x:c>
      <x:c r="E30" s="5" t="n">
        <x:f>Inputs!E112</x:f>
        <x:v>-16.173</x:v>
      </x:c>
      <x:c r="F30" s="5" t="n">
        <x:f>Inputs!F112</x:f>
        <x:v>-16.362</x:v>
      </x:c>
      <x:c r="G30" s="9" t="n">
        <x:f>Inputs!G112</x:f>
        <x:v>-15.2</x:v>
      </x:c>
    </x:row>
    <x:row r="31">
      <x:c r="A31" s="7"/>
      <x:c r="B31" s="2"/>
      <x:c r="C31" s="2"/>
      <x:c r="D31" s="2"/>
      <x:c r="E31" s="2"/>
      <x:c r="F31" s="2"/>
      <x:c r="G31" s="3"/>
    </x:row>
    <x:row r="32">
      <x:c r="A32" s="7"/>
      <x:c r="B32" s="2"/>
      <x:c r="C32" s="2"/>
      <x:c r="D32" s="2"/>
      <x:c r="E32" s="2"/>
      <x:c r="F32" s="2"/>
      <x:c r="G32" s="3"/>
    </x:row>
    <x:row r="33">
      <x:c r="A33" s="7"/>
      <x:c r="B33" s="2"/>
      <x:c r="C33" s="2"/>
      <x:c r="D33" s="2"/>
      <x:c r="E33" s="2"/>
      <x:c r="F33" s="2"/>
      <x:c r="G33" s="3"/>
    </x:row>
    <x:row r="34">
      <x:c r="A34" s="7"/>
      <x:c r="B34" s="2"/>
      <x:c r="C34" s="2"/>
      <x:c r="D34" s="2"/>
      <x:c r="E34" s="2"/>
      <x:c r="F34" s="2"/>
      <x:c r="G34" s="3"/>
    </x:row>
    <x:row r="35">
      <x:c r="A35" s="10" t="s">
        <x:v>136</x:v>
      </x:c>
      <x:c r="B35" s="13" t="n">
        <x:f>SUM(B26,B30)</x:f>
        <x:v>26.206000000000024</x:v>
      </x:c>
      <x:c r="C35" s="13" t="n">
        <x:f>SUM(C26,C30)</x:f>
        <x:v>22.255999999999997</x:v>
      </x:c>
      <x:c r="D35" s="13" t="n">
        <x:f>SUM(D26,D30)</x:f>
        <x:v>81.62799999999984</x:v>
      </x:c>
      <x:c r="E35" s="13" t="n">
        <x:f>SUM(E26,E30)</x:f>
        <x:v>30.292000000000062</x:v>
      </x:c>
      <x:c r="F35" s="13" t="n">
        <x:f>SUM(F26,F30)</x:f>
        <x:v>28.83999999999997</x:v>
      </x:c>
      <x:c r="G35" s="17" t="n">
        <x:f>SUM(G26,G30)</x:f>
        <x:v>26.549999999999972</x:v>
      </x:c>
    </x:row>
    <x:row r="36">
      <x:c r="A36" s="7" t="s">
        <x:v>137</x:v>
      </x:c>
      <x:c r="B36" s="5" t="n">
        <x:f>Inputs!B113</x:f>
        <x:v>6.793</x:v>
      </x:c>
      <x:c r="C36" s="5" t="n">
        <x:f>Inputs!C113</x:f>
        <x:v>-3.489</x:v>
      </x:c>
      <x:c r="D36" s="5" t="n">
        <x:f>Inputs!D113</x:f>
        <x:v>8.495</x:v>
      </x:c>
      <x:c r="E36" s="5" t="n">
        <x:f>Inputs!E113</x:f>
        <x:v>7.479</x:v>
      </x:c>
      <x:c r="F36" s="5" t="n">
        <x:f>Inputs!F113</x:f>
        <x:v>7.767</x:v>
      </x:c>
      <x:c r="G36" s="9" t="n">
        <x:f>Inputs!G113</x:f>
        <x:v>6.637499999999993</x:v>
      </x:c>
    </x:row>
    <x:row r="37">
      <x:c r="A37" s="7" t="s">
        <x:v>138</x:v>
      </x:c>
      <x:c r="B37" s="30" t="n">
        <x:f>B36/B35</x:f>
        <x:v>0.2592154468442339</x:v>
      </x:c>
      <x:c r="C37" s="30" t="n">
        <x:f>C36/C35</x:f>
        <x:v>-0.1567667145938174</x:v>
      </x:c>
      <x:c r="D37" s="30" t="n">
        <x:f>D36/D35</x:f>
        <x:v>0.10406968197187258</x:v>
      </x:c>
      <x:c r="E37" s="30" t="n">
        <x:f>E36/E35</x:f>
        <x:v>0.24689687046084724</x:v>
      </x:c>
      <x:c r="F37" s="30" t="n">
        <x:f>F36/F35</x:f>
        <x:v>0.2693134535367548</x:v>
      </x:c>
      <x:c r="G37" s="28" t="n">
        <x:f>G36/G35</x:f>
        <x:v>0.25</x:v>
      </x:c>
    </x:row>
    <x:row r="38">
      <x:c r="A38" s="10" t="s">
        <x:v>139</x:v>
      </x:c>
      <x:c r="B38" s="13" t="n">
        <x:f>B35-B36</x:f>
        <x:v>19.413000000000025</x:v>
      </x:c>
      <x:c r="C38" s="13" t="n">
        <x:f>C35-C36</x:f>
        <x:v>25.744999999999997</x:v>
      </x:c>
      <x:c r="D38" s="13" t="n">
        <x:f>D35-D36</x:f>
        <x:v>73.13299999999984</x:v>
      </x:c>
      <x:c r="E38" s="13" t="n">
        <x:f>E35-E36</x:f>
        <x:v>22.813000000000063</x:v>
      </x:c>
      <x:c r="F38" s="13" t="n">
        <x:f>F35-F36</x:f>
        <x:v>21.072999999999972</x:v>
      </x:c>
      <x:c r="G38" s="17" t="n">
        <x:f>G35-G36</x:f>
        <x:v>19.91249999999998</x:v>
      </x:c>
    </x:row>
    <x:row r="39">
      <x:c r="A39" s="7" t="s">
        <x:v>140</x:v>
      </x:c>
      <x:c r="B39" s="30" t="n">
        <x:f>B38/B9</x:f>
        <x:v>0.07771572689605485</x:v>
      </x:c>
      <x:c r="C39" s="30" t="n">
        <x:f>C38/C9</x:f>
        <x:v>0.10189340868973268</x:v>
      </x:c>
      <x:c r="D39" s="30" t="n">
        <x:f>D38/D9</x:f>
        <x:v>0.07479104262392974</x:v>
      </x:c>
      <x:c r="E39" s="30" t="n">
        <x:f>E38/E9</x:f>
        <x:v>0.09206251841210036</x:v>
      </x:c>
      <x:c r="F39" s="30" t="n">
        <x:f>F38/F9</x:f>
        <x:v>0.08313968398003659</x:v>
      </x:c>
      <x:c r="G39" s="28" t="n">
        <x:f>G38/G9</x:f>
        <x:v>0.07920644391408108</x:v>
      </x:c>
    </x:row>
    <x:row r="40">
      <x:c r="A40" s="7" t="s">
        <x:v>141</x:v>
      </x:c>
      <x:c r="B40" s="20" t="n">
        <x:f>B38/B43</x:f>
        <x:v>0.4515911417139673</x:v>
      </x:c>
      <x:c r="C40" s="20" t="n">
        <x:f>C38/C43</x:f>
        <x:v>0.6031251464180293</x:v>
      </x:c>
      <x:c r="D40" s="20" t="n">
        <x:f>D38/D43</x:f>
        <x:v>1.7009256675039501</x:v>
      </x:c>
      <x:c r="E40" s="20" t="n">
        <x:f>E38/E43</x:f>
        <x:v>0.5411694935357624</x:v>
      </x:c>
      <x:c r="F40" s="20" t="n">
        <x:f>F38/F43</x:f>
        <x:v>0.5029235579103117</x:v>
      </x:c>
      <x:c r="G40" s="32" t="n">
        <x:f>G38/G43</x:f>
        <x:v>0.47866586538461486</x:v>
      </x:c>
    </x:row>
    <x:row r="41">
      <x:c r="A41" s="10" t="s">
        <x:v>142</x:v>
      </x:c>
      <x:c r="B41" s="38" t="n">
        <x:f>B38/B44</x:f>
        <x:v>0.4440606629000166</x:v>
      </x:c>
      <x:c r="C41" s="38" t="n">
        <x:f>C38/C44</x:f>
        <x:v>0.5943805697926767</x:v>
      </x:c>
      <x:c r="D41" s="38" t="n">
        <x:f>D38/D44</x:f>
        <x:v>1.661396215270675</x:v>
      </x:c>
      <x:c r="E41" s="38" t="n">
        <x:f>E38/E44</x:f>
        <x:v>0.5338996934166506</x:v>
      </x:c>
      <x:c r="F41" s="38" t="n">
        <x:f>F38/F44</x:f>
        <x:v>0.4980619238950596</x:v>
      </x:c>
      <x:c r="G41" s="42" t="n">
        <x:f>G38/G44</x:f>
        <x:v>0.4741071428571424</x:v>
      </x:c>
    </x:row>
    <x:row r="42">
      <x:c r="A42" s="7"/>
      <x:c r="B42" s="2"/>
      <x:c r="C42" s="2"/>
      <x:c r="D42" s="2"/>
      <x:c r="E42" s="2"/>
      <x:c r="F42" s="2"/>
      <x:c r="G42" s="3"/>
    </x:row>
    <x:row r="43">
      <x:c r="A43" s="7" t="s">
        <x:v>143</x:v>
      </x:c>
      <x:c r="B43" s="5" t="n">
        <x:f>'Share Count'!B10</x:f>
        <x:v>42.988</x:v>
      </x:c>
      <x:c r="C43" s="5" t="n">
        <x:f>'Share Count'!C10</x:f>
        <x:v>42.686</x:v>
      </x:c>
      <x:c r="D43" s="5" t="n">
        <x:f>'Share Count'!D10</x:f>
        <x:v>42.996</x:v>
      </x:c>
      <x:c r="E43" s="5" t="n">
        <x:f>'Share Count'!E10</x:f>
        <x:v>42.155</x:v>
      </x:c>
      <x:c r="F43" s="5" t="n">
        <x:f>'Share Count'!F10</x:f>
        <x:v>41.901</x:v>
      </x:c>
      <x:c r="G43" s="9" t="n">
        <x:f>'Share Count'!G10</x:f>
        <x:v>41.6</x:v>
      </x:c>
    </x:row>
    <x:row r="44">
      <x:c r="A44" s="7" t="s">
        <x:v>144</x:v>
      </x:c>
      <x:c r="B44" s="5" t="n">
        <x:f>'Share Count'!B11</x:f>
        <x:v>43.717</x:v>
      </x:c>
      <x:c r="C44" s="5" t="n">
        <x:f>'Share Count'!C11</x:f>
        <x:v>43.314</x:v>
      </x:c>
      <x:c r="D44" s="5" t="n">
        <x:f>'Share Count'!D11</x:f>
        <x:v>44.019</x:v>
      </x:c>
      <x:c r="E44" s="5" t="n">
        <x:f>'Share Count'!E11</x:f>
        <x:v>42.729</x:v>
      </x:c>
      <x:c r="F44" s="5" t="n">
        <x:f>'Share Count'!F11</x:f>
        <x:v>42.31</x:v>
      </x:c>
      <x:c r="G44" s="9" t="n">
        <x:f>'Share Count'!G11</x:f>
        <x:v>42</x:v>
      </x:c>
    </x:row>
    <x:row r="45">
      <x:c r="A45" s="7"/>
      <x:c r="B45" s="2"/>
      <x:c r="C45" s="2"/>
      <x:c r="D45" s="2"/>
      <x:c r="E45" s="2"/>
      <x:c r="F45" s="2"/>
      <x:c r="G45" s="3"/>
    </x:row>
    <x:row r="46">
      <x:c r="A46" s="7" t="s">
        <x:v>145</x:v>
      </x:c>
      <x:c r="B46" s="2"/>
      <x:c r="C46" s="2"/>
      <x:c r="D46" s="2"/>
      <x:c r="E46" s="2"/>
      <x:c r="F46" s="2"/>
      <x:c r="G46" s="3"/>
    </x:row>
    <x:row r="47">
      <x:c r="A47" s="7" t="s">
        <x:v>146</x:v>
      </x:c>
      <x:c r="B47" s="5" t="n">
        <x:f>Inputs!B117</x:f>
        <x:v>37.199</x:v>
      </x:c>
      <x:c r="C47" s="5" t="n">
        <x:f>Inputs!C117</x:f>
        <x:v>35.463</x:v>
      </x:c>
      <x:c r="D47" s="5" t="n">
        <x:f>Inputs!D117</x:f>
        <x:v>145.492</x:v>
      </x:c>
      <x:c r="E47" s="5" t="n">
        <x:f>Inputs!E117</x:f>
        <x:v>34.368</x:v>
      </x:c>
      <x:c r="F47" s="5" t="n">
        <x:f>Inputs!F117</x:f>
        <x:v>35.105</x:v>
      </x:c>
      <x:c r="G47" s="9" t="n">
        <x:f>Inputs!G117</x:f>
        <x:v>35.5</x:v>
      </x:c>
    </x:row>
    <x:row r="48">
      <x:c r="A48" s="7" t="s">
        <x:v>147</x:v>
      </x:c>
      <x:c r="B48" s="5" t="n">
        <x:f>Inputs!B118</x:f>
        <x:v>15.97</x:v>
      </x:c>
      <x:c r="C48" s="5" t="n">
        <x:f>Inputs!C118</x:f>
        <x:v>17.374</x:v>
      </x:c>
      <x:c r="D48" s="5" t="n">
        <x:f>Inputs!D118</x:f>
        <x:v>64.768</x:v>
      </x:c>
      <x:c r="E48" s="5" t="n">
        <x:f>Inputs!E118</x:f>
        <x:v>18.474</x:v>
      </x:c>
      <x:c r="F48" s="5" t="n">
        <x:f>Inputs!F118</x:f>
        <x:v>20.509</x:v>
      </x:c>
      <x:c r="G48" s="9" t="n">
        <x:f>Inputs!G118</x:f>
        <x:v>17.22</x:v>
      </x:c>
    </x:row>
    <x:row r="49">
      <x:c r="A49" s="7" t="s">
        <x:v>148</x:v>
      </x:c>
      <x:c r="B49" s="5" t="n">
        <x:f>Inputs!B119</x:f>
        <x:v>0.907</x:v>
      </x:c>
      <x:c r="C49" s="5" t="n">
        <x:f>Inputs!C119</x:f>
        <x:v>4.13</x:v>
      </x:c>
      <x:c r="D49" s="5" t="n">
        <x:f>Inputs!D119</x:f>
        <x:v>13.109</x:v>
      </x:c>
      <x:c r="E49" s="5" t="n">
        <x:f>Inputs!E119</x:f>
        <x:v>0.706</x:v>
      </x:c>
      <x:c r="F49" s="5" t="n">
        <x:f>Inputs!F119</x:f>
        <x:v>1.48</x:v>
      </x:c>
      <x:c r="G49" s="9" t="n">
        <x:f>Inputs!G119</x:f>
        <x:v>0</x:v>
      </x:c>
    </x:row>
    <x:row r="50">
      <x:c r="A50" s="7" t="s">
        <x:v>149</x:v>
      </x:c>
      <x:c r="B50" s="5" t="n">
        <x:f>Inputs!B120</x:f>
        <x:v>0.814</x:v>
      </x:c>
      <x:c r="C50" s="5" t="n">
        <x:f>Inputs!C120</x:f>
        <x:v>0.282</x:v>
      </x:c>
      <x:c r="D50" s="5" t="n">
        <x:f>Inputs!D120</x:f>
        <x:v>5.317</x:v>
      </x:c>
      <x:c r="E50" s="5" t="n">
        <x:f>Inputs!E120</x:f>
        <x:v>0.814</x:v>
      </x:c>
      <x:c r="F50" s="5" t="n">
        <x:f>Inputs!F120</x:f>
        <x:v>-0.939</x:v>
      </x:c>
      <x:c r="G50" s="9" t="n">
        <x:f>Inputs!G120</x:f>
        <x:v>2.94</x:v>
      </x:c>
    </x:row>
    <x:row r="51">
      <x:c r="A51" s="7" t="s">
        <x:v>150</x:v>
      </x:c>
      <x:c r="B51" s="5" t="n">
        <x:f>Inputs!B121</x:f>
        <x:v>0.659</x:v>
      </x:c>
      <x:c r="C51" s="5" t="n">
        <x:f>Inputs!C121</x:f>
        <x:v>0.649</x:v>
      </x:c>
      <x:c r="D51" s="5" t="n">
        <x:f>Inputs!D121</x:f>
        <x:v>2.775</x:v>
      </x:c>
      <x:c r="E51" s="5" t="n">
        <x:f>Inputs!E121</x:f>
        <x:v>1.358</x:v>
      </x:c>
      <x:c r="F51" s="5" t="n">
        <x:f>Inputs!F121</x:f>
        <x:v>1.266</x:v>
      </x:c>
      <x:c r="G51" s="9" t="n">
        <x:f>Inputs!G121</x:f>
        <x:v>5.46</x:v>
      </x:c>
    </x:row>
    <x:row r="52">
      <x:c r="A52" s="7" t="s">
        <x:v>151</x:v>
      </x:c>
      <x:c r="B52" s="5" t="n">
        <x:f>Inputs!B122</x:f>
        <x:v>-9.239</x:v>
      </x:c>
      <x:c r="C52" s="5" t="n">
        <x:f>Inputs!C122</x:f>
        <x:v>-18.167</x:v>
      </x:c>
      <x:c r="D52" s="5" t="n">
        <x:f>Inputs!D122</x:f>
        <x:v>-52.651</x:v>
      </x:c>
      <x:c r="E52" s="5" t="n">
        <x:f>Inputs!E122</x:f>
        <x:v>-10.233</x:v>
      </x:c>
      <x:c r="F52" s="5" t="n">
        <x:f>Inputs!F122</x:f>
        <x:v>-10.125</x:v>
      </x:c>
      <x:c r="G52" s="9" t="n">
        <x:f>Inputs!G122</x:f>
        <x:v>-11.760000000000002</x:v>
      </x:c>
    </x:row>
    <x:row r="53">
      <x:c r="A53" s="10" t="s">
        <x:v>152</x:v>
      </x:c>
      <x:c r="B53" s="13" t="n">
        <x:f>SUM(B38,B47:B52)</x:f>
        <x:v>65.72300000000001</x:v>
      </x:c>
      <x:c r="C53" s="13" t="n">
        <x:f>SUM(C38,C47:C52)</x:f>
        <x:v>65.476</x:v>
      </x:c>
      <x:c r="D53" s="13" t="n">
        <x:f>SUM(D38,D47:D52)</x:f>
        <x:v>251.94299999999984</x:v>
      </x:c>
      <x:c r="E53" s="13" t="n">
        <x:f>SUM(E38,E47:E52)</x:f>
        <x:v>68.30000000000005</x:v>
      </x:c>
      <x:c r="F53" s="13" t="n">
        <x:f>SUM(F38,F47:F52)</x:f>
        <x:v>68.36899999999997</x:v>
      </x:c>
      <x:c r="G53" s="17" t="n">
        <x:f>SUM(G38,G47:G52)</x:f>
        <x:v>69.27249999999998</x:v>
      </x:c>
    </x:row>
    <x:row r="54" ht="48" customHeight="1">
      <x:c r="A54" s="10" t="s">
        <x:v>153</x:v>
      </x:c>
      <x:c r="B54" s="38" t="n">
        <x:f>B53/B44</x:f>
        <x:v>1.503373973511449</x:v>
      </x:c>
      <x:c r="C54" s="38" t="n">
        <x:f>C53/C44</x:f>
        <x:v>1.5116590478829015</x:v>
      </x:c>
      <x:c r="D54" s="38" t="n">
        <x:f>D53/D44</x:f>
        <x:v>5.723505758876845</x:v>
      </x:c>
      <x:c r="E54" s="38" t="n">
        <x:f>E53/E44</x:f>
        <x:v>1.598446020267267</x:v>
      </x:c>
      <x:c r="F54" s="38" t="n">
        <x:f>F53/F44</x:f>
        <x:v>1.6159064051051752</x:v>
      </x:c>
      <x:c r="G54" s="42" t="n">
        <x:f>G53/G44</x:f>
        <x:v>1.6493452380952376</x:v>
      </x:c>
      <x:c r="J54" s="61" t="str">
        <x:v>Normalized tax adjustment retains the original per-share assumption, implying about 21% adjusted tax rather than the 20% annual guidance. No hindsight change was made.</x:v>
      </x:c>
    </x:row>
    <x:row r="55">
      <x:c r="A55" s="7" t="s">
        <x:v>154</x:v>
      </x:c>
      <x:c r="B55" s="5" t="n">
        <x:f>B53-Inputs!B126</x:f>
        <x:v>1.4210854715202004e-14</x:v>
      </x:c>
      <x:c r="C55" s="5" t="n">
        <x:f>C53-Inputs!C126</x:f>
        <x:v>0</x:v>
      </x:c>
      <x:c r="D55" s="5" t="n">
        <x:f>D53-Inputs!D126</x:f>
        <x:v>-1.7053025658242404e-13</x:v>
      </x:c>
      <x:c r="E55" s="5" t="n">
        <x:f>E53-Inputs!E126</x:f>
        <x:v>5.684341886080802e-14</x:v>
      </x:c>
      <x:c r="F55" s="5" t="n">
        <x:f>F53-Inputs!F126</x:f>
        <x:v>-2.842170943040401e-14</x:v>
      </x:c>
      <x:c r="G55" s="3"/>
    </x:row>
    <x:row r="56">
      <x:c r="A56" s="7" t="s">
        <x:v>155</x:v>
      </x:c>
      <x:c r="B56" s="2" t="n">
        <x:f>B54*B44-B53</x:f>
        <x:v>0</x:v>
      </x:c>
      <x:c r="C56" s="2" t="n">
        <x:f>C54*C44-C53</x:f>
        <x:v>0</x:v>
      </x:c>
      <x:c r="D56" s="2" t="n">
        <x:f>D54*D44-D53</x:f>
        <x:v>0</x:v>
      </x:c>
      <x:c r="E56" s="2" t="n">
        <x:f>E54*E44-E53</x:f>
        <x:v>0</x:v>
      </x:c>
      <x:c r="F56" s="2" t="n">
        <x:f>F54*F44-F53</x:f>
        <x:v>0</x:v>
      </x:c>
      <x:c r="G56" s="3" t="n">
        <x:f>G54*G44-G53</x:f>
        <x:v>0</x:v>
      </x:c>
    </x:row>
    <x:row r="61">
      <x:c r="A61" t="s">
        <x:v>156</x:v>
      </x:c>
    </x:row>
    <x:row r="63">
      <x:c r="A63" t="s">
        <x:v>157</x:v>
      </x:c>
      <x:c r="B63" s="2" t="n">
        <x:f>B11</x:f>
        <x:v>2.833</x:v>
      </x:c>
      <x:c r="C63" s="2" t="n">
        <x:f>C11</x:f>
        <x:v>3.86</x:v>
      </x:c>
      <x:c r="D63" s="2" t="n">
        <x:f>D11</x:f>
        <x:v>12.605</x:v>
      </x:c>
      <x:c r="E63" s="2" t="n">
        <x:f>E11</x:f>
        <x:v>3.013</x:v>
      </x:c>
      <x:c r="F63" s="2" t="n">
        <x:f>F11</x:f>
        <x:v>3.675</x:v>
      </x:c>
      <x:c r="G63" s="2" t="n">
        <x:f>G11</x:f>
        <x:v>3.55</x:v>
      </x:c>
    </x:row>
    <x:row r="64">
      <x:c r="A64" t="s">
        <x:v>41</x:v>
      </x:c>
      <x:c r="B64" s="30"/>
      <x:c r="C64" s="30"/>
      <x:c r="D64" s="30"/>
      <x:c r="E64" s="30"/>
      <x:c r="F64" s="30"/>
      <x:c r="G64" s="30" t="n">
        <x:f>IFERROR(G63/B63-1,0)</x:f>
        <x:v>0.2530885986586655</x:v>
      </x:c>
    </x:row>
    <x:row r="65">
      <x:c r="A65" t="s">
        <x:v>158</x:v>
      </x:c>
      <x:c r="C65" s="2" t="n">
        <x:f>C63-B63</x:f>
        <x:v>1.0269999999999997</x:v>
      </x:c>
      <x:c r="E65" s="2" t="n">
        <x:f>E63-C63</x:f>
        <x:v>-0.847</x:v>
      </x:c>
      <x:c r="F65" s="2" t="n">
        <x:f>F63-E63</x:f>
        <x:v>0.6619999999999999</x:v>
      </x:c>
      <x:c r="G65" s="2" t="n">
        <x:f>G63-F63</x:f>
        <x:v>-0.125</x:v>
      </x:c>
    </x:row>
    <x:row r="67">
      <x:c r="A67" t="s">
        <x:v>159</x:v>
      </x:c>
      <x:c r="B67" s="2" t="n">
        <x:f>B12</x:f>
        <x:v>33.919</x:v>
      </x:c>
      <x:c r="C67" s="2" t="n">
        <x:f>C12</x:f>
        <x:v>33.183</x:v>
      </x:c>
      <x:c r="D67" s="2" t="n">
        <x:f>D12</x:f>
        <x:v>133.75</x:v>
      </x:c>
      <x:c r="E67" s="2" t="n">
        <x:f>E12</x:f>
        <x:v>32.1</x:v>
      </x:c>
      <x:c r="F67" s="2" t="n">
        <x:f>F12</x:f>
        <x:v>32.259</x:v>
      </x:c>
      <x:c r="G67" s="2" t="n">
        <x:f>G12</x:f>
        <x:v>32</x:v>
      </x:c>
    </x:row>
    <x:row r="68">
      <x:c r="A68" t="s">
        <x:v>41</x:v>
      </x:c>
      <x:c r="B68" s="30"/>
      <x:c r="C68" s="30"/>
      <x:c r="D68" s="30"/>
      <x:c r="E68" s="30"/>
      <x:c r="F68" s="30"/>
      <x:c r="G68" s="30" t="n">
        <x:f>IFERROR(G67/B67-1,0)</x:f>
        <x:v>-0.05657596037619028</x:v>
      </x:c>
    </x:row>
    <x:row r="69">
      <x:c r="A69" t="s">
        <x:v>158</x:v>
      </x:c>
      <x:c r="C69" s="2" t="n">
        <x:f>C67-B67</x:f>
        <x:v>-0.7359999999999971</x:v>
      </x:c>
      <x:c r="E69" s="2" t="n">
        <x:f>E67-C67</x:f>
        <x:v>-1.0829999999999984</x:v>
      </x:c>
      <x:c r="F69" s="2" t="n">
        <x:f>F67-E67</x:f>
        <x:v>0.15899999999999892</x:v>
      </x:c>
      <x:c r="G69" s="2" t="n">
        <x:f>G67-F67</x:f>
        <x:v>-0.25900000000000034</x:v>
      </x:c>
    </x:row>
    <x:row r="71">
      <x:c r="A71" t="s">
        <x:v>160</x:v>
      </x:c>
      <x:c r="B71" s="2" t="n">
        <x:f>B13</x:f>
        <x:v>10.784</x:v>
      </x:c>
      <x:c r="C71" s="2" t="n">
        <x:f>C13</x:f>
        <x:v>9.483</x:v>
      </x:c>
      <x:c r="D71" s="2" t="n">
        <x:f>D13</x:f>
        <x:v>41.226</x:v>
      </x:c>
      <x:c r="E71" s="2" t="n">
        <x:f>E13</x:f>
        <x:v>8.751</x:v>
      </x:c>
      <x:c r="F71" s="2" t="n">
        <x:f>F13</x:f>
        <x:v>8.938</x:v>
      </x:c>
      <x:c r="G71" s="2" t="n">
        <x:f>G13</x:f>
        <x:v>8.7</x:v>
      </x:c>
    </x:row>
    <x:row r="72">
      <x:c r="A72" t="s">
        <x:v>41</x:v>
      </x:c>
      <x:c r="B72" s="30"/>
      <x:c r="C72" s="30"/>
      <x:c r="D72" s="30"/>
      <x:c r="E72" s="30"/>
      <x:c r="F72" s="30"/>
      <x:c r="G72" s="30" t="n">
        <x:f>IFERROR(G71/B71-1,0)</x:f>
        <x:v>-0.19324925816023752</x:v>
      </x:c>
    </x:row>
    <x:row r="73">
      <x:c r="A73" t="s">
        <x:v>158</x:v>
      </x:c>
      <x:c r="C73" s="2" t="n">
        <x:f>C71-B71</x:f>
        <x:v>-1.3010000000000002</x:v>
      </x:c>
      <x:c r="E73" s="2" t="n">
        <x:f>E71-C71</x:f>
        <x:v>-0.7320000000000011</x:v>
      </x:c>
      <x:c r="F73" s="2" t="n">
        <x:f>F71-E71</x:f>
        <x:v>0.18700000000000117</x:v>
      </x:c>
      <x:c r="G73" s="2" t="n">
        <x:f>G71-F71</x:f>
        <x:v>-0.23800000000000132</x:v>
      </x:c>
    </x:row>
    <x:row r="75">
      <x:c r="A75" t="s">
        <x:v>125</x:v>
      </x:c>
      <x:c r="B75" s="2" t="n">
        <x:f>B18</x:f>
        <x:v>51.85</x:v>
      </x:c>
      <x:c r="C75" s="2" t="n">
        <x:f>C18</x:f>
        <x:v>58.19</x:v>
      </x:c>
      <x:c r="D75" s="2" t="n">
        <x:f>D18</x:f>
        <x:v>211.013</x:v>
      </x:c>
      <x:c r="E75" s="2" t="n">
        <x:f>E18</x:f>
        <x:v>51.997</x:v>
      </x:c>
      <x:c r="F75" s="2" t="n">
        <x:f>F18</x:f>
        <x:v>54.341</x:v>
      </x:c>
      <x:c r="G75" s="2" t="n">
        <x:f>G18</x:f>
        <x:v>52.5</x:v>
      </x:c>
    </x:row>
    <x:row r="76">
      <x:c r="A76" t="s">
        <x:v>41</x:v>
      </x:c>
      <x:c r="B76" s="30"/>
      <x:c r="C76" s="30"/>
      <x:c r="D76" s="30"/>
      <x:c r="E76" s="30"/>
      <x:c r="F76" s="30"/>
      <x:c r="G76" s="30" t="n">
        <x:f>IFERROR(G75/B75-1,0)</x:f>
        <x:v>0.012536162005786</x:v>
      </x:c>
    </x:row>
    <x:row r="77">
      <x:c r="A77" t="s">
        <x:v>158</x:v>
      </x:c>
      <x:c r="C77" s="2" t="n">
        <x:f>C75-B75</x:f>
        <x:v>6.339999999999996</x:v>
      </x:c>
      <x:c r="E77" s="2" t="n">
        <x:f>E75-C75</x:f>
        <x:v>-6.192999999999998</x:v>
      </x:c>
      <x:c r="F77" s="2" t="n">
        <x:f>F75-E75</x:f>
        <x:v>2.344000000000001</x:v>
      </x:c>
      <x:c r="G77" s="2" t="n">
        <x:f>G75-F75</x:f>
        <x:v>-1.841000000000001</x:v>
      </x:c>
    </x:row>
    <x:row r="79">
      <x:c r="A79" t="s">
        <x:v>126</x:v>
      </x:c>
      <x:c r="B79" s="2" t="n">
        <x:f>B19</x:f>
        <x:v>49.432</x:v>
      </x:c>
      <x:c r="C79" s="2" t="n">
        <x:f>C19</x:f>
        <x:v>49.888</x:v>
      </x:c>
      <x:c r="D79" s="2" t="n">
        <x:f>D19</x:f>
        <x:v>192.265</x:v>
      </x:c>
      <x:c r="E79" s="2" t="n">
        <x:f>E19</x:f>
        <x:v>50.474</x:v>
      </x:c>
      <x:c r="F79" s="2" t="n">
        <x:f>F19</x:f>
        <x:v>48.84</x:v>
      </x:c>
      <x:c r="G79" s="2" t="n">
        <x:f>G19</x:f>
        <x:v>48</x:v>
      </x:c>
    </x:row>
    <x:row r="80">
      <x:c r="A80" t="s">
        <x:v>41</x:v>
      </x:c>
      <x:c r="B80" s="30"/>
      <x:c r="C80" s="30"/>
      <x:c r="D80" s="30"/>
      <x:c r="E80" s="30"/>
      <x:c r="F80" s="30"/>
      <x:c r="G80" s="30" t="n">
        <x:f>IFERROR(G79/B79-1,0)</x:f>
        <x:v>-0.02896908884932836</x:v>
      </x:c>
    </x:row>
    <x:row r="81">
      <x:c r="A81" t="s">
        <x:v>158</x:v>
      </x:c>
      <x:c r="C81" s="2" t="n">
        <x:f>C79-B79</x:f>
        <x:v>0.45599999999999596</x:v>
      </x:c>
      <x:c r="E81" s="2" t="n">
        <x:f>E79-C79</x:f>
        <x:v>0.5859999999999985</x:v>
      </x:c>
      <x:c r="F81" s="2" t="n">
        <x:f>F79-E79</x:f>
        <x:v>-1.6339999999999932</x:v>
      </x:c>
      <x:c r="G81" s="2" t="n">
        <x:f>G79-F79</x:f>
        <x:v>-0.8400000000000034</x:v>
      </x:c>
    </x:row>
    <x:row r="83">
      <x:c r="A83" t="s">
        <x:v>127</x:v>
      </x:c>
      <x:c r="B83" s="2" t="n">
        <x:f>B20</x:f>
        <x:v>28.308</x:v>
      </x:c>
      <x:c r="C83" s="2" t="n">
        <x:f>C20</x:f>
        <x:v>28.647</x:v>
      </x:c>
      <x:c r="D83" s="2" t="n">
        <x:f>D20</x:f>
        <x:v>108.215</x:v>
      </x:c>
      <x:c r="E83" s="2" t="n">
        <x:f>E20</x:f>
        <x:v>26.504</x:v>
      </x:c>
      <x:c r="F83" s="2" t="n">
        <x:f>F20</x:f>
        <x:v>32.236</x:v>
      </x:c>
      <x:c r="G83" s="2" t="n">
        <x:f>G20</x:f>
        <x:v>29.7</x:v>
      </x:c>
    </x:row>
    <x:row r="84">
      <x:c r="A84" t="s">
        <x:v>41</x:v>
      </x:c>
      <x:c r="B84" s="30"/>
      <x:c r="C84" s="30"/>
      <x:c r="D84" s="30"/>
      <x:c r="E84" s="30"/>
      <x:c r="F84" s="30"/>
      <x:c r="G84" s="30" t="n">
        <x:f>IFERROR(G83/B83-1,0)</x:f>
        <x:v>0.04917337855023307</x:v>
      </x:c>
    </x:row>
    <x:row r="85">
      <x:c r="A85" t="s">
        <x:v>158</x:v>
      </x:c>
      <x:c r="C85" s="2" t="n">
        <x:f>C83-B83</x:f>
        <x:v>0.33899999999999864</x:v>
      </x:c>
      <x:c r="E85" s="2" t="n">
        <x:f>E83-C83</x:f>
        <x:v>-2.142999999999997</x:v>
      </x:c>
      <x:c r="F85" s="2" t="n">
        <x:f>F83-E83</x:f>
        <x:v>5.731999999999996</x:v>
      </x:c>
      <x:c r="G85" s="2" t="n">
        <x:f>G83-F83</x:f>
        <x:v>-2.535999999999998</x:v>
      </x:c>
    </x:row>
    <x:row r="87">
      <x:c r="A87" t="s">
        <x:v>161</x:v>
      </x:c>
      <x:c r="B87" s="2" t="n">
        <x:f>B21</x:f>
        <x:v>26.415</x:v>
      </x:c>
      <x:c r="C87" s="2" t="n">
        <x:f>C21</x:f>
        <x:v>25.98</x:v>
      </x:c>
      <x:c r="D87" s="2" t="n">
        <x:f>D21</x:f>
        <x:v>104.266</x:v>
      </x:c>
      <x:c r="E87" s="2" t="n">
        <x:f>E21</x:f>
        <x:v>25.617000000000004</x:v>
      </x:c>
      <x:c r="F87" s="2" t="n">
        <x:f>F21</x:f>
        <x:v>26.16699999999999</x:v>
      </x:c>
      <x:c r="G87" s="2" t="n">
        <x:f>G21</x:f>
        <x:v>26.8</x:v>
      </x:c>
    </x:row>
    <x:row r="88">
      <x:c r="A88" t="s">
        <x:v>41</x:v>
      </x:c>
      <x:c r="B88" s="30"/>
      <x:c r="C88" s="30"/>
      <x:c r="D88" s="30"/>
      <x:c r="E88" s="30"/>
      <x:c r="F88" s="30"/>
      <x:c r="G88" s="30" t="n">
        <x:f>IFERROR(G87/B87-1,0)</x:f>
        <x:v>0.01457505205375731</x:v>
      </x:c>
    </x:row>
    <x:row r="89">
      <x:c r="A89" t="s">
        <x:v>158</x:v>
      </x:c>
      <x:c r="C89" s="2" t="n">
        <x:f>C87-B87</x:f>
        <x:v>-0.4349999999999987</x:v>
      </x:c>
      <x:c r="E89" s="2" t="n">
        <x:f>E87-C87</x:f>
        <x:v>-0.362999999999996</x:v>
      </x:c>
      <x:c r="F89" s="2" t="n">
        <x:f>F87-E87</x:f>
        <x:v>0.5499999999999865</x:v>
      </x:c>
      <x:c r="G89" s="2" t="n">
        <x:f>G87-F87</x:f>
        <x:v>0.6330000000000098</x:v>
      </x:c>
    </x:row>
    <x:row r="91">
      <x:c r="A91" t="s">
        <x:v>162</x:v>
      </x:c>
      <x:c r="B91" s="2" t="n">
        <x:f>B22</x:f>
        <x:v>0.659</x:v>
      </x:c>
      <x:c r="C91" s="2" t="n">
        <x:f>C22</x:f>
        <x:v>0.649</x:v>
      </x:c>
      <x:c r="D91" s="2" t="n">
        <x:f>D22</x:f>
        <x:v>2.775</x:v>
      </x:c>
      <x:c r="E91" s="2" t="n">
        <x:f>E22</x:f>
        <x:v>1.358</x:v>
      </x:c>
      <x:c r="F91" s="2" t="n">
        <x:f>F22</x:f>
        <x:v>1.266</x:v>
      </x:c>
      <x:c r="G91" s="2" t="n">
        <x:f>G22</x:f>
        <x:v>5.46</x:v>
      </x:c>
    </x:row>
    <x:row r="92">
      <x:c r="A92" t="s">
        <x:v>41</x:v>
      </x:c>
      <x:c r="B92" s="30"/>
      <x:c r="C92" s="30"/>
      <x:c r="D92" s="30"/>
      <x:c r="E92" s="30"/>
      <x:c r="F92" s="30"/>
      <x:c r="G92" s="30" t="n">
        <x:f>IFERROR(G91/B91-1,0)</x:f>
        <x:v>7.285280728376327</x:v>
      </x:c>
    </x:row>
    <x:row r="93">
      <x:c r="A93" t="s">
        <x:v>158</x:v>
      </x:c>
      <x:c r="C93" s="2" t="n">
        <x:f>C91-B91</x:f>
        <x:v>-0.010000000000000009</x:v>
      </x:c>
      <x:c r="E93" s="2" t="n">
        <x:f>E91-C91</x:f>
        <x:v>0.7090000000000001</x:v>
      </x:c>
      <x:c r="F93" s="2" t="n">
        <x:f>F91-E91</x:f>
        <x:v>-0.09200000000000008</x:v>
      </x:c>
      <x:c r="G93" s="2" t="n">
        <x:f>G91-F91</x:f>
        <x:v>4.194</x:v>
      </x:c>
    </x:row>
    <x:row r="95">
      <x:c r="A95" t="s">
        <x:v>163</x:v>
      </x:c>
      <x:c r="B95" s="2" t="n">
        <x:f>B23</x:f>
        <x:v>0.907</x:v>
      </x:c>
      <x:c r="C95" s="2" t="n">
        <x:f>C23</x:f>
        <x:v>4.13</x:v>
      </x:c>
      <x:c r="D95" s="2" t="n">
        <x:f>D23</x:f>
        <x:v>13.109</x:v>
      </x:c>
      <x:c r="E95" s="2" t="n">
        <x:f>E23</x:f>
        <x:v>0.706</x:v>
      </x:c>
      <x:c r="F95" s="2" t="n">
        <x:f>F23</x:f>
        <x:v>1.48</x:v>
      </x:c>
      <x:c r="G95" s="2" t="n">
        <x:f>G23</x:f>
        <x:v>0</x:v>
      </x:c>
    </x:row>
    <x:row r="96">
      <x:c r="A96" t="s">
        <x:v>41</x:v>
      </x:c>
      <x:c r="B96" s="30"/>
      <x:c r="C96" s="30"/>
      <x:c r="D96" s="30"/>
      <x:c r="E96" s="30"/>
      <x:c r="F96" s="30"/>
      <x:c r="G96" s="30" t="n">
        <x:f>IFERROR(G95/B95-1,0)</x:f>
        <x:v>-1</x:v>
      </x:c>
    </x:row>
    <x:row r="97">
      <x:c r="A97" t="s">
        <x:v>158</x:v>
      </x:c>
      <x:c r="C97" s="2" t="n">
        <x:f>C95-B95</x:f>
        <x:v>3.223</x:v>
      </x:c>
      <x:c r="E97" s="2" t="n">
        <x:f>E95-C95</x:f>
        <x:v>-3.424</x:v>
      </x:c>
      <x:c r="F97" s="2" t="n">
        <x:f>F95-E95</x:f>
        <x:v>0.774</x:v>
      </x:c>
      <x:c r="G97" s="2" t="n">
        <x:f>G95-F95</x:f>
        <x:v>-1.48</x:v>
      </x:c>
    </x:row>
    <x:row r="99">
      <x:c r="A99" t="s">
        <x:v>164</x:v>
      </x:c>
      <x:c r="B99" s="2" t="n">
        <x:f>B24</x:f>
        <x:v>0.814</x:v>
      </x:c>
      <x:c r="C99" s="2" t="n">
        <x:f>C24</x:f>
        <x:v>0.282</x:v>
      </x:c>
      <x:c r="D99" s="2" t="n">
        <x:f>D24</x:f>
        <x:v>5.317</x:v>
      </x:c>
      <x:c r="E99" s="2" t="n">
        <x:f>E24</x:f>
        <x:v>0.814</x:v>
      </x:c>
      <x:c r="F99" s="2" t="n">
        <x:f>F24</x:f>
        <x:v>-0.939</x:v>
      </x:c>
      <x:c r="G99" s="2" t="n">
        <x:f>G24</x:f>
        <x:v>2.94</x:v>
      </x:c>
    </x:row>
    <x:row r="100">
      <x:c r="A100" t="s">
        <x:v>41</x:v>
      </x:c>
      <x:c r="B100" s="30"/>
      <x:c r="C100" s="30"/>
      <x:c r="D100" s="30"/>
      <x:c r="E100" s="30"/>
      <x:c r="F100" s="30"/>
      <x:c r="G100" s="30" t="n">
        <x:f>IFERROR(G99/B99-1,0)</x:f>
        <x:v>2.611793611793612</x:v>
      </x:c>
    </x:row>
    <x:row r="101">
      <x:c r="A101" t="s">
        <x:v>158</x:v>
      </x:c>
      <x:c r="C101" s="2" t="n">
        <x:f>C99-B99</x:f>
        <x:v>-0.532</x:v>
      </x:c>
      <x:c r="E101" s="2" t="n">
        <x:f>E99-C99</x:f>
        <x:v>0.532</x:v>
      </x:c>
      <x:c r="F101" s="2" t="n">
        <x:f>F99-E99</x:f>
        <x:v>-1.753</x:v>
      </x:c>
      <x:c r="G101" s="2" t="n">
        <x:f>G99-F99</x:f>
        <x:v>3.879</x:v>
      </x:c>
    </x:row>
    <x:row r="103">
      <x:c r="A103" t="s">
        <x:v>135</x:v>
      </x:c>
      <x:c r="B103" s="2" t="n">
        <x:f>B30</x:f>
        <x:v>-17.668</x:v>
      </x:c>
      <x:c r="C103" s="2" t="n">
        <x:f>C30</x:f>
        <x:v>-16.118</x:v>
      </x:c>
      <x:c r="D103" s="2" t="n">
        <x:f>D30</x:f>
        <x:v>-71.662</x:v>
      </x:c>
      <x:c r="E103" s="2" t="n">
        <x:f>E30</x:f>
        <x:v>-16.173</x:v>
      </x:c>
      <x:c r="F103" s="2" t="n">
        <x:f>F30</x:f>
        <x:v>-16.362</x:v>
      </x:c>
      <x:c r="G103" s="2" t="n">
        <x:f>G30</x:f>
        <x:v>-15.2</x:v>
      </x:c>
    </x:row>
    <x:row r="104">
      <x:c r="A104" t="s">
        <x:v>41</x:v>
      </x:c>
      <x:c r="B104" s="30"/>
      <x:c r="C104" s="30"/>
      <x:c r="D104" s="30"/>
      <x:c r="E104" s="30"/>
      <x:c r="F104" s="30"/>
      <x:c r="G104" s="30" t="n">
        <x:f>IFERROR(G103/B103-1,0)</x:f>
        <x:v>-0.13968757074937743</x:v>
      </x:c>
    </x:row>
    <x:row r="105">
      <x:c r="A105" t="s">
        <x:v>158</x:v>
      </x:c>
      <x:c r="C105" s="2" t="n">
        <x:f>C103-B103</x:f>
        <x:v>1.5500000000000007</x:v>
      </x:c>
      <x:c r="E105" s="2" t="n">
        <x:f>E103-C103</x:f>
        <x:v>-0.054999999999999716</x:v>
      </x:c>
      <x:c r="F105" s="2" t="n">
        <x:f>F103-E103</x:f>
        <x:v>-0.18900000000000006</x:v>
      </x:c>
      <x:c r="G105" s="2" t="n">
        <x:f>G103-F103</x:f>
        <x:v>1.161999999999999</x:v>
      </x:c>
    </x:row>
    <x:row r="107">
      <x:c r="A107" t="s">
        <x:v>165</x:v>
      </x:c>
      <x:c r="B107" s="39" t="n">
        <x:f>B16</x:f>
        <x:v>0.809699953962249</x:v>
      </x:c>
      <x:c r="C107" s="39" t="n">
        <x:f>C16</x:f>
        <x:v>0.8158596724529615</x:v>
      </x:c>
      <x:c r="D107" s="39" t="n">
        <x:f>D16</x:f>
        <x:v>0.808166237315037</x:v>
      </x:c>
      <x:c r="E107" s="39" t="n">
        <x:f>E16</x:f>
        <x:v>0.8229855649134985</x:v>
      </x:c>
      <x:c r="F107" s="39" t="n">
        <x:f>F16</x:f>
        <x:v>0.8229656954609117</x:v>
      </x:c>
      <x:c r="G107" s="39" t="n">
        <x:f>G16</x:f>
        <x:v>0.8239856801909308</x:v>
      </x:c>
    </x:row>
    <x:row r="108">
      <x:c r="A108" t="s">
        <x:v>166</x:v>
      </x:c>
      <x:c r="B108" s="41"/>
      <x:c r="C108" s="41"/>
      <x:c r="D108" s="41"/>
      <x:c r="E108" s="41"/>
      <x:c r="F108" s="41"/>
      <x:c r="G108" s="43" t="n">
        <x:f>(G107-B107)*Inputs!G256</x:f>
        <x:v>142.8572622868174</x:v>
      </x:c>
    </x:row>
    <x:row r="109">
      <x:c r="A109" t="s">
        <x:v>167</x:v>
      </x:c>
      <x:c r="B109" s="41"/>
      <x:c r="C109" s="41"/>
      <x:c r="D109" s="41"/>
      <x:c r="E109" s="41"/>
      <x:c r="F109" s="41"/>
      <x:c r="G109" s="43" t="n">
        <x:f>(G107-F107)*Inputs!G256</x:f>
        <x:v>10.199847300190745</x:v>
      </x:c>
    </x:row>
    <x:row r="111">
      <x:c r="A111" t="s">
        <x:v>168</x:v>
      </x:c>
      <x:c r="B111" s="39" t="n">
        <x:f>B27</x:f>
        <x:v>0.17564002482035276</x:v>
      </x:c>
      <x:c r="C111" s="39" t="n">
        <x:f>C27</x:f>
        <x:v>0.15187639017517196</x:v>
      </x:c>
      <x:c r="D111" s="39" t="n">
        <x:f>D27</x:f>
        <x:v>0.1567653306143903</x:v>
      </x:c>
      <x:c r="E111" s="39" t="n">
        <x:f>E27</x:f>
        <x:v>0.18751084548363817</x:v>
      </x:c>
      <x:c r="F111" s="39" t="n">
        <x:f>F27</x:f>
        <x:v>0.1783362594441046</x:v>
      </x:c>
      <x:c r="G111" s="39" t="n">
        <x:f>G27</x:f>
        <x:v>0.16607000795544938</x:v>
      </x:c>
    </x:row>
    <x:row r="112">
      <x:c r="A112" t="s">
        <x:v>166</x:v>
      </x:c>
      <x:c r="B112" s="41"/>
      <x:c r="C112" s="41"/>
      <x:c r="D112" s="41"/>
      <x:c r="E112" s="41"/>
      <x:c r="F112" s="41"/>
      <x:c r="G112" s="43" t="n">
        <x:f>(G111-B111)*Inputs!G256</x:f>
        <x:v>-95.70016864903386</x:v>
      </x:c>
    </x:row>
    <x:row r="113">
      <x:c r="A113" t="s">
        <x:v>167</x:v>
      </x:c>
      <x:c r="B113" s="41"/>
      <x:c r="C113" s="41"/>
      <x:c r="D113" s="41"/>
      <x:c r="E113" s="41"/>
      <x:c r="F113" s="41"/>
      <x:c r="G113" s="43" t="n">
        <x:f>(G111-F111)*Inputs!G256</x:f>
        <x:v>-122.66251488655233</x:v>
      </x:c>
    </x:row>
    <x:row r="115">
      <x:c r="A115" t="s">
        <x:v>169</x:v>
      </x:c>
      <x:c r="B115" s="39" t="n">
        <x:f>B37</x:f>
        <x:v>0.2592154468442339</x:v>
      </x:c>
      <x:c r="C115" s="39" t="n">
        <x:f>C37</x:f>
        <x:v>-0.1567667145938174</x:v>
      </x:c>
      <x:c r="D115" s="39" t="n">
        <x:f>D37</x:f>
        <x:v>0.10406968197187258</x:v>
      </x:c>
      <x:c r="E115" s="39" t="n">
        <x:f>E37</x:f>
        <x:v>0.24689687046084724</x:v>
      </x:c>
      <x:c r="F115" s="39" t="n">
        <x:f>F37</x:f>
        <x:v>0.2693134535367548</x:v>
      </x:c>
      <x:c r="G115" s="39" t="n">
        <x:f>G37</x:f>
        <x:v>0.25</x:v>
      </x:c>
    </x:row>
    <x:row r="116">
      <x:c r="A116" t="s">
        <x:v>166</x:v>
      </x:c>
      <x:c r="B116" s="41"/>
      <x:c r="C116" s="41"/>
      <x:c r="D116" s="41"/>
      <x:c r="E116" s="41"/>
      <x:c r="F116" s="41"/>
      <x:c r="G116" s="43" t="n">
        <x:f>(G115-B115)*Inputs!G256</x:f>
        <x:v>-92.15446844233921</x:v>
      </x:c>
    </x:row>
    <x:row r="117">
      <x:c r="A117" t="s">
        <x:v>167</x:v>
      </x:c>
      <x:c r="B117" s="41"/>
      <x:c r="C117" s="41"/>
      <x:c r="D117" s="41"/>
      <x:c r="E117" s="41"/>
      <x:c r="F117" s="41"/>
      <x:c r="G117" s="43" t="n">
        <x:f>(G115-F115)*Inputs!G256</x:f>
        <x:v>-193.13453536754787</x:v>
      </x:c>
    </x:row>
    <x:row r="119">
      <x:c r="A119" t="s">
        <x:v>170</x:v>
      </x:c>
      <x:c r="B119" s="39" t="n">
        <x:f>B39</x:f>
        <x:v>0.07771572689605485</x:v>
      </x:c>
      <x:c r="C119" s="39" t="n">
        <x:f>C39</x:f>
        <x:v>0.10189340868973268</x:v>
      </x:c>
      <x:c r="D119" s="39" t="n">
        <x:f>D39</x:f>
        <x:v>0.07479104262392974</x:v>
      </x:c>
      <x:c r="E119" s="39" t="n">
        <x:f>E39</x:f>
        <x:v>0.09206251841210036</x:v>
      </x:c>
      <x:c r="F119" s="39" t="n">
        <x:f>F39</x:f>
        <x:v>0.08313968398003659</x:v>
      </x:c>
      <x:c r="G119" s="39" t="n">
        <x:f>G39</x:f>
        <x:v>0.07920644391408108</x:v>
      </x:c>
    </x:row>
    <x:row r="120">
      <x:c r="A120" t="s">
        <x:v>166</x:v>
      </x:c>
      <x:c r="B120" s="41"/>
      <x:c r="C120" s="41"/>
      <x:c r="D120" s="41"/>
      <x:c r="E120" s="41"/>
      <x:c r="F120" s="41"/>
      <x:c r="G120" s="43" t="n">
        <x:f>(G119-B119)*Inputs!G256</x:f>
        <x:v>14.90717018026222</x:v>
      </x:c>
    </x:row>
    <x:row r="121">
      <x:c r="A121" t="s">
        <x:v>167</x:v>
      </x:c>
      <x:c r="B121" s="41"/>
      <x:c r="C121" s="41"/>
      <x:c r="D121" s="41"/>
      <x:c r="E121" s="41"/>
      <x:c r="F121" s="41"/>
      <x:c r="G121" s="43" t="n">
        <x:f>(G119-F119)*Inputs!G256</x:f>
        <x:v>-39.33240065955509</x:v>
      </x:c>
    </x:row>
    <x:row r="124">
      <x:c r="A124" t="s">
        <x:v>171</x:v>
      </x:c>
    </x:row>
    <x:row r="125">
      <x:c r="A125" t="s">
        <x:v>172</x:v>
      </x:c>
      <x:c r="B125" s="1" t="n">
        <x:f>Inputs!C13</x:f>
        <x:v>1.5</x:v>
      </x:c>
      <x:c r="C125" s="1" t="n">
        <x:f>Inputs!C14</x:f>
        <x:v>1.51</x:v>
      </x:c>
      <x:c r="D125" s="20"/>
      <x:c r="E125" s="1" t="n">
        <x:f>Inputs!C15</x:f>
        <x:v>1.6</x:v>
      </x:c>
      <x:c r="F125" s="1" t="n">
        <x:f>Inputs!C16</x:f>
        <x:v>1.62</x:v>
      </x:c>
      <x:c r="G125" s="20"/>
    </x:row>
    <x:row r="126">
      <x:c r="A126" t="s">
        <x:v>173</x:v>
      </x:c>
      <x:c r="B126" s="1" t="n">
        <x:f>Inputs!E13</x:f>
        <x:v>0.44</x:v>
      </x:c>
      <x:c r="C126" s="1" t="n">
        <x:f>Inputs!E14</x:f>
        <x:v>0.59</x:v>
      </x:c>
      <x:c r="D126" s="20"/>
      <x:c r="E126" s="1" t="n">
        <x:f>Inputs!E15</x:f>
        <x:v>0.53</x:v>
      </x:c>
      <x:c r="F126" s="1" t="n">
        <x:f>Inputs!E16</x:f>
        <x:v>0.5</x:v>
      </x:c>
      <x:c r="G126" s="20"/>
    </x:row>
    <x:row r="127">
      <x:c r="A127" t="s">
        <x:v>174</x:v>
      </x:c>
      <x:c r="B127" s="40" t="b">
        <x:f>ABS(B54-B125)&lt;Inputs!G259</x:f>
        <x:v>1</x:v>
      </x:c>
      <x:c r="C127" s="40" t="b">
        <x:f>ABS(C54-C125)&lt;Inputs!G259</x:f>
        <x:v>1</x:v>
      </x:c>
      <x:c r="D127" s="45"/>
      <x:c r="E127" s="40" t="b">
        <x:f>ABS(E54-E125)&lt;Inputs!G259</x:f>
        <x:v>1</x:v>
      </x:c>
      <x:c r="F127" s="40" t="b">
        <x:f>ABS(F54-F125)&lt;Inputs!G259</x:f>
        <x:v>1</x:v>
      </x:c>
      <x:c r="G127" s="20"/>
    </x:row>
    <x:row r="128">
      <x:c r="A128" t="s">
        <x:v>175</x:v>
      </x:c>
      <x:c r="B128" s="40" t="b">
        <x:f>ABS(B41-B126)&lt;Inputs!G259</x:f>
        <x:v>1</x:v>
      </x:c>
      <x:c r="C128" s="40" t="b">
        <x:f>ABS(C41-C126)&lt;Inputs!G259</x:f>
        <x:v>1</x:v>
      </x:c>
      <x:c r="D128" s="45"/>
      <x:c r="E128" s="40" t="b">
        <x:f>ABS(E41-E126)&lt;Inputs!G259</x:f>
        <x:v>1</x:v>
      </x:c>
      <x:c r="F128" s="40" t="b">
        <x:f>ABS(F41-F126)&lt;Inputs!G259</x:f>
        <x:v>1</x:v>
      </x:c>
      <x:c r="G128" s="20"/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ColWidth="8.42578125" defaultRowHeight="15"/>
  <x:cols>
    <x:col min="1" max="1" width="34" customWidth="1"/>
    <x:col min="2" max="7" width="13" customWidth="1"/>
  </x:cols>
  <x:sheetData>
    <x:row r="1">
      <x:c r="A1" s="6" t="s">
        <x:v>0</x:v>
      </x:c>
      <x:c r="B1" s="6"/>
      <x:c r="C1" s="6"/>
      <x:c r="D1" s="6"/>
      <x:c r="E1" s="6"/>
      <x:c r="F1" s="6"/>
      <x:c r="G1" s="6"/>
    </x:row>
    <x:row r="2">
      <x:c r="A2" s="6" t="s">
        <x:v>176</x:v>
      </x:c>
      <x:c r="B2" s="6"/>
      <x:c r="C2" s="6"/>
      <x:c r="D2" s="6"/>
      <x:c r="E2" s="6"/>
      <x:c r="F2" s="6"/>
      <x:c r="G2" s="6"/>
    </x:row>
    <x:row r="3">
      <x:c r="A3" s="6" t="s">
        <x:v>3</x:v>
      </x:c>
      <x:c r="B3" s="6"/>
      <x:c r="C3" s="6"/>
      <x:c r="D3" s="6"/>
      <x:c r="E3" s="6"/>
      <x:c r="F3" s="6"/>
      <x:c r="G3" s="6"/>
    </x:row>
    <x:row r="4">
      <x:c r="A4" s="4" t="s">
        <x:v>4</x:v>
      </x:c>
      <x:c r="B4" s="55" t="s">
        <x:v>5</x:v>
      </x:c>
      <x:c r="C4" s="55" t="s">
        <x:v>6</x:v>
      </x:c>
      <x:c r="D4" s="55" t="s">
        <x:v>7</x:v>
      </x:c>
      <x:c r="E4" s="55" t="s">
        <x:v>8</x:v>
      </x:c>
      <x:c r="F4" s="55" t="s">
        <x:v>9</x:v>
      </x:c>
      <x:c r="G4" s="55" t="s">
        <x:v>10</x:v>
      </x:c>
    </x:row>
    <x:row r="5">
      <x:c r="A5" s="4" t="s">
        <x:v>11</x:v>
      </x:c>
      <x:c r="B5" s="12">
        <x:v>45900</x:v>
      </x:c>
      <x:c r="C5" s="12">
        <x:v>45991</x:v>
      </x:c>
      <x:c r="D5" s="12">
        <x:v>45991</x:v>
      </x:c>
      <x:c r="E5" s="12">
        <x:v>46081</x:v>
      </x:c>
      <x:c r="F5" s="12">
        <x:v>46173</x:v>
      </x:c>
      <x:c r="G5" s="12">
        <x:v>46265</x:v>
      </x:c>
    </x:row>
    <x:row r="6">
      <x:c r="A6" s="4" t="s">
        <x:v>12</x:v>
      </x:c>
      <x:c r="B6" s="4">
        <x:v>92</x:v>
      </x:c>
      <x:c r="C6" s="4">
        <x:v>91</x:v>
      </x:c>
      <x:c r="D6" s="4">
        <x:v>365</x:v>
      </x:c>
      <x:c r="E6" s="4">
        <x:v>90</x:v>
      </x:c>
      <x:c r="F6" s="4">
        <x:v>92</x:v>
      </x:c>
      <x:c r="G6" s="4">
        <x:v>92</x:v>
      </x:c>
    </x:row>
    <x:row r="7">
      <x:c r="A7" s="7"/>
      <x:c r="B7" s="7"/>
      <x:c r="C7" s="7"/>
      <x:c r="D7" s="7"/>
      <x:c r="E7" s="7"/>
      <x:c r="F7" s="7"/>
      <x:c r="G7" s="11"/>
    </x:row>
    <x:row r="8">
      <x:c r="A8" s="7"/>
      <x:c r="B8" s="2"/>
      <x:c r="C8" s="2"/>
      <x:c r="D8" s="2"/>
      <x:c r="E8" s="2"/>
      <x:c r="F8" s="2"/>
      <x:c r="G8" s="3"/>
    </x:row>
    <x:row r="9">
      <x:c r="A9" s="7" t="s">
        <x:v>177</x:v>
      </x:c>
      <x:c r="B9" s="5" t="n">
        <x:f>Inputs!B150</x:f>
        <x:v>99.008</x:v>
      </x:c>
      <x:c r="C9" s="5" t="n">
        <x:f>Inputs!C150</x:f>
        <x:v>94.807</x:v>
      </x:c>
      <x:c r="D9" s="5" t="n">
        <x:f>Inputs!D150</x:f>
        <x:v>94.807</x:v>
      </x:c>
      <x:c r="E9" s="5" t="n">
        <x:f>Inputs!E150</x:f>
        <x:v>113.171</x:v>
      </x:c>
      <x:c r="F9" s="5" t="n">
        <x:f>Inputs!F150</x:f>
        <x:v>102.978</x:v>
      </x:c>
      <x:c r="G9" s="3" t="n">
        <x:f>SUM(F9,G45:G46)</x:f>
        <x:v>115.0105</x:v>
      </x:c>
    </x:row>
    <x:row r="10">
      <x:c r="A10" s="7" t="s">
        <x:v>178</x:v>
      </x:c>
      <x:c r="B10" s="5" t="n">
        <x:f>Inputs!B151</x:f>
        <x:v>151.431</x:v>
      </x:c>
      <x:c r="C10" s="5" t="n">
        <x:f>Inputs!C151</x:f>
        <x:v>195.783</x:v>
      </x:c>
      <x:c r="D10" s="5" t="n">
        <x:f>Inputs!D151</x:f>
        <x:v>195.783</x:v>
      </x:c>
      <x:c r="E10" s="5" t="n">
        <x:f>Inputs!E151</x:f>
        <x:v>147.612</x:v>
      </x:c>
      <x:c r="F10" s="5" t="n">
        <x:f>Inputs!F151</x:f>
        <x:v>125.209</x:v>
      </x:c>
      <x:c r="G10" s="9" t="n">
        <x:f>F10+Inputs!G185</x:f>
        <x:v>119.209</x:v>
      </x:c>
    </x:row>
    <x:row r="11">
      <x:c r="A11" s="7" t="s">
        <x:v>179</x:v>
      </x:c>
      <x:c r="B11" s="5" t="n">
        <x:f>Inputs!B152</x:f>
        <x:v>35.93</x:v>
      </x:c>
      <x:c r="C11" s="5" t="n">
        <x:f>Inputs!C152</x:f>
        <x:v>46.599</x:v>
      </x:c>
      <x:c r="D11" s="5" t="n">
        <x:f>Inputs!D152</x:f>
        <x:v>46.599</x:v>
      </x:c>
      <x:c r="E11" s="5" t="n">
        <x:f>Inputs!E152</x:f>
        <x:v>40.759</x:v>
      </x:c>
      <x:c r="F11" s="5" t="n">
        <x:f>Inputs!F152</x:f>
        <x:v>51.297</x:v>
      </x:c>
      <x:c r="G11" s="9" t="n">
        <x:f>F11+Inputs!G186</x:f>
        <x:v>63.297</x:v>
      </x:c>
    </x:row>
    <x:row r="12">
      <x:c r="A12" s="7" t="s">
        <x:v>180</x:v>
      </x:c>
      <x:c r="B12" s="5" t="n">
        <x:f>Inputs!B153</x:f>
        <x:v>49.176</x:v>
      </x:c>
      <x:c r="C12" s="5" t="n">
        <x:f>Inputs!C153</x:f>
        <x:v>62.776</x:v>
      </x:c>
      <x:c r="D12" s="5" t="n">
        <x:f>Inputs!D153</x:f>
        <x:v>62.776</x:v>
      </x:c>
      <x:c r="E12" s="5" t="n">
        <x:f>Inputs!E153</x:f>
        <x:v>68.599</x:v>
      </x:c>
      <x:c r="F12" s="5" t="n">
        <x:f>Inputs!F153</x:f>
        <x:v>57.018</x:v>
      </x:c>
      <x:c r="G12" s="9" t="n">
        <x:f>F12+Inputs!G187</x:f>
        <x:v>52.018</x:v>
      </x:c>
    </x:row>
    <x:row r="13">
      <x:c r="A13" s="10" t="s">
        <x:v>181</x:v>
      </x:c>
      <x:c r="B13" s="13" t="n">
        <x:f>SUM(B9:B12)</x:f>
        <x:v>335.545</x:v>
      </x:c>
      <x:c r="C13" s="13" t="n">
        <x:f>SUM(C9:C12)</x:f>
        <x:v>399.965</x:v>
      </x:c>
      <x:c r="D13" s="13" t="n">
        <x:f>SUM(D9:D12)</x:f>
        <x:v>399.965</x:v>
      </x:c>
      <x:c r="E13" s="13" t="n">
        <x:f>SUM(E9:E12)</x:f>
        <x:v>370.141</x:v>
      </x:c>
      <x:c r="F13" s="13" t="n">
        <x:f>SUM(F9:F12)</x:f>
        <x:v>336.50200000000007</x:v>
      </x:c>
      <x:c r="G13" s="17" t="n">
        <x:f>SUM(G9:G12)</x:f>
        <x:v>349.5345</x:v>
      </x:c>
    </x:row>
    <x:row r="14">
      <x:c r="A14" s="7"/>
      <x:c r="B14" s="2"/>
      <x:c r="C14" s="2"/>
      <x:c r="D14" s="2"/>
      <x:c r="E14" s="2"/>
      <x:c r="F14" s="2"/>
      <x:c r="G14" s="3"/>
    </x:row>
    <x:row r="15">
      <x:c r="A15" s="7" t="s">
        <x:v>182</x:v>
      </x:c>
      <x:c r="B15" s="5" t="n">
        <x:f>Inputs!B156</x:f>
        <x:v>30.76</x:v>
      </x:c>
      <x:c r="C15" s="5" t="n">
        <x:f>Inputs!C156</x:f>
        <x:v>29.95</x:v>
      </x:c>
      <x:c r="D15" s="5" t="n">
        <x:f>Inputs!D156</x:f>
        <x:v>29.95</x:v>
      </x:c>
      <x:c r="E15" s="5" t="n">
        <x:f>Inputs!E156</x:f>
        <x:v>28.477</x:v>
      </x:c>
      <x:c r="F15" s="5" t="n">
        <x:f>Inputs!F156</x:f>
        <x:v>44.139</x:v>
      </x:c>
      <x:c r="G15" s="3" t="n">
        <x:f>F15</x:f>
        <x:v>44.139</x:v>
      </x:c>
    </x:row>
    <x:row r="16">
      <x:c r="A16" s="7" t="s">
        <x:v>183</x:v>
      </x:c>
      <x:c r="B16" s="5" t="n">
        <x:f>Inputs!B157</x:f>
        <x:v>13.134</x:v>
      </x:c>
      <x:c r="C16" s="5" t="n">
        <x:f>Inputs!C157</x:f>
        <x:v>13.694</x:v>
      </x:c>
      <x:c r="D16" s="5" t="n">
        <x:f>Inputs!D157</x:f>
        <x:v>13.694</x:v>
      </x:c>
      <x:c r="E16" s="5" t="n">
        <x:f>Inputs!E157</x:f>
        <x:v>14.901</x:v>
      </x:c>
      <x:c r="F16" s="5" t="n">
        <x:f>Inputs!F157</x:f>
        <x:v>14.938</x:v>
      </x:c>
      <x:c r="G16" s="9" t="n">
        <x:f>F16-'Cash Flow Statement'!G16-'Cash Flow Statement'!G10</x:f>
        <x:v>15.338000000000003</x:v>
      </x:c>
    </x:row>
    <x:row r="17">
      <x:c r="A17" s="7" t="s">
        <x:v>184</x:v>
      </x:c>
      <x:c r="B17" s="5" t="n">
        <x:f>Inputs!B158</x:f>
        <x:v>619.363</x:v>
      </x:c>
      <x:c r="C17" s="5" t="n">
        <x:f>Inputs!C158</x:f>
        <x:v>584.028</x:v>
      </x:c>
      <x:c r="D17" s="5" t="n">
        <x:f>Inputs!D158</x:f>
        <x:v>584.028</x:v>
      </x:c>
      <x:c r="E17" s="5" t="n">
        <x:f>Inputs!E158</x:f>
        <x:v>549.76</x:v>
      </x:c>
      <x:c r="F17" s="5" t="n">
        <x:f>Inputs!F158</x:f>
        <x:v>514.579</x:v>
      </x:c>
      <x:c r="G17" s="9" t="n">
        <x:f>F17-'Income Statement'!G47</x:f>
        <x:v>479.07899999999995</x:v>
      </x:c>
    </x:row>
    <x:row r="18">
      <x:c r="A18" s="7" t="s">
        <x:v>185</x:v>
      </x:c>
      <x:c r="B18" s="5" t="n">
        <x:f>Inputs!B159</x:f>
        <x:v>1309.252</x:v>
      </x:c>
      <x:c r="C18" s="5" t="n">
        <x:f>Inputs!C159</x:f>
        <x:v>1309.054</x:v>
      </x:c>
      <x:c r="D18" s="5" t="n">
        <x:f>Inputs!D159</x:f>
        <x:v>1309.054</x:v>
      </x:c>
      <x:c r="E18" s="5" t="n">
        <x:f>Inputs!E159</x:f>
        <x:v>1309.07</x:v>
      </x:c>
      <x:c r="F18" s="5" t="n">
        <x:f>Inputs!F159</x:f>
        <x:v>1309.75</x:v>
      </x:c>
      <x:c r="G18" s="3" t="n">
        <x:f>F18</x:f>
        <x:v>1309.75</x:v>
      </x:c>
    </x:row>
    <x:row r="19">
      <x:c r="A19" s="7" t="s">
        <x:v>186</x:v>
      </x:c>
      <x:c r="B19" s="5" t="n">
        <x:f>Inputs!B160</x:f>
        <x:v>27.727</x:v>
      </x:c>
      <x:c r="C19" s="5" t="n">
        <x:f>Inputs!C160</x:f>
        <x:v>25.842</x:v>
      </x:c>
      <x:c r="D19" s="5" t="n">
        <x:f>Inputs!D160</x:f>
        <x:v>25.842</x:v>
      </x:c>
      <x:c r="E19" s="5" t="n">
        <x:f>Inputs!E160</x:f>
        <x:v>30.595</x:v>
      </x:c>
      <x:c r="F19" s="5" t="n">
        <x:f>Inputs!F160</x:f>
        <x:v>31.526</x:v>
      </x:c>
      <x:c r="G19" s="3" t="n">
        <x:f>F19</x:f>
        <x:v>31.526</x:v>
      </x:c>
    </x:row>
    <x:row r="20">
      <x:c r="A20" s="7" t="s">
        <x:v>187</x:v>
      </x:c>
      <x:c r="B20" s="5" t="n">
        <x:f>Inputs!B161</x:f>
        <x:v>68.823</x:v>
      </x:c>
      <x:c r="C20" s="5" t="n">
        <x:f>Inputs!C161</x:f>
        <x:v>77.442</x:v>
      </x:c>
      <x:c r="D20" s="5" t="n">
        <x:f>Inputs!D161</x:f>
        <x:v>77.442</x:v>
      </x:c>
      <x:c r="E20" s="5" t="n">
        <x:f>Inputs!E161</x:f>
        <x:v>75.144</x:v>
      </x:c>
      <x:c r="F20" s="5" t="n">
        <x:f>Inputs!F161</x:f>
        <x:v>78.3</x:v>
      </x:c>
      <x:c r="G20" s="3" t="n">
        <x:f>F20</x:f>
        <x:v>78.3</x:v>
      </x:c>
    </x:row>
    <x:row r="21">
      <x:c r="A21" s="7" t="s">
        <x:v>188</x:v>
      </x:c>
      <x:c r="B21" s="5" t="n">
        <x:f>Inputs!B162</x:f>
        <x:v>17.107</x:v>
      </x:c>
      <x:c r="C21" s="5" t="n">
        <x:f>Inputs!C162</x:f>
        <x:v>17.683</x:v>
      </x:c>
      <x:c r="D21" s="5" t="n">
        <x:f>Inputs!D162</x:f>
        <x:v>17.683</x:v>
      </x:c>
      <x:c r="E21" s="5" t="n">
        <x:f>Inputs!E162</x:f>
        <x:v>16.686</x:v>
      </x:c>
      <x:c r="F21" s="5" t="n">
        <x:f>Inputs!F162</x:f>
        <x:v>15.889</x:v>
      </x:c>
      <x:c r="G21" s="3" t="n">
        <x:f>F21</x:f>
        <x:v>15.889</x:v>
      </x:c>
    </x:row>
    <x:row r="22">
      <x:c r="A22" s="10" t="s">
        <x:v>189</x:v>
      </x:c>
      <x:c r="B22" s="13" t="n">
        <x:f>SUM(B13,B15:B21)</x:f>
        <x:v>2421.7110000000002</x:v>
      </x:c>
      <x:c r="C22" s="13" t="n">
        <x:f>SUM(C13,C15:C21)</x:f>
        <x:v>2457.6580000000004</x:v>
      </x:c>
      <x:c r="D22" s="13" t="n">
        <x:f>SUM(D13,D15:D21)</x:f>
        <x:v>2457.6580000000004</x:v>
      </x:c>
      <x:c r="E22" s="13" t="n">
        <x:f>SUM(E13,E15:E21)</x:f>
        <x:v>2394.774</x:v>
      </x:c>
      <x:c r="F22" s="13" t="n">
        <x:f>SUM(F13,F15:F21)</x:f>
        <x:v>2345.623</x:v>
      </x:c>
      <x:c r="G22" s="17" t="n">
        <x:f>SUM(G13,G15:G21)</x:f>
        <x:v>2323.5555</x:v>
      </x:c>
    </x:row>
    <x:row r="23">
      <x:c r="A23" s="7"/>
      <x:c r="B23" s="2"/>
      <x:c r="C23" s="2"/>
      <x:c r="D23" s="2"/>
      <x:c r="E23" s="2"/>
      <x:c r="F23" s="2"/>
      <x:c r="G23" s="3"/>
    </x:row>
    <x:row r="24">
      <x:c r="A24" s="7" t="s">
        <x:v>190</x:v>
      </x:c>
      <x:c r="B24" s="5" t="n">
        <x:f>Inputs!B165</x:f>
        <x:v>12.847</x:v>
      </x:c>
      <x:c r="C24" s="5" t="n">
        <x:f>Inputs!C165</x:f>
        <x:v>15.934</x:v>
      </x:c>
      <x:c r="D24" s="5" t="n">
        <x:f>Inputs!D165</x:f>
        <x:v>15.934</x:v>
      </x:c>
      <x:c r="E24" s="5" t="n">
        <x:f>Inputs!E165</x:f>
        <x:v>13.873</x:v>
      </x:c>
      <x:c r="F24" s="5" t="n">
        <x:f>Inputs!F165</x:f>
        <x:v>11.189</x:v>
      </x:c>
      <x:c r="G24" s="3" t="n">
        <x:f>F24</x:f>
        <x:v>11.189</x:v>
      </x:c>
    </x:row>
    <x:row r="25">
      <x:c r="A25" s="7" t="s">
        <x:v>191</x:v>
      </x:c>
      <x:c r="B25" s="5" t="n">
        <x:f>Inputs!B166</x:f>
        <x:v>63.323</x:v>
      </x:c>
      <x:c r="C25" s="5" t="n">
        <x:f>Inputs!C166</x:f>
        <x:v>71.804</x:v>
      </x:c>
      <x:c r="D25" s="5" t="n">
        <x:f>Inputs!D166</x:f>
        <x:v>71.804</x:v>
      </x:c>
      <x:c r="E25" s="5" t="n">
        <x:f>Inputs!E166</x:f>
        <x:v>45.297</x:v>
      </x:c>
      <x:c r="F25" s="5" t="n">
        <x:f>Inputs!F166</x:f>
        <x:v>47.446</x:v>
      </x:c>
      <x:c r="G25" s="3" t="n">
        <x:f>F25</x:f>
        <x:v>47.446</x:v>
      </x:c>
    </x:row>
    <x:row r="26">
      <x:c r="A26" s="7" t="s">
        <x:v>192</x:v>
      </x:c>
      <x:c r="B26" s="5" t="n">
        <x:f>Inputs!B167</x:f>
        <x:v>298.716</x:v>
      </x:c>
      <x:c r="C26" s="5" t="n">
        <x:f>Inputs!C167</x:f>
        <x:v>324.75</x:v>
      </x:c>
      <x:c r="D26" s="5" t="n">
        <x:f>Inputs!D167</x:f>
        <x:v>324.75</x:v>
      </x:c>
      <x:c r="E26" s="5" t="n">
        <x:f>Inputs!E167</x:f>
        <x:v>330.766</x:v>
      </x:c>
      <x:c r="F26" s="5" t="n">
        <x:f>Inputs!F167</x:f>
        <x:v>324.469</x:v>
      </x:c>
      <x:c r="G26" s="9" t="n">
        <x:f>F26+Inputs!G188-'Income Statement'!G9</x:f>
        <x:v>316.269</x:v>
      </x:c>
    </x:row>
    <x:row r="27">
      <x:c r="A27" s="7" t="s">
        <x:v>193</x:v>
      </x:c>
      <x:c r="B27" s="5" t="n">
        <x:f>Inputs!B168</x:f>
        <x:v>358.619</x:v>
      </x:c>
      <x:c r="C27" s="5" t="n">
        <x:f>Inputs!C168</x:f>
        <x:v>359.163</x:v>
      </x:c>
      <x:c r="D27" s="5" t="n">
        <x:f>Inputs!D168</x:f>
        <x:v>359.163</x:v>
      </x:c>
      <x:c r="E27" s="5" t="n">
        <x:f>Inputs!E168</x:f>
        <x:v>359.723</x:v>
      </x:c>
      <x:c r="F27" s="5" t="n">
        <x:f>Inputs!F168</x:f>
        <x:v>0</x:v>
      </x:c>
      <x:c r="G27" s="3" t="n">
        <x:f>F27</x:f>
        <x:v>0</x:v>
      </x:c>
    </x:row>
    <x:row r="28">
      <x:c r="A28" s="7" t="s">
        <x:v>194</x:v>
      </x:c>
      <x:c r="B28" s="5" t="n">
        <x:f>Inputs!B169</x:f>
        <x:v>8.788</x:v>
      </x:c>
      <x:c r="C28" s="5" t="n">
        <x:f>Inputs!C169</x:f>
        <x:v>8.49</x:v>
      </x:c>
      <x:c r="D28" s="5" t="n">
        <x:f>Inputs!D169</x:f>
        <x:v>8.49</x:v>
      </x:c>
      <x:c r="E28" s="5" t="n">
        <x:f>Inputs!E169</x:f>
        <x:v>8.811</x:v>
      </x:c>
      <x:c r="F28" s="5" t="n">
        <x:f>Inputs!F169</x:f>
        <x:v>8.144</x:v>
      </x:c>
      <x:c r="G28" s="3" t="n">
        <x:f>F28</x:f>
        <x:v>8.144</x:v>
      </x:c>
    </x:row>
    <x:row r="29">
      <x:c r="A29" s="7" t="s">
        <x:v>195</x:v>
      </x:c>
      <x:c r="B29" s="5" t="n">
        <x:f>Inputs!B170</x:f>
        <x:v>27.516</x:v>
      </x:c>
      <x:c r="C29" s="5" t="n">
        <x:f>Inputs!C170</x:f>
        <x:v>29.593</x:v>
      </x:c>
      <x:c r="D29" s="5" t="n">
        <x:f>Inputs!D170</x:f>
        <x:v>29.593</x:v>
      </x:c>
      <x:c r="E29" s="5" t="n">
        <x:f>Inputs!E170</x:f>
        <x:v>29.651</x:v>
      </x:c>
      <x:c r="F29" s="5" t="n">
        <x:f>Inputs!F170</x:f>
        <x:v>24.787</x:v>
      </x:c>
      <x:c r="G29" s="3" t="n">
        <x:f>F29</x:f>
        <x:v>24.787</x:v>
      </x:c>
    </x:row>
    <x:row r="30">
      <x:c r="A30" s="10" t="s">
        <x:v>196</x:v>
      </x:c>
      <x:c r="B30" s="13" t="n">
        <x:f>SUM(B24:B29)</x:f>
        <x:v>769.8090000000001</x:v>
      </x:c>
      <x:c r="C30" s="13" t="n">
        <x:f>SUM(C24:C29)</x:f>
        <x:v>809.734</x:v>
      </x:c>
      <x:c r="D30" s="13" t="n">
        <x:f>SUM(D24:D29)</x:f>
        <x:v>809.734</x:v>
      </x:c>
      <x:c r="E30" s="13" t="n">
        <x:f>SUM(E24:E29)</x:f>
        <x:v>788.1210000000001</x:v>
      </x:c>
      <x:c r="F30" s="13" t="n">
        <x:f>SUM(F24:F29)</x:f>
        <x:v>416.03499999999997</x:v>
      </x:c>
      <x:c r="G30" s="17" t="n">
        <x:f>SUM(G24:G29)</x:f>
        <x:v>407.835</x:v>
      </x:c>
    </x:row>
    <x:row r="31">
      <x:c r="A31" s="7"/>
      <x:c r="B31" s="2"/>
      <x:c r="C31" s="2"/>
      <x:c r="D31" s="2"/>
      <x:c r="E31" s="2"/>
      <x:c r="F31" s="2"/>
      <x:c r="G31" s="3"/>
    </x:row>
    <x:row r="32">
      <x:c r="A32" s="7" t="s">
        <x:v>197</x:v>
      </x:c>
      <x:c r="B32" s="5" t="n">
        <x:f>Inputs!B173</x:f>
        <x:v>620</x:v>
      </x:c>
      <x:c r="C32" s="5" t="n">
        <x:f>Inputs!C173</x:f>
        <x:v>600</x:v>
      </x:c>
      <x:c r="D32" s="5" t="n">
        <x:f>Inputs!D173</x:f>
        <x:v>600</x:v>
      </x:c>
      <x:c r="E32" s="5" t="n">
        <x:f>Inputs!E173</x:f>
        <x:v>540</x:v>
      </x:c>
      <x:c r="F32" s="5" t="n">
        <x:f>Inputs!F173</x:f>
        <x:v>850</x:v>
      </x:c>
      <x:c r="G32" s="9" t="n">
        <x:f>F32+'Cash Flow Statement'!G20</x:f>
        <x:v>825</x:v>
      </x:c>
    </x:row>
    <x:row r="33">
      <x:c r="A33" s="7" t="s">
        <x:v>198</x:v>
      </x:c>
      <x:c r="B33" s="5" t="n">
        <x:f>Inputs!B174</x:f>
        <x:v>440.713</x:v>
      </x:c>
      <x:c r="C33" s="5" t="n">
        <x:f>Inputs!C174</x:f>
        <x:v>441.186</x:v>
      </x:c>
      <x:c r="D33" s="5" t="n">
        <x:f>Inputs!D174</x:f>
        <x:v>441.186</x:v>
      </x:c>
      <x:c r="E33" s="5" t="n">
        <x:f>Inputs!E174</x:f>
        <x:v>441.664</x:v>
      </x:c>
      <x:c r="F33" s="5" t="n">
        <x:f>Inputs!F174</x:f>
        <x:v>442.147</x:v>
      </x:c>
      <x:c r="G33" s="3" t="n">
        <x:f>F33</x:f>
        <x:v>442.147</x:v>
      </x:c>
    </x:row>
    <x:row r="34">
      <x:c r="A34" s="7" t="s">
        <x:v>199</x:v>
      </x:c>
      <x:c r="B34" s="5" t="n">
        <x:f>Inputs!B175</x:f>
        <x:v>22.705</x:v>
      </x:c>
      <x:c r="C34" s="5" t="n">
        <x:f>Inputs!C175</x:f>
        <x:v>21.077</x:v>
      </x:c>
      <x:c r="D34" s="5" t="n">
        <x:f>Inputs!D175</x:f>
        <x:v>21.077</x:v>
      </x:c>
      <x:c r="E34" s="5" t="n">
        <x:f>Inputs!E175</x:f>
        <x:v>25.311</x:v>
      </x:c>
      <x:c r="F34" s="5" t="n">
        <x:f>Inputs!F175</x:f>
        <x:v>26.467</x:v>
      </x:c>
      <x:c r="G34" s="3" t="n">
        <x:f>F34</x:f>
        <x:v>26.467</x:v>
      </x:c>
    </x:row>
    <x:row r="35">
      <x:c r="A35" s="7" t="s">
        <x:v>200</x:v>
      </x:c>
      <x:c r="B35" s="5" t="n">
        <x:f>Inputs!B176</x:f>
        <x:v>82.346</x:v>
      </x:c>
      <x:c r="C35" s="5" t="n">
        <x:f>Inputs!C176</x:f>
        <x:v>100.329</x:v>
      </x:c>
      <x:c r="D35" s="5" t="n">
        <x:f>Inputs!D176</x:f>
        <x:v>100.329</x:v>
      </x:c>
      <x:c r="E35" s="5" t="n">
        <x:f>Inputs!E176</x:f>
        <x:v>93.845</x:v>
      </x:c>
      <x:c r="F35" s="5" t="n">
        <x:f>Inputs!F176</x:f>
        <x:v>98.756</x:v>
      </x:c>
      <x:c r="G35" s="3" t="n">
        <x:f>F35</x:f>
        <x:v>98.756</x:v>
      </x:c>
    </x:row>
    <x:row r="36">
      <x:c r="A36" s="7" t="s">
        <x:v>201</x:v>
      </x:c>
      <x:c r="B36" s="5" t="n">
        <x:f>Inputs!B177</x:f>
        <x:v>2.599</x:v>
      </x:c>
      <x:c r="C36" s="5" t="n">
        <x:f>Inputs!C177</x:f>
        <x:v>1.158</x:v>
      </x:c>
      <x:c r="D36" s="5" t="n">
        <x:f>Inputs!D177</x:f>
        <x:v>1.158</x:v>
      </x:c>
      <x:c r="E36" s="5" t="n">
        <x:f>Inputs!E177</x:f>
        <x:v>1.178</x:v>
      </x:c>
      <x:c r="F36" s="5" t="n">
        <x:f>Inputs!F177</x:f>
        <x:v>1.15</x:v>
      </x:c>
      <x:c r="G36" s="3" t="n">
        <x:f>F36</x:f>
        <x:v>1.15</x:v>
      </x:c>
    </x:row>
    <x:row r="37">
      <x:c r="A37" s="7" t="s">
        <x:v>202</x:v>
      </x:c>
      <x:c r="B37" s="5" t="n">
        <x:f>Inputs!B178</x:f>
        <x:v>5.857</x:v>
      </x:c>
      <x:c r="C37" s="5" t="n">
        <x:f>Inputs!C178</x:f>
        <x:v>5.825</x:v>
      </x:c>
      <x:c r="D37" s="5" t="n">
        <x:f>Inputs!D178</x:f>
        <x:v>5.825</x:v>
      </x:c>
      <x:c r="E37" s="5" t="n">
        <x:f>Inputs!E178</x:f>
        <x:v>5.86</x:v>
      </x:c>
      <x:c r="F37" s="5" t="n">
        <x:f>Inputs!F178</x:f>
        <x:v>4.985</x:v>
      </x:c>
      <x:c r="G37" s="3" t="n">
        <x:f>F37</x:f>
        <x:v>4.985</x:v>
      </x:c>
    </x:row>
    <x:row r="38">
      <x:c r="A38" s="10" t="s">
        <x:v>203</x:v>
      </x:c>
      <x:c r="B38" s="13" t="n">
        <x:f>SUM(B30,B32:B37)</x:f>
        <x:v>1944.029</x:v>
      </x:c>
      <x:c r="C38" s="13" t="n">
        <x:f>SUM(C30,C32:C37)</x:f>
        <x:v>1979.3089999999997</x:v>
      </x:c>
      <x:c r="D38" s="13" t="n">
        <x:f>SUM(D30,D32:D37)</x:f>
        <x:v>1979.3089999999997</x:v>
      </x:c>
      <x:c r="E38" s="13" t="n">
        <x:f>SUM(E30,E32:E37)</x:f>
        <x:v>1895.979</x:v>
      </x:c>
      <x:c r="F38" s="13" t="n">
        <x:f>SUM(F30,F32:F37)</x:f>
        <x:v>1839.54</x:v>
      </x:c>
      <x:c r="G38" s="17" t="n">
        <x:f>SUM(G30,G32:G37)</x:f>
        <x:v>1806.3400000000001</x:v>
      </x:c>
    </x:row>
    <x:row r="39">
      <x:c r="A39" s="7"/>
      <x:c r="B39" s="2"/>
      <x:c r="C39" s="2"/>
      <x:c r="D39" s="2"/>
      <x:c r="E39" s="2"/>
      <x:c r="F39" s="2"/>
      <x:c r="G39" s="3"/>
    </x:row>
    <x:row r="40">
      <x:c r="A40" s="10" t="s">
        <x:v>204</x:v>
      </x:c>
      <x:c r="B40" s="8" t="n">
        <x:f>Inputs!B181</x:f>
        <x:v>477.682</x:v>
      </x:c>
      <x:c r="C40" s="8" t="n">
        <x:f>Inputs!C181</x:f>
        <x:v>478.349</x:v>
      </x:c>
      <x:c r="D40" s="8" t="n">
        <x:f>Inputs!D181</x:f>
        <x:v>478.349</x:v>
      </x:c>
      <x:c r="E40" s="8" t="n">
        <x:f>Inputs!E181</x:f>
        <x:v>498.795</x:v>
      </x:c>
      <x:c r="F40" s="8" t="n">
        <x:f>Inputs!F181</x:f>
        <x:v>506.083</x:v>
      </x:c>
      <x:c r="G40" s="15" t="n">
        <x:f>F40+'Income Statement'!G38+'Income Statement'!G48+'Cash Flow Statement'!G19+'Cash Flow Statement'!G17+'Cash Flow Statement'!G18</x:f>
        <x:v>517.2155</x:v>
      </x:c>
    </x:row>
    <x:row r="41">
      <x:c r="A41" s="7"/>
      <x:c r="B41" s="2"/>
      <x:c r="C41" s="2"/>
      <x:c r="D41" s="2"/>
      <x:c r="E41" s="2"/>
      <x:c r="F41" s="2"/>
      <x:c r="G41" s="3"/>
    </x:row>
    <x:row r="42">
      <x:c r="A42" s="10" t="s">
        <x:v>205</x:v>
      </x:c>
      <x:c r="B42" s="13" t="n">
        <x:f>B22-B38-B40</x:f>
        <x:v>2.2737367544323206e-13</x:v>
      </x:c>
      <x:c r="C42" s="13" t="n">
        <x:f>C22-C38-C40</x:f>
        <x:v>6.252776074688882e-13</x:v>
      </x:c>
      <x:c r="D42" s="13" t="n">
        <x:f>D22-D38-D40</x:f>
        <x:v>6.252776074688882e-13</x:v>
      </x:c>
      <x:c r="E42" s="13" t="n">
        <x:f>E22-E38-E40</x:f>
        <x:v>-1.7053025658242404e-13</x:v>
      </x:c>
      <x:c r="F42" s="13" t="n">
        <x:f>F22-F38-F40</x:f>
        <x:v>5.684341886080802e-14</x:v>
      </x:c>
      <x:c r="G42" s="17" t="n">
        <x:f>G22-G38-G40</x:f>
        <x:v>-2.2737367544323206e-13</x:v>
      </x:c>
    </x:row>
    <x:row r="43">
      <x:c r="A43" s="10" t="s">
        <x:v>206</x:v>
      </x:c>
      <x:c r="B43" s="8" t="n">
        <x:f>'Cash Flow Statement'!B29-B9</x:f>
        <x:v>0</x:v>
      </x:c>
      <x:c r="C43" s="8" t="n">
        <x:f>'Cash Flow Statement'!C29-C9</x:f>
        <x:v>0</x:v>
      </x:c>
      <x:c r="D43" s="8" t="n">
        <x:f>'Cash Flow Statement'!D29-D9</x:f>
        <x:v>0</x:v>
      </x:c>
      <x:c r="E43" s="8" t="n">
        <x:f>'Cash Flow Statement'!E29-E9</x:f>
        <x:v>0</x:v>
      </x:c>
      <x:c r="F43" s="8" t="n">
        <x:f>'Cash Flow Statement'!F29-F9</x:f>
        <x:v>0</x:v>
      </x:c>
      <x:c r="G43" s="15" t="n">
        <x:f>'Cash Flow Statement'!G29-G9</x:f>
        <x:v>0</x:v>
      </x:c>
    </x:row>
    <x:row r="45">
      <x:c r="A45" s="29" t="s">
        <x:v>207</x:v>
      </x:c>
      <x:c r="B45" s="29"/>
      <x:c r="C45" s="29"/>
      <x:c r="D45" s="29"/>
      <x:c r="E45" s="29"/>
      <x:c r="F45" s="29"/>
      <x:c r="G45" s="34" t="n">
        <x:f>'Income Statement'!G38+Inputs!G201+Inputs!G202+Inputs!G203-(G10-F10)-(G11-F11)-(G12-F12)+(G26-F26)</x:f>
        <x:v>65.0325</x:v>
      </x:c>
    </x:row>
    <x:row r="46">
      <x:c r="A46" s="29" t="s">
        <x:v>208</x:v>
      </x:c>
      <x:c r="B46" s="29"/>
      <x:c r="C46" s="29"/>
      <x:c r="D46" s="29"/>
      <x:c r="E46" s="29"/>
      <x:c r="F46" s="29"/>
      <x:c r="G46" s="23" t="n">
        <x:f>SUM(Inputs!G192:Inputs!G196,Inputs!G197,Inputs!G198:Inputs!G199)</x:f>
        <x:v>-53</x:v>
      </x:c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ColWidth="8.42578125" defaultRowHeight="15"/>
  <x:cols>
    <x:col min="1" max="1" width="34" customWidth="1"/>
    <x:col min="2" max="7" width="13" customWidth="1"/>
  </x:cols>
  <x:sheetData>
    <x:row r="1">
      <x:c r="A1" s="6" t="s">
        <x:v>0</x:v>
      </x:c>
      <x:c r="B1" s="6"/>
      <x:c r="C1" s="6"/>
      <x:c r="D1" s="6"/>
      <x:c r="E1" s="6"/>
      <x:c r="F1" s="6"/>
      <x:c r="G1" s="6"/>
    </x:row>
    <x:row r="2">
      <x:c r="A2" s="6" t="s">
        <x:v>209</x:v>
      </x:c>
      <x:c r="B2" s="6"/>
      <x:c r="C2" s="6"/>
      <x:c r="D2" s="6"/>
      <x:c r="E2" s="6"/>
      <x:c r="F2" s="6"/>
      <x:c r="G2" s="6"/>
    </x:row>
    <x:row r="3">
      <x:c r="A3" s="6" t="s">
        <x:v>3</x:v>
      </x:c>
      <x:c r="B3" s="6"/>
      <x:c r="C3" s="6"/>
      <x:c r="D3" s="6"/>
      <x:c r="E3" s="6"/>
      <x:c r="F3" s="6"/>
      <x:c r="G3" s="6"/>
    </x:row>
    <x:row r="4">
      <x:c r="A4" s="4" t="s">
        <x:v>4</x:v>
      </x:c>
      <x:c r="B4" s="55" t="s">
        <x:v>5</x:v>
      </x:c>
      <x:c r="C4" s="55" t="s">
        <x:v>6</x:v>
      </x:c>
      <x:c r="D4" s="55" t="s">
        <x:v>7</x:v>
      </x:c>
      <x:c r="E4" s="55" t="s">
        <x:v>8</x:v>
      </x:c>
      <x:c r="F4" s="55" t="s">
        <x:v>9</x:v>
      </x:c>
      <x:c r="G4" s="55" t="s">
        <x:v>10</x:v>
      </x:c>
    </x:row>
    <x:row r="5">
      <x:c r="A5" s="4" t="s">
        <x:v>11</x:v>
      </x:c>
      <x:c r="B5" s="12">
        <x:v>45900</x:v>
      </x:c>
      <x:c r="C5" s="12">
        <x:v>45991</x:v>
      </x:c>
      <x:c r="D5" s="12">
        <x:v>45991</x:v>
      </x:c>
      <x:c r="E5" s="12">
        <x:v>46081</x:v>
      </x:c>
      <x:c r="F5" s="12">
        <x:v>46173</x:v>
      </x:c>
      <x:c r="G5" s="12">
        <x:v>46265</x:v>
      </x:c>
    </x:row>
    <x:row r="6">
      <x:c r="A6" s="4" t="s">
        <x:v>12</x:v>
      </x:c>
      <x:c r="B6" s="4">
        <x:v>92</x:v>
      </x:c>
      <x:c r="C6" s="4">
        <x:v>91</x:v>
      </x:c>
      <x:c r="D6" s="4">
        <x:v>365</x:v>
      </x:c>
      <x:c r="E6" s="4">
        <x:v>90</x:v>
      </x:c>
      <x:c r="F6" s="4">
        <x:v>92</x:v>
      </x:c>
      <x:c r="G6" s="4">
        <x:v>92</x:v>
      </x:c>
    </x:row>
    <x:row r="7">
      <x:c r="A7" s="7"/>
      <x:c r="B7" s="7"/>
      <x:c r="C7" s="7"/>
      <x:c r="D7" s="7"/>
      <x:c r="E7" s="7"/>
      <x:c r="F7" s="7"/>
      <x:c r="G7" s="11"/>
    </x:row>
    <x:row r="8">
      <x:c r="A8" s="7"/>
      <x:c r="B8" s="2"/>
      <x:c r="C8" s="2"/>
      <x:c r="D8" s="2"/>
      <x:c r="E8" s="2"/>
      <x:c r="F8" s="2"/>
      <x:c r="G8" s="3"/>
    </x:row>
    <x:row r="9">
      <x:c r="A9" s="7" t="s">
        <x:v>139</x:v>
      </x:c>
      <x:c r="B9" s="5" t="n">
        <x:f>'Income Statement'!B38</x:f>
        <x:v>19.413000000000025</x:v>
      </x:c>
      <x:c r="C9" s="5" t="n">
        <x:f>'Income Statement'!C38</x:f>
        <x:v>25.744999999999997</x:v>
      </x:c>
      <x:c r="D9" s="5" t="n">
        <x:f>'Income Statement'!D38</x:f>
        <x:v>73.13299999999984</x:v>
      </x:c>
      <x:c r="E9" s="5" t="n">
        <x:f>'Income Statement'!E38</x:f>
        <x:v>22.813000000000063</x:v>
      </x:c>
      <x:c r="F9" s="5" t="n">
        <x:f>'Income Statement'!F38</x:f>
        <x:v>21.072999999999972</x:v>
      </x:c>
      <x:c r="G9" s="9" t="n">
        <x:f>'Income Statement'!G38</x:f>
        <x:v>19.91249999999998</x:v>
      </x:c>
    </x:row>
    <x:row r="10">
      <x:c r="A10" s="7" t="s">
        <x:v>210</x:v>
      </x:c>
      <x:c r="B10" s="5" t="n">
        <x:f>Inputs!B201</x:f>
        <x:v>1.536</x:v>
      </x:c>
      <x:c r="C10" s="5" t="n">
        <x:f>Inputs!C201</x:f>
        <x:v>1.479</x:v>
      </x:c>
      <x:c r="D10" s="5" t="n">
        <x:f>Inputs!D201</x:f>
        <x:v>6.232</x:v>
      </x:c>
      <x:c r="E10" s="5" t="n">
        <x:f>Inputs!E201</x:f>
        <x:v>1.496</x:v>
      </x:c>
      <x:c r="F10" s="5" t="n">
        <x:f>Inputs!F201</x:f>
        <x:v>1.762</x:v>
      </x:c>
      <x:c r="G10" s="9" t="n">
        <x:f>Inputs!G201</x:f>
        <x:v>1.6</x:v>
      </x:c>
    </x:row>
    <x:row r="11">
      <x:c r="A11" s="7" t="s">
        <x:v>211</x:v>
      </x:c>
      <x:c r="B11" s="5" t="n">
        <x:f>Inputs!B202</x:f>
        <x:v>37.54900000000001</x:v>
      </x:c>
      <x:c r="C11" s="5" t="n">
        <x:f>Inputs!C202</x:f>
        <x:v>34.41099999999999</x:v>
      </x:c>
      <x:c r="D11" s="5" t="n">
        <x:f>Inputs!D202</x:f>
        <x:v>145.492</x:v>
      </x:c>
      <x:c r="E11" s="5" t="n">
        <x:f>Inputs!E202</x:f>
        <x:v>34.368</x:v>
      </x:c>
      <x:c r="F11" s="5" t="n">
        <x:f>Inputs!F202</x:f>
        <x:v>35.105</x:v>
      </x:c>
      <x:c r="G11" s="9" t="n">
        <x:f>Inputs!G202</x:f>
        <x:v>35.5</x:v>
      </x:c>
    </x:row>
    <x:row r="12">
      <x:c r="A12" s="7" t="s">
        <x:v>212</x:v>
      </x:c>
      <x:c r="B12" s="5" t="n">
        <x:f>Inputs!B203</x:f>
        <x:v>15.97</x:v>
      </x:c>
      <x:c r="C12" s="5" t="n">
        <x:f>Inputs!C203</x:f>
        <x:v>17.374000000000002</x:v>
      </x:c>
      <x:c r="D12" s="5" t="n">
        <x:f>Inputs!D203</x:f>
        <x:v>64.768</x:v>
      </x:c>
      <x:c r="E12" s="5" t="n">
        <x:f>Inputs!E203</x:f>
        <x:v>18.474</x:v>
      </x:c>
      <x:c r="F12" s="5" t="n">
        <x:f>Inputs!F203</x:f>
        <x:v>20.508999999999997</x:v>
      </x:c>
      <x:c r="G12" s="9" t="n">
        <x:f>Inputs!G203</x:f>
        <x:v>17.22</x:v>
      </x:c>
    </x:row>
    <x:row r="13">
      <x:c r="A13" s="7" t="s">
        <x:v>213</x:v>
      </x:c>
      <x:c r="B13" s="2" t="n">
        <x:f>B14-SUM(B9:B12)</x:f>
        <x:v>-1.022000000000034</x:v>
      </x:c>
      <x:c r="C13" s="2" t="n">
        <x:f>C14-SUM(C9:C12)</x:f>
        <x:v>-16.210999999999984</x:v>
      </x:c>
      <x:c r="D13" s="2" t="n">
        <x:f>D14-SUM(D9:D12)</x:f>
        <x:v>-54.43799999999982</x:v>
      </x:c>
      <x:c r="E13" s="2" t="n">
        <x:f>E14-SUM(E9:E12)</x:f>
        <x:v>21.474999999999937</x:v>
      </x:c>
      <x:c r="F13" s="2" t="n">
        <x:f>F14-SUM(F9:F12)</x:f>
        <x:v>0.38800000000001944</x:v>
      </x:c>
      <x:c r="G13" s="9" t="n">
        <x:f>-('Balance Sheet'!G10-'Balance Sheet'!F10)-('Balance Sheet'!G11-'Balance Sheet'!F11)-('Balance Sheet'!G12-'Balance Sheet'!F12)+('Balance Sheet'!G26-'Balance Sheet'!F26)</x:f>
        <x:v>-9.199999999999989</x:v>
      </x:c>
    </x:row>
    <x:row r="14">
      <x:c r="A14" s="10" t="s">
        <x:v>214</x:v>
      </x:c>
      <x:c r="B14" s="8" t="n">
        <x:f>Inputs!B205</x:f>
        <x:v>73.446</x:v>
      </x:c>
      <x:c r="C14" s="8" t="n">
        <x:f>Inputs!C205</x:f>
        <x:v>62.798</x:v>
      </x:c>
      <x:c r="D14" s="8" t="n">
        <x:f>Inputs!D205</x:f>
        <x:v>235.187</x:v>
      </x:c>
      <x:c r="E14" s="8" t="n">
        <x:f>Inputs!E205</x:f>
        <x:v>98.626</x:v>
      </x:c>
      <x:c r="F14" s="8" t="n">
        <x:f>Inputs!F205</x:f>
        <x:v>78.83699999999999</x:v>
      </x:c>
      <x:c r="G14" s="17" t="n">
        <x:f>SUM(G9:G13)</x:f>
        <x:v>65.0325</x:v>
      </x:c>
    </x:row>
    <x:row r="15">
      <x:c r="A15" s="7"/>
      <x:c r="B15" s="2"/>
      <x:c r="C15" s="2"/>
      <x:c r="D15" s="2"/>
      <x:c r="E15" s="2"/>
      <x:c r="F15" s="2"/>
      <x:c r="G15" s="3"/>
    </x:row>
    <x:row r="16">
      <x:c r="A16" s="7" t="s">
        <x:v>215</x:v>
      </x:c>
      <x:c r="B16" s="5" t="n">
        <x:f>Inputs!B207</x:f>
        <x:v>-1.055</x:v>
      </x:c>
      <x:c r="C16" s="5" t="n">
        <x:f>Inputs!C207</x:f>
        <x:v>-2.862</x:v>
      </x:c>
      <x:c r="D16" s="5" t="n">
        <x:f>Inputs!D207</x:f>
        <x:v>-5.702</x:v>
      </x:c>
      <x:c r="E16" s="5" t="n">
        <x:f>Inputs!E207</x:f>
        <x:v>-2.705</x:v>
      </x:c>
      <x:c r="F16" s="5" t="n">
        <x:f>Inputs!F207</x:f>
        <x:v>-1.864</x:v>
      </x:c>
      <x:c r="G16" s="9" t="n">
        <x:f>Inputs!G192</x:f>
        <x:v>-2</x:v>
      </x:c>
    </x:row>
    <x:row r="17">
      <x:c r="A17" s="7" t="s">
        <x:v>216</x:v>
      </x:c>
      <x:c r="B17" s="5" t="n">
        <x:f>Inputs!B208</x:f>
        <x:v>3.2799999999999994</x:v>
      </x:c>
      <x:c r="C17" s="5" t="n">
        <x:f>Inputs!C208</x:f>
        <x:v>2.928000000000001</x:v>
      </x:c>
      <x:c r="D17" s="5" t="n">
        <x:f>Inputs!D208</x:f>
        <x:v>18.968</x:v>
      </x:c>
      <x:c r="E17" s="5" t="n">
        <x:f>Inputs!E208</x:f>
        <x:v>5.436</x:v>
      </x:c>
      <x:c r="F17" s="5" t="n">
        <x:f>Inputs!F208</x:f>
        <x:v>2.6289999999999996</x:v>
      </x:c>
      <x:c r="G17" s="9" t="n">
        <x:f>Inputs!G193</x:f>
        <x:v>1</x:v>
      </x:c>
    </x:row>
    <x:row r="18">
      <x:c r="A18" s="7" t="s">
        <x:v>217</x:v>
      </x:c>
      <x:c r="B18" s="5" t="n">
        <x:f>Inputs!B209</x:f>
        <x:v>0</x:v>
      </x:c>
      <x:c r="C18" s="5" t="n">
        <x:f>Inputs!C209</x:f>
        <x:v>-5.082999999999998</x:v>
      </x:c>
      <x:c r="D18" s="5" t="n">
        <x:f>Inputs!D209</x:f>
        <x:v>-15.184</x:v>
      </x:c>
      <x:c r="E18" s="5" t="n">
        <x:f>Inputs!E209</x:f>
        <x:v>-3.708</x:v>
      </x:c>
      <x:c r="F18" s="5" t="n">
        <x:f>Inputs!F209</x:f>
        <x:v>-2.9209999999999994</x:v>
      </x:c>
      <x:c r="G18" s="9" t="n">
        <x:f>Inputs!G194</x:f>
        <x:v>-2</x:v>
      </x:c>
    </x:row>
    <x:row r="19">
      <x:c r="A19" s="7" t="s">
        <x:v>218</x:v>
      </x:c>
      <x:c r="B19" s="5" t="n">
        <x:f>Inputs!B210</x:f>
        <x:v>-15.000000000000009</x:v>
      </x:c>
      <x:c r="C19" s="5" t="n">
        <x:f>Inputs!C210</x:f>
        <x:v>-40.048</x:v>
      </x:c>
      <x:c r="D19" s="5" t="n">
        <x:f>Inputs!D210</x:f>
        <x:v>-105.156</x:v>
      </x:c>
      <x:c r="E19" s="5" t="n">
        <x:f>Inputs!E210</x:f>
        <x:v>-20.401</x:v>
      </x:c>
      <x:c r="F19" s="5" t="n">
        <x:f>Inputs!F210</x:f>
        <x:v>-34.69</x:v>
      </x:c>
      <x:c r="G19" s="9" t="n">
        <x:f>Inputs!G195</x:f>
        <x:v>-25</x:v>
      </x:c>
    </x:row>
    <x:row r="20">
      <x:c r="A20" s="7" t="s">
        <x:v>219</x:v>
      </x:c>
      <x:c r="B20" s="2" t="n">
        <x:f>B22-SUM(B17:B19)</x:f>
        <x:v>-45.960999999999984</x:v>
      </x:c>
      <x:c r="C20" s="2" t="n">
        <x:f>C22-SUM(C17:C19)</x:f>
        <x:v>-20.382000000000005</x:v>
      </x:c>
      <x:c r="D20" s="2" t="n">
        <x:f>D22-SUM(D17:D19)</x:f>
        <x:v>-136.997</x:v>
      </x:c>
      <x:c r="E20" s="2" t="n">
        <x:f>E22-SUM(E17:E19)</x:f>
        <x:v>-60.20399999999999</x:v>
      </x:c>
      <x:c r="F20" s="2" t="n">
        <x:f>F22-SUM(F17:F19)</x:f>
        <x:v>-50.159000000000006</x:v>
      </x:c>
      <x:c r="G20" s="9" t="n">
        <x:f>Inputs!G196</x:f>
        <x:v>-25</x:v>
      </x:c>
    </x:row>
    <x:row r="21">
      <x:c r="A21" s="7" t="s">
        <x:v>220</x:v>
      </x:c>
      <x:c r="B21" s="2" t="n">
        <x:f>B22-SUM(B17:B20)</x:f>
        <x:v>0</x:v>
      </x:c>
      <x:c r="C21" s="2" t="n">
        <x:f>C22-SUM(C17:C20)</x:f>
        <x:v>0</x:v>
      </x:c>
      <x:c r="D21" s="2" t="n">
        <x:f>D22-SUM(D17:D20)</x:f>
        <x:v>2.842170943040401e-14</x:v>
      </x:c>
      <x:c r="E21" s="2" t="n">
        <x:f>E22-SUM(E17:E20)</x:f>
        <x:v>0</x:v>
      </x:c>
      <x:c r="F21" s="2" t="n">
        <x:f>F22-SUM(F17:F20)</x:f>
        <x:v>0</x:v>
      </x:c>
      <x:c r="G21" s="9" t="n">
        <x:f>Inputs!G199</x:f>
        <x:v>0</x:v>
      </x:c>
    </x:row>
    <x:row r="22">
      <x:c r="A22" s="10" t="s">
        <x:v>221</x:v>
      </x:c>
      <x:c r="B22" s="8" t="n">
        <x:f>Inputs!B213</x:f>
        <x:v>-57.681</x:v>
      </x:c>
      <x:c r="C22" s="8" t="n">
        <x:f>Inputs!C213</x:f>
        <x:v>-62.58500000000001</x:v>
      </x:c>
      <x:c r="D22" s="8" t="n">
        <x:f>Inputs!D213</x:f>
        <x:v>-238.369</x:v>
      </x:c>
      <x:c r="E22" s="8" t="n">
        <x:f>Inputs!E213</x:f>
        <x:v>-78.877</x:v>
      </x:c>
      <x:c r="F22" s="8" t="n">
        <x:f>Inputs!F213</x:f>
        <x:v>-85.141</x:v>
      </x:c>
      <x:c r="G22" s="17" t="n">
        <x:f>SUM(G17:G21)</x:f>
        <x:v>-51</x:v>
      </x:c>
    </x:row>
    <x:row r="23">
      <x:c r="A23" s="7" t="s">
        <x:v>222</x:v>
      </x:c>
      <x:c r="B23" s="2" t="n">
        <x:f>B24-B16</x:f>
        <x:v>-19.458000000000002</x:v>
      </x:c>
      <x:c r="C23" s="2" t="n">
        <x:f>C24-C16</x:f>
        <x:v>-0.5640000000000018</x:v>
      </x:c>
      <x:c r="D23" s="2" t="n">
        <x:f>D24-D16</x:f>
        <x:v>-21.217</x:v>
      </x:c>
      <x:c r="E23" s="2" t="n">
        <x:f>E24-E16</x:f>
        <x:v>0</x:v>
      </x:c>
      <x:c r="F23" s="2" t="n">
        <x:f>F24-F16</x:f>
        <x:v>0</x:v>
      </x:c>
      <x:c r="G23" s="9" t="n">
        <x:f>Inputs!G197</x:f>
        <x:v>0</x:v>
      </x:c>
    </x:row>
    <x:row r="24">
      <x:c r="A24" s="10" t="s">
        <x:v>223</x:v>
      </x:c>
      <x:c r="B24" s="8" t="n">
        <x:f>Inputs!B215</x:f>
        <x:v>-20.513</x:v>
      </x:c>
      <x:c r="C24" s="8" t="n">
        <x:f>Inputs!C215</x:f>
        <x:v>-3.426000000000002</x:v>
      </x:c>
      <x:c r="D24" s="8" t="n">
        <x:f>Inputs!D215</x:f>
        <x:v>-26.919</x:v>
      </x:c>
      <x:c r="E24" s="8" t="n">
        <x:f>Inputs!E215</x:f>
        <x:v>-2.705</x:v>
      </x:c>
      <x:c r="F24" s="8" t="n">
        <x:f>Inputs!F215</x:f>
        <x:v>-1.864</x:v>
      </x:c>
      <x:c r="G24" s="17" t="n">
        <x:f>SUM(G16,G23)</x:f>
        <x:v>-2</x:v>
      </x:c>
    </x:row>
    <x:row r="25">
      <x:c r="A25" s="7" t="s">
        <x:v>224</x:v>
      </x:c>
      <x:c r="B25" s="5" t="n">
        <x:f>Inputs!B216</x:f>
        <x:v>1.75</x:v>
      </x:c>
      <x:c r="C25" s="5" t="n">
        <x:f>Inputs!C216</x:f>
        <x:v>-0.9879999999999995</x:v>
      </x:c>
      <x:c r="D25" s="5" t="n">
        <x:f>Inputs!D216</x:f>
        <x:v>6.831</x:v>
      </x:c>
      <x:c r="E25" s="5" t="n">
        <x:f>Inputs!E216</x:f>
        <x:v>1.32</x:v>
      </x:c>
      <x:c r="F25" s="5" t="n">
        <x:f>Inputs!F216</x:f>
        <x:v>-2.025</x:v>
      </x:c>
      <x:c r="G25" s="9" t="n">
        <x:f>Inputs!G198</x:f>
        <x:v>0</x:v>
      </x:c>
    </x:row>
    <x:row r="26">
      <x:c r="A26" s="10" t="s">
        <x:v>225</x:v>
      </x:c>
      <x:c r="B26" s="13" t="n">
        <x:f>SUM(B14,B22,B24,B25)</x:f>
        <x:v>-2.998000000000001</x:v>
      </x:c>
      <x:c r="C26" s="13" t="n">
        <x:f>SUM(C14,C22,C24,C25)</x:f>
        <x:v>-4.201000000000008</x:v>
      </x:c>
      <x:c r="D26" s="13" t="n">
        <x:f>SUM(D14,D22,D24,D25)</x:f>
        <x:v>-23.26999999999999</x:v>
      </x:c>
      <x:c r="E26" s="13" t="n">
        <x:f>SUM(E14,E22,E24,E25)</x:f>
        <x:v>18.36400000000001</x:v>
      </x:c>
      <x:c r="F26" s="13" t="n">
        <x:f>SUM(F14,F22,F24,F25)</x:f>
        <x:v>-10.193000000000017</x:v>
      </x:c>
      <x:c r="G26" s="17" t="n">
        <x:f>SUM(G14,G22,G24,G25)</x:f>
        <x:v>12.032499999999999</x:v>
      </x:c>
    </x:row>
    <x:row r="27">
      <x:c r="A27" s="7" t="s">
        <x:v>226</x:v>
      </x:c>
      <x:c r="B27" s="2" t="n">
        <x:f>B29-B26</x:f>
        <x:v>102.006</x:v>
      </x:c>
      <x:c r="C27" s="2" t="n">
        <x:f>C29-C26</x:f>
        <x:v>99.00800000000001</x:v>
      </x:c>
      <x:c r="D27" s="2" t="n">
        <x:f>D29-D26</x:f>
        <x:v>118.077</x:v>
      </x:c>
      <x:c r="E27" s="2" t="n">
        <x:f>E29-E26</x:f>
        <x:v>94.80699999999999</x:v>
      </x:c>
      <x:c r="F27" s="2" t="n">
        <x:f>F29-F26</x:f>
        <x:v>113.171</x:v>
      </x:c>
      <x:c r="G27" s="9" t="n">
        <x:f>'Balance Sheet'!F9</x:f>
        <x:v>102.978</x:v>
      </x:c>
    </x:row>
    <x:row r="28">
      <x:c r="A28" s="7"/>
      <x:c r="B28" s="2"/>
      <x:c r="C28" s="2"/>
      <x:c r="D28" s="2"/>
      <x:c r="E28" s="2"/>
      <x:c r="F28" s="2"/>
      <x:c r="G28" s="3"/>
    </x:row>
    <x:row r="29">
      <x:c r="A29" s="10" t="s">
        <x:v>227</x:v>
      </x:c>
      <x:c r="B29" s="8" t="n">
        <x:f>'Balance Sheet'!B9</x:f>
        <x:v>99.008</x:v>
      </x:c>
      <x:c r="C29" s="8" t="n">
        <x:f>'Balance Sheet'!C9</x:f>
        <x:v>94.807</x:v>
      </x:c>
      <x:c r="D29" s="8" t="n">
        <x:f>'Balance Sheet'!D9</x:f>
        <x:v>94.807</x:v>
      </x:c>
      <x:c r="E29" s="8" t="n">
        <x:f>'Balance Sheet'!E9</x:f>
        <x:v>113.171</x:v>
      </x:c>
      <x:c r="F29" s="8" t="n">
        <x:f>'Balance Sheet'!F9</x:f>
        <x:v>102.978</x:v>
      </x:c>
      <x:c r="G29" s="17" t="n">
        <x:f>SUM(G26:G27)</x:f>
        <x:v>115.0105</x:v>
      </x:c>
    </x:row>
    <x:row r="30">
      <x:c r="A30" s="10" t="s">
        <x:v>228</x:v>
      </x:c>
      <x:c r="B30" s="8" t="n">
        <x:f>B29-'Balance Sheet'!B9</x:f>
        <x:v>0</x:v>
      </x:c>
      <x:c r="C30" s="8" t="n">
        <x:f>C29-'Balance Sheet'!C9</x:f>
        <x:v>0</x:v>
      </x:c>
      <x:c r="D30" s="8" t="n">
        <x:f>D29-'Balance Sheet'!D9</x:f>
        <x:v>0</x:v>
      </x:c>
      <x:c r="E30" s="8" t="n">
        <x:f>E29-'Balance Sheet'!E9</x:f>
        <x:v>0</x:v>
      </x:c>
      <x:c r="F30" s="8" t="n">
        <x:f>F29-'Balance Sheet'!F9</x:f>
        <x:v>0</x:v>
      </x:c>
      <x:c r="G30" s="15" t="n">
        <x:f>G29-'Balance Sheet'!G9</x:f>
        <x:v>0</x:v>
      </x:c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ColWidth="8.42578125" defaultRowHeight="15"/>
  <x:cols>
    <x:col min="1" max="1" width="34" customWidth="1"/>
    <x:col min="2" max="7" width="13" customWidth="1"/>
  </x:cols>
  <x:sheetData>
    <x:row r="1">
      <x:c r="A1" s="6" t="s">
        <x:v>0</x:v>
      </x:c>
      <x:c r="B1" s="6"/>
      <x:c r="C1" s="6"/>
      <x:c r="D1" s="6"/>
      <x:c r="E1" s="6"/>
      <x:c r="F1" s="6"/>
      <x:c r="G1" s="6"/>
    </x:row>
    <x:row r="2">
      <x:c r="A2" s="6" t="s">
        <x:v>229</x:v>
      </x:c>
      <x:c r="B2" s="6"/>
      <x:c r="C2" s="6"/>
      <x:c r="D2" s="6"/>
      <x:c r="E2" s="6"/>
      <x:c r="F2" s="6"/>
      <x:c r="G2" s="6"/>
    </x:row>
    <x:row r="3">
      <x:c r="A3" s="6" t="s">
        <x:v>3</x:v>
      </x:c>
      <x:c r="B3" s="6"/>
      <x:c r="C3" s="6"/>
      <x:c r="D3" s="6"/>
      <x:c r="E3" s="6"/>
      <x:c r="F3" s="6"/>
      <x:c r="G3" s="6"/>
    </x:row>
    <x:row r="4">
      <x:c r="A4" s="4" t="s">
        <x:v>4</x:v>
      </x:c>
      <x:c r="B4" s="55" t="s">
        <x:v>5</x:v>
      </x:c>
      <x:c r="C4" s="55" t="s">
        <x:v>6</x:v>
      </x:c>
      <x:c r="D4" s="55" t="s">
        <x:v>7</x:v>
      </x:c>
      <x:c r="E4" s="55" t="s">
        <x:v>8</x:v>
      </x:c>
      <x:c r="F4" s="55" t="s">
        <x:v>9</x:v>
      </x:c>
      <x:c r="G4" s="55" t="s">
        <x:v>10</x:v>
      </x:c>
    </x:row>
    <x:row r="5">
      <x:c r="A5" s="4" t="s">
        <x:v>11</x:v>
      </x:c>
      <x:c r="B5" s="12">
        <x:v>45900</x:v>
      </x:c>
      <x:c r="C5" s="12">
        <x:v>45991</x:v>
      </x:c>
      <x:c r="D5" s="12">
        <x:v>45991</x:v>
      </x:c>
      <x:c r="E5" s="12">
        <x:v>46081</x:v>
      </x:c>
      <x:c r="F5" s="12">
        <x:v>46173</x:v>
      </x:c>
      <x:c r="G5" s="12">
        <x:v>46265</x:v>
      </x:c>
    </x:row>
    <x:row r="6">
      <x:c r="A6" s="4" t="s">
        <x:v>12</x:v>
      </x:c>
      <x:c r="B6" s="4">
        <x:v>92</x:v>
      </x:c>
      <x:c r="C6" s="4">
        <x:v>91</x:v>
      </x:c>
      <x:c r="D6" s="4">
        <x:v>365</x:v>
      </x:c>
      <x:c r="E6" s="4">
        <x:v>90</x:v>
      </x:c>
      <x:c r="F6" s="4">
        <x:v>92</x:v>
      </x:c>
      <x:c r="G6" s="4">
        <x:v>92</x:v>
      </x:c>
    </x:row>
    <x:row r="7">
      <x:c r="A7" s="7"/>
      <x:c r="B7" s="7"/>
      <x:c r="C7" s="7"/>
      <x:c r="D7" s="7"/>
      <x:c r="E7" s="7"/>
      <x:c r="F7" s="7"/>
      <x:c r="G7" s="11"/>
    </x:row>
    <x:row r="8">
      <x:c r="A8" s="7"/>
      <x:c r="B8" s="2"/>
      <x:c r="C8" s="2"/>
      <x:c r="D8" s="2"/>
      <x:c r="E8" s="2"/>
      <x:c r="F8" s="2"/>
      <x:c r="G8" s="3"/>
    </x:row>
    <x:row r="9">
      <x:c r="A9" s="7" t="s">
        <x:v>230</x:v>
      </x:c>
      <x:c r="B9" s="5" t="n">
        <x:f>Inputs!B240</x:f>
        <x:v>163.404</x:v>
      </x:c>
      <x:c r="C9" s="5" t="n">
        <x:f>Inputs!C240</x:f>
        <x:v>158.39</x:v>
      </x:c>
      <x:c r="D9" s="5" t="n">
        <x:f>Inputs!D240</x:f>
        <x:v>623.766</x:v>
      </x:c>
      <x:c r="E9" s="5" t="n">
        <x:f>Inputs!E240</x:f>
        <x:v>152.689</x:v>
      </x:c>
      <x:c r="F9" s="5" t="n">
        <x:f>Inputs!F240</x:f>
        <x:v>162.529</x:v>
      </x:c>
      <x:c r="G9" s="9" t="n">
        <x:f>Inputs!G240</x:f>
        <x:v>160.5</x:v>
      </x:c>
    </x:row>
    <x:row r="10">
      <x:c r="A10" s="7" t="s">
        <x:v>41</x:v>
      </x:c>
      <x:c r="B10" s="30"/>
      <x:c r="C10" s="30"/>
      <x:c r="D10" s="30"/>
      <x:c r="E10" s="30"/>
      <x:c r="F10" s="30"/>
      <x:c r="G10" s="28" t="n">
        <x:f>G9/B9-1</x:f>
        <x:v>-0.01777190276859808</x:v>
      </x:c>
    </x:row>
    <x:row r="11">
      <x:c r="A11" s="7" t="s">
        <x:v>42</x:v>
      </x:c>
      <x:c r="B11" s="2"/>
      <x:c r="C11" s="2"/>
      <x:c r="D11" s="2"/>
      <x:c r="E11" s="2"/>
      <x:c r="F11" s="2"/>
      <x:c r="G11" s="3" t="n">
        <x:f>G9-F9</x:f>
        <x:v>-2.0289999999999964</x:v>
      </x:c>
    </x:row>
    <x:row r="12">
      <x:c r="A12" s="7" t="s">
        <x:v>231</x:v>
      </x:c>
      <x:c r="B12" s="30" t="n">
        <x:f>B9/B34</x:f>
        <x:v>0.6541524049720772</x:v>
      </x:c>
      <x:c r="C12" s="30" t="n">
        <x:f>C9/C34</x:f>
        <x:v>0.6268750049472426</x:v>
      </x:c>
      <x:c r="D12" s="30" t="n">
        <x:f>D9/D34</x:f>
        <x:v>0.6379077775198372</x:v>
      </x:c>
      <x:c r="E12" s="30" t="n">
        <x:f>E9/E34</x:f>
        <x:v>0.6161808562584998</x:v>
      </x:c>
      <x:c r="F12" s="30" t="n">
        <x:f>F9/F34</x:f>
        <x:v>0.6412285719921883</x:v>
      </x:c>
      <x:c r="G12" s="28" t="n">
        <x:f>G9/G34</x:f>
        <x:v>0.6384248210023867</x:v>
      </x:c>
    </x:row>
    <x:row r="13">
      <x:c r="A13" s="7" t="s">
        <x:v>232</x:v>
      </x:c>
      <x:c r="B13" s="30"/>
      <x:c r="C13" s="30"/>
      <x:c r="D13" s="30"/>
      <x:c r="E13" s="30"/>
      <x:c r="F13" s="30"/>
      <x:c r="G13" s="28" t="n">
        <x:f>G40</x:f>
        <x:v>-0.01855770096234699</x:v>
      </x:c>
    </x:row>
    <x:row r="14">
      <x:c r="A14" s="7" t="s">
        <x:v>233</x:v>
      </x:c>
      <x:c r="B14" s="2"/>
      <x:c r="C14" s="2"/>
      <x:c r="D14" s="2"/>
      <x:c r="E14" s="2"/>
      <x:c r="F14" s="2"/>
      <x:c r="G14" s="28" t="n">
        <x:f>G42</x:f>
        <x:v>0.0008006565383614564</x:v>
      </x:c>
    </x:row>
    <x:row r="15">
      <x:c r="A15" s="7" t="s">
        <x:v>234</x:v>
      </x:c>
      <x:c r="B15" s="5" t="n">
        <x:f>Inputs!B241</x:f>
        <x:v>68.339</x:v>
      </x:c>
      <x:c r="C15" s="5" t="n">
        <x:f>Inputs!C241</x:f>
        <x:v>72.587</x:v>
      </x:c>
      <x:c r="D15" s="5" t="n">
        <x:f>Inputs!D241</x:f>
        <x:v>280.908</x:v>
      </x:c>
      <x:c r="E15" s="5" t="n">
        <x:f>Inputs!E241</x:f>
        <x:v>78.38</x:v>
      </x:c>
      <x:c r="F15" s="5" t="n">
        <x:f>Inputs!F241</x:f>
        <x:v>70.608</x:v>
      </x:c>
      <x:c r="G15" s="9" t="n">
        <x:f>Inputs!G241</x:f>
        <x:v>71.6</x:v>
      </x:c>
    </x:row>
    <x:row r="16">
      <x:c r="A16" s="7" t="s">
        <x:v>41</x:v>
      </x:c>
      <x:c r="B16" s="30"/>
      <x:c r="C16" s="30"/>
      <x:c r="D16" s="30"/>
      <x:c r="E16" s="30"/>
      <x:c r="F16" s="30"/>
      <x:c r="G16" s="28" t="n">
        <x:f>G15/B15-1</x:f>
        <x:v>0.04771799411756095</x:v>
      </x:c>
    </x:row>
    <x:row r="17">
      <x:c r="A17" s="7" t="s">
        <x:v>42</x:v>
      </x:c>
      <x:c r="B17" s="2"/>
      <x:c r="C17" s="2"/>
      <x:c r="D17" s="2"/>
      <x:c r="E17" s="2"/>
      <x:c r="F17" s="2"/>
      <x:c r="G17" s="3" t="n">
        <x:f>G15-F15</x:f>
        <x:v>0.9919999999999902</x:v>
      </x:c>
    </x:row>
    <x:row r="18">
      <x:c r="A18" s="7" t="s">
        <x:v>231</x:v>
      </x:c>
      <x:c r="B18" s="30" t="n">
        <x:f>B15/B34</x:f>
        <x:v>0.27358033587541786</x:v>
      </x:c>
      <x:c r="C18" s="30" t="n">
        <x:f>C15/C34</x:f>
        <x:v>0.28728439916728016</x:v>
      </x:c>
      <x:c r="D18" s="30" t="n">
        <x:f>D15/D34</x:f>
        <x:v>0.2872766357376684</x:v>
      </x:c>
      <x:c r="E18" s="30" t="n">
        <x:f>E15/E34</x:f>
        <x:v>0.31630474699252215</x:v>
      </x:c>
      <x:c r="F18" s="30" t="n">
        <x:f>F15/F34</x:f>
        <x:v>0.27857100585879707</x:v>
      </x:c>
      <x:c r="G18" s="28" t="n">
        <x:f>G15/G34</x:f>
        <x:v>0.2848050914876691</x:v>
      </x:c>
    </x:row>
    <x:row r="19">
      <x:c r="A19" s="7" t="s">
        <x:v>232</x:v>
      </x:c>
      <x:c r="B19" s="30"/>
      <x:c r="C19" s="30"/>
      <x:c r="D19" s="30"/>
      <x:c r="E19" s="30"/>
      <x:c r="F19" s="30"/>
      <x:c r="G19" s="28" t="n">
        <x:f>G47</x:f>
        <x:v>0.04687980295844385</x:v>
      </x:c>
    </x:row>
    <x:row r="20">
      <x:c r="A20" s="7" t="s">
        <x:v>233</x:v>
      </x:c>
      <x:c r="B20" s="2"/>
      <x:c r="C20" s="2"/>
      <x:c r="D20" s="2"/>
      <x:c r="E20" s="2"/>
      <x:c r="F20" s="2"/>
      <x:c r="G20" s="28" t="n">
        <x:f>G49</x:f>
        <x:v>0.0008006565383614565</x:v>
      </x:c>
    </x:row>
    <x:row r="21">
      <x:c r="A21" s="7" t="s">
        <x:v>235</x:v>
      </x:c>
      <x:c r="B21" s="5" t="n">
        <x:f>Inputs!B242</x:f>
        <x:v>6.221</x:v>
      </x:c>
      <x:c r="C21" s="5" t="n">
        <x:f>Inputs!C242</x:f>
        <x:v>5.541</x:v>
      </x:c>
      <x:c r="D21" s="5" t="n">
        <x:f>Inputs!D242</x:f>
        <x:v>21.666999999999998</x:v>
      </x:c>
      <x:c r="E21" s="5" t="n">
        <x:f>Inputs!E242</x:f>
        <x:v>5.526</x:v>
      </x:c>
      <x:c r="F21" s="5" t="n">
        <x:f>Inputs!F242</x:f>
        <x:v>5.79</x:v>
      </x:c>
      <x:c r="G21" s="9" t="n">
        <x:f>Inputs!G242</x:f>
        <x:v>5.7</x:v>
      </x:c>
    </x:row>
    <x:row r="22">
      <x:c r="A22" s="7" t="s">
        <x:v>41</x:v>
      </x:c>
      <x:c r="B22" s="30"/>
      <x:c r="C22" s="30"/>
      <x:c r="D22" s="30"/>
      <x:c r="E22" s="30"/>
      <x:c r="F22" s="30"/>
      <x:c r="G22" s="28" t="n">
        <x:f>G21/B21-1</x:f>
        <x:v>-0.08374859347371799</x:v>
      </x:c>
    </x:row>
    <x:row r="23">
      <x:c r="A23" s="7" t="s">
        <x:v>42</x:v>
      </x:c>
      <x:c r="B23" s="2"/>
      <x:c r="C23" s="2"/>
      <x:c r="D23" s="2"/>
      <x:c r="E23" s="2"/>
      <x:c r="F23" s="2"/>
      <x:c r="G23" s="3" t="n">
        <x:f>G21-F21</x:f>
        <x:v>-0.08999999999999986</x:v>
      </x:c>
    </x:row>
    <x:row r="24">
      <x:c r="A24" s="7" t="s">
        <x:v>231</x:v>
      </x:c>
      <x:c r="B24" s="30" t="n">
        <x:f>B21/B34</x:f>
        <x:v>0.024904421625733104</x:v>
      </x:c>
      <x:c r="C24" s="30" t="n">
        <x:f>C21/C34</x:f>
        <x:v>0.02193013701883119</x:v>
      </x:c>
      <x:c r="D24" s="30" t="n">
        <x:f>D21/D34</x:f>
        <x:v>0.022158225705668975</x:v>
      </x:c>
      <x:c r="E24" s="30" t="n">
        <x:f>E21/E34</x:f>
        <x:v>0.02230033212401987</x:v>
      </x:c>
      <x:c r="F24" s="30" t="n">
        <x:f>F21/F34</x:f>
        <x:v>0.022843390606198093</x:v>
      </x:c>
      <x:c r="G24" s="28" t="n">
        <x:f>G21/G34</x:f>
        <x:v>0.022673031026252986</x:v>
      </x:c>
    </x:row>
    <x:row r="25">
      <x:c r="A25" s="7" t="s">
        <x:v>232</x:v>
      </x:c>
      <x:c r="B25" s="30"/>
      <x:c r="C25" s="30"/>
      <x:c r="D25" s="30"/>
      <x:c r="E25" s="30"/>
      <x:c r="F25" s="30"/>
      <x:c r="G25" s="28" t="n">
        <x:f>G54</x:f>
        <x:v>-0.08448160925925463</x:v>
      </x:c>
    </x:row>
    <x:row r="26">
      <x:c r="A26" s="7" t="s">
        <x:v>233</x:v>
      </x:c>
      <x:c r="B26" s="2"/>
      <x:c r="C26" s="2"/>
      <x:c r="D26" s="2"/>
      <x:c r="E26" s="2"/>
      <x:c r="F26" s="2"/>
      <x:c r="G26" s="28" t="n">
        <x:f>G56</x:f>
        <x:v>0.0008006565383614565</x:v>
      </x:c>
    </x:row>
    <x:row r="27">
      <x:c r="A27" s="7" t="s">
        <x:v>236</x:v>
      </x:c>
      <x:c r="B27" s="5" t="n">
        <x:f>Inputs!B243</x:f>
        <x:v>11.831</x:v>
      </x:c>
      <x:c r="C27" s="5" t="n">
        <x:f>Inputs!C243</x:f>
        <x:v>16.148</x:v>
      </x:c>
      <x:c r="D27" s="5" t="n">
        <x:f>Inputs!D243</x:f>
        <x:v>51.489999999999995</x:v>
      </x:c>
      <x:c r="E27" s="5" t="n">
        <x:f>Inputs!E243</x:f>
        <x:v>11.204</x:v>
      </x:c>
      <x:c r="F27" s="5" t="n">
        <x:f>Inputs!F243</x:f>
        <x:v>14.538</x:v>
      </x:c>
      <x:c r="G27" s="9" t="n">
        <x:f>Inputs!G243</x:f>
        <x:v>13.6</x:v>
      </x:c>
    </x:row>
    <x:row r="28">
      <x:c r="A28" s="7" t="s">
        <x:v>41</x:v>
      </x:c>
      <x:c r="B28" s="30"/>
      <x:c r="C28" s="30"/>
      <x:c r="D28" s="30"/>
      <x:c r="E28" s="30"/>
      <x:c r="F28" s="30"/>
      <x:c r="G28" s="28" t="n">
        <x:f>G27/B27-1</x:f>
        <x:v>0.14952244104471313</x:v>
      </x:c>
    </x:row>
    <x:row r="29">
      <x:c r="A29" s="7" t="s">
        <x:v>42</x:v>
      </x:c>
      <x:c r="B29" s="2"/>
      <x:c r="C29" s="2"/>
      <x:c r="D29" s="2"/>
      <x:c r="E29" s="2"/>
      <x:c r="F29" s="2"/>
      <x:c r="G29" s="3" t="n">
        <x:f>G27-F27</x:f>
        <x:v>-0.9380000000000006</x:v>
      </x:c>
    </x:row>
    <x:row r="30">
      <x:c r="A30" s="7" t="s">
        <x:v>231</x:v>
      </x:c>
      <x:c r="B30" s="30" t="n">
        <x:f>B27/B34</x:f>
        <x:v>0.04736283752677195</x:v>
      </x:c>
      <x:c r="C30" s="30" t="n">
        <x:f>C27/C34</x:f>
        <x:v>0.06391045886664609</x:v>
      </x:c>
      <x:c r="D30" s="30" t="n">
        <x:f>D27/D34</x:f>
        <x:v>0.052657361036825376</x:v>
      </x:c>
      <x:c r="E30" s="30" t="n">
        <x:f>E27/E34</x:f>
        <x:v>0.04521406462495813</x:v>
      </x:c>
      <x:c r="F30" s="30" t="n">
        <x:f>F27/F34</x:f>
        <x:v>0.057357031542816565</x:v>
      </x:c>
      <x:c r="G30" s="28" t="n">
        <x:f>G27/G34</x:f>
        <x:v>0.054097056483691335</x:v>
      </x:c>
    </x:row>
    <x:row r="31">
      <x:c r="A31" s="7" t="s">
        <x:v>232</x:v>
      </x:c>
      <x:c r="B31" s="30"/>
      <x:c r="C31" s="30"/>
      <x:c r="D31" s="30"/>
      <x:c r="E31" s="30"/>
      <x:c r="F31" s="30"/>
      <x:c r="G31" s="28" t="n">
        <x:f>G61</x:f>
        <x:v>0.14860280469915055</x:v>
      </x:c>
    </x:row>
    <x:row r="32">
      <x:c r="A32" s="7" t="s">
        <x:v>233</x:v>
      </x:c>
      <x:c r="B32" s="2"/>
      <x:c r="C32" s="2"/>
      <x:c r="D32" s="2"/>
      <x:c r="E32" s="2"/>
      <x:c r="F32" s="2"/>
      <x:c r="G32" s="28" t="n">
        <x:f>G63</x:f>
        <x:v>0.0008006565383614565</x:v>
      </x:c>
    </x:row>
    <x:row r="33">
      <x:c r="A33" s="7"/>
      <x:c r="B33" s="2"/>
      <x:c r="C33" s="2"/>
      <x:c r="D33" s="2"/>
      <x:c r="E33" s="2"/>
      <x:c r="F33" s="2"/>
      <x:c r="G33" s="3"/>
    </x:row>
    <x:row r="34">
      <x:c r="A34" s="10" t="s">
        <x:v>237</x:v>
      </x:c>
      <x:c r="B34" s="13" t="n">
        <x:f>SUM(B9,B15,B21,B27)</x:f>
        <x:v>249.795</x:v>
      </x:c>
      <x:c r="C34" s="13" t="n">
        <x:f>SUM(C9,C15,C21,C27)</x:f>
        <x:v>252.66599999999997</x:v>
      </x:c>
      <x:c r="D34" s="13" t="n">
        <x:f>SUM(D9,D15,D21,D27)</x:f>
        <x:v>977.831</x:v>
      </x:c>
      <x:c r="E34" s="13" t="n">
        <x:f>SUM(E9,E15,E21,E27)</x:f>
        <x:v>247.799</x:v>
      </x:c>
      <x:c r="F34" s="13" t="n">
        <x:f>SUM(F9,F15,F21,F27)</x:f>
        <x:v>253.465</x:v>
      </x:c>
      <x:c r="G34" s="17" t="n">
        <x:f>SUM(G9,G15,G21,G27)</x:f>
        <x:v>251.39999999999998</x:v>
      </x:c>
    </x:row>
    <x:row r="35">
      <x:c r="A35" s="10" t="s">
        <x:v>238</x:v>
      </x:c>
      <x:c r="B35" s="8" t="n">
        <x:f>B34-'Revenue summary'!B63</x:f>
        <x:v>-2.842170943040401e-14</x:v>
      </x:c>
      <x:c r="C35" s="8" t="n">
        <x:f>C34-'Revenue summary'!C63</x:f>
        <x:v>-2.842170943040401e-14</x:v>
      </x:c>
      <x:c r="D35" s="8" t="n">
        <x:f>D34-'Revenue summary'!D63</x:f>
        <x:v>1.1368683772161603e-13</x:v>
      </x:c>
      <x:c r="E35" s="8" t="n">
        <x:f>E34-'Revenue summary'!E63</x:f>
        <x:v>-2.842170943040401e-14</x:v>
      </x:c>
      <x:c r="F35" s="8" t="n">
        <x:f>F34-'Revenue summary'!F63</x:f>
        <x:v>2.842170943040401e-14</x:v>
      </x:c>
      <x:c r="G35" s="15" t="n">
        <x:f>G34-'Revenue summary'!G63</x:f>
        <x:v>0</x:v>
      </x:c>
    </x:row>
    <x:row r="38">
      <x:c r="A38" t="s">
        <x:v>239</x:v>
      </x:c>
    </x:row>
    <x:row r="39">
      <x:c r="A39" t="s">
        <x:v>240</x:v>
      </x:c>
      <x:c r="B39" s="2" t="n">
        <x:f>B9</x:f>
        <x:v>163.404</x:v>
      </x:c>
      <x:c r="C39" s="2" t="n">
        <x:f>C9</x:f>
        <x:v>158.39</x:v>
      </x:c>
      <x:c r="D39" s="2" t="n">
        <x:f>D9</x:f>
        <x:v>623.766</x:v>
      </x:c>
      <x:c r="E39" s="2" t="n">
        <x:f>E9</x:f>
        <x:v>152.689</x:v>
      </x:c>
      <x:c r="F39" s="2" t="n">
        <x:f>F9</x:f>
        <x:v>162.529</x:v>
      </x:c>
      <x:c r="G39" s="2" t="n">
        <x:f>G9</x:f>
        <x:v>160.5</x:v>
      </x:c>
    </x:row>
    <x:row r="40">
      <x:c r="A40" t="s">
        <x:v>232</x:v>
      </x:c>
      <x:c r="G40" s="30" t="n">
        <x:f>(1+G43)/((1+G41)*(1+G42))-1</x:f>
        <x:v>-0.01855770096234699</x:v>
      </x:c>
    </x:row>
    <x:row r="41">
      <x:c r="A41" t="s">
        <x:v>241</x:v>
      </x:c>
      <x:c r="G41" s="31" t="n">
        <x:f>Inputs!G258</x:f>
        <x:v>0</x:v>
      </x:c>
    </x:row>
    <x:row r="42">
      <x:c r="A42" t="s">
        <x:v>242</x:v>
      </x:c>
      <x:c r="G42" s="31" t="n">
        <x:f>Inputs!G257*B9/B34/B9</x:f>
        <x:v>0.0008006565383614564</x:v>
      </x:c>
    </x:row>
    <x:row r="43">
      <x:c r="A43" t="s">
        <x:v>243</x:v>
      </x:c>
      <x:c r="G43" s="30" t="n">
        <x:f>G39/B39-1</x:f>
        <x:v>-0.01777190276859808</x:v>
      </x:c>
    </x:row>
    <x:row r="44">
      <x:c r="A44" t="s">
        <x:v>158</x:v>
      </x:c>
      <x:c r="G44" s="2" t="n">
        <x:f>G39-F9</x:f>
        <x:v>-2.0289999999999964</x:v>
      </x:c>
    </x:row>
    <x:row r="46">
      <x:c r="A46" t="s">
        <x:v>244</x:v>
      </x:c>
      <x:c r="B46" s="2" t="n">
        <x:f>B15</x:f>
        <x:v>68.339</x:v>
      </x:c>
      <x:c r="C46" s="2" t="n">
        <x:f>C15</x:f>
        <x:v>72.587</x:v>
      </x:c>
      <x:c r="D46" s="2" t="n">
        <x:f>D15</x:f>
        <x:v>280.908</x:v>
      </x:c>
      <x:c r="E46" s="2" t="n">
        <x:f>E15</x:f>
        <x:v>78.38</x:v>
      </x:c>
      <x:c r="F46" s="2" t="n">
        <x:f>F15</x:f>
        <x:v>70.608</x:v>
      </x:c>
      <x:c r="G46" s="2" t="n">
        <x:f>G15</x:f>
        <x:v>71.6</x:v>
      </x:c>
    </x:row>
    <x:row r="47">
      <x:c r="A47" t="s">
        <x:v>232</x:v>
      </x:c>
      <x:c r="G47" s="30" t="n">
        <x:f>(1+G50)/((1+G48)*(1+G49))-1</x:f>
        <x:v>0.04687980295844385</x:v>
      </x:c>
    </x:row>
    <x:row r="48">
      <x:c r="A48" t="s">
        <x:v>241</x:v>
      </x:c>
      <x:c r="G48" s="31" t="n">
        <x:f>Inputs!G258</x:f>
        <x:v>0</x:v>
      </x:c>
    </x:row>
    <x:row r="49">
      <x:c r="A49" t="s">
        <x:v>242</x:v>
      </x:c>
      <x:c r="G49" s="31" t="n">
        <x:f>Inputs!G257*B15/B34/B15</x:f>
        <x:v>0.0008006565383614565</x:v>
      </x:c>
    </x:row>
    <x:row r="50">
      <x:c r="A50" t="s">
        <x:v>243</x:v>
      </x:c>
      <x:c r="G50" s="30" t="n">
        <x:f>G46/B46-1</x:f>
        <x:v>0.04771799411756095</x:v>
      </x:c>
    </x:row>
    <x:row r="51">
      <x:c r="A51" t="s">
        <x:v>158</x:v>
      </x:c>
      <x:c r="G51" s="2" t="n">
        <x:f>G46-F15</x:f>
        <x:v>0.9919999999999902</x:v>
      </x:c>
    </x:row>
    <x:row r="53">
      <x:c r="A53" t="s">
        <x:v>245</x:v>
      </x:c>
      <x:c r="B53" s="2" t="n">
        <x:f>B21</x:f>
        <x:v>6.221</x:v>
      </x:c>
      <x:c r="C53" s="2" t="n">
        <x:f>C21</x:f>
        <x:v>5.541</x:v>
      </x:c>
      <x:c r="D53" s="2" t="n">
        <x:f>D21</x:f>
        <x:v>21.666999999999998</x:v>
      </x:c>
      <x:c r="E53" s="2" t="n">
        <x:f>E21</x:f>
        <x:v>5.526</x:v>
      </x:c>
      <x:c r="F53" s="2" t="n">
        <x:f>F21</x:f>
        <x:v>5.79</x:v>
      </x:c>
      <x:c r="G53" s="2" t="n">
        <x:f>G21</x:f>
        <x:v>5.7</x:v>
      </x:c>
    </x:row>
    <x:row r="54">
      <x:c r="A54" t="s">
        <x:v>232</x:v>
      </x:c>
      <x:c r="G54" s="30" t="n">
        <x:f>(1+G57)/((1+G55)*(1+G56))-1</x:f>
        <x:v>-0.08448160925925463</x:v>
      </x:c>
    </x:row>
    <x:row r="55">
      <x:c r="A55" t="s">
        <x:v>241</x:v>
      </x:c>
      <x:c r="G55" s="31" t="n">
        <x:f>Inputs!G258</x:f>
        <x:v>0</x:v>
      </x:c>
    </x:row>
    <x:row r="56">
      <x:c r="A56" t="s">
        <x:v>242</x:v>
      </x:c>
      <x:c r="G56" s="31" t="n">
        <x:f>Inputs!G257*B21/B34/B21</x:f>
        <x:v>0.0008006565383614565</x:v>
      </x:c>
    </x:row>
    <x:row r="57">
      <x:c r="A57" t="s">
        <x:v>243</x:v>
      </x:c>
      <x:c r="G57" s="30" t="n">
        <x:f>G53/B53-1</x:f>
        <x:v>-0.08374859347371799</x:v>
      </x:c>
    </x:row>
    <x:row r="58">
      <x:c r="A58" t="s">
        <x:v>158</x:v>
      </x:c>
      <x:c r="G58" s="2" t="n">
        <x:f>G53-F21</x:f>
        <x:v>-0.08999999999999986</x:v>
      </x:c>
    </x:row>
    <x:row r="60">
      <x:c r="A60" t="s">
        <x:v>246</x:v>
      </x:c>
      <x:c r="B60" s="2" t="n">
        <x:f>B27</x:f>
        <x:v>11.831</x:v>
      </x:c>
      <x:c r="C60" s="2" t="n">
        <x:f>C27</x:f>
        <x:v>16.148</x:v>
      </x:c>
      <x:c r="D60" s="2" t="n">
        <x:f>D27</x:f>
        <x:v>51.489999999999995</x:v>
      </x:c>
      <x:c r="E60" s="2" t="n">
        <x:f>E27</x:f>
        <x:v>11.204</x:v>
      </x:c>
      <x:c r="F60" s="2" t="n">
        <x:f>F27</x:f>
        <x:v>14.538</x:v>
      </x:c>
      <x:c r="G60" s="2" t="n">
        <x:f>G27</x:f>
        <x:v>13.6</x:v>
      </x:c>
    </x:row>
    <x:row r="61">
      <x:c r="A61" t="s">
        <x:v>232</x:v>
      </x:c>
      <x:c r="G61" s="30" t="n">
        <x:f>(1+G64)/((1+G62)*(1+G63))-1</x:f>
        <x:v>0.14860280469915055</x:v>
      </x:c>
    </x:row>
    <x:row r="62">
      <x:c r="A62" t="s">
        <x:v>241</x:v>
      </x:c>
      <x:c r="G62" s="31" t="n">
        <x:f>Inputs!G258</x:f>
        <x:v>0</x:v>
      </x:c>
    </x:row>
    <x:row r="63">
      <x:c r="A63" t="s">
        <x:v>242</x:v>
      </x:c>
      <x:c r="G63" s="31" t="n">
        <x:f>Inputs!G257*B27/B34/B27</x:f>
        <x:v>0.0008006565383614565</x:v>
      </x:c>
    </x:row>
    <x:row r="64">
      <x:c r="A64" t="s">
        <x:v>243</x:v>
      </x:c>
      <x:c r="G64" s="30" t="n">
        <x:f>G60/B60-1</x:f>
        <x:v>0.14952244104471313</x:v>
      </x:c>
    </x:row>
    <x:row r="65">
      <x:c r="A65" t="s">
        <x:v>158</x:v>
      </x:c>
      <x:c r="G65" s="2" t="n">
        <x:f>G60-F27</x:f>
        <x:v>-0.9380000000000006</x:v>
      </x:c>
    </x:row>
  </x:sheetData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/>
  </x:sheetViews>
  <x:sheetFormatPr defaultColWidth="8.42578125" defaultRowHeight="15"/>
  <x:cols>
    <x:col min="1" max="1" width="34" customWidth="1"/>
    <x:col min="2" max="7" width="13" customWidth="1"/>
    <x:col min="10" max="10" width="65" hidden="0" customWidth="1"/>
  </x:cols>
  <x:sheetData>
    <x:row r="1">
      <x:c r="A1" s="6" t="s">
        <x:v>0</x:v>
      </x:c>
      <x:c r="B1" s="6"/>
      <x:c r="C1" s="6"/>
      <x:c r="D1" s="6"/>
      <x:c r="E1" s="6"/>
      <x:c r="F1" s="6"/>
      <x:c r="G1" s="6"/>
    </x:row>
    <x:row r="2">
      <x:c r="A2" s="6" t="s">
        <x:v>247</x:v>
      </x:c>
      <x:c r="B2" s="6"/>
      <x:c r="C2" s="6"/>
      <x:c r="D2" s="6"/>
      <x:c r="E2" s="6"/>
      <x:c r="F2" s="6"/>
      <x:c r="G2" s="6"/>
    </x:row>
    <x:row r="3">
      <x:c r="A3" s="6" t="s">
        <x:v>3</x:v>
      </x:c>
      <x:c r="B3" s="6"/>
      <x:c r="C3" s="6"/>
      <x:c r="D3" s="6"/>
      <x:c r="E3" s="6"/>
      <x:c r="F3" s="6"/>
      <x:c r="G3" s="6"/>
    </x:row>
    <x:row r="4">
      <x:c r="A4" s="4" t="s">
        <x:v>4</x:v>
      </x:c>
      <x:c r="B4" s="55" t="s">
        <x:v>5</x:v>
      </x:c>
      <x:c r="C4" s="55" t="s">
        <x:v>6</x:v>
      </x:c>
      <x:c r="D4" s="55" t="s">
        <x:v>7</x:v>
      </x:c>
      <x:c r="E4" s="55" t="s">
        <x:v>8</x:v>
      </x:c>
      <x:c r="F4" s="55" t="s">
        <x:v>9</x:v>
      </x:c>
      <x:c r="G4" s="55" t="s">
        <x:v>10</x:v>
      </x:c>
    </x:row>
    <x:row r="5">
      <x:c r="A5" s="4" t="s">
        <x:v>11</x:v>
      </x:c>
      <x:c r="B5" s="12">
        <x:v>45900</x:v>
      </x:c>
      <x:c r="C5" s="12">
        <x:v>45991</x:v>
      </x:c>
      <x:c r="D5" s="12">
        <x:v>45991</x:v>
      </x:c>
      <x:c r="E5" s="12">
        <x:v>46081</x:v>
      </x:c>
      <x:c r="F5" s="12">
        <x:v>46173</x:v>
      </x:c>
      <x:c r="G5" s="12">
        <x:v>46265</x:v>
      </x:c>
    </x:row>
    <x:row r="6">
      <x:c r="A6" s="4" t="s">
        <x:v>12</x:v>
      </x:c>
      <x:c r="B6" s="4">
        <x:v>92</x:v>
      </x:c>
      <x:c r="C6" s="4">
        <x:v>91</x:v>
      </x:c>
      <x:c r="D6" s="4">
        <x:v>365</x:v>
      </x:c>
      <x:c r="E6" s="4">
        <x:v>90</x:v>
      </x:c>
      <x:c r="F6" s="4">
        <x:v>92</x:v>
      </x:c>
      <x:c r="G6" s="4">
        <x:v>92</x:v>
      </x:c>
    </x:row>
    <x:row r="7">
      <x:c r="A7" s="7"/>
      <x:c r="B7" s="7"/>
      <x:c r="C7" s="7"/>
      <x:c r="D7" s="7"/>
      <x:c r="E7" s="7"/>
      <x:c r="F7" s="7"/>
      <x:c r="G7" s="11"/>
    </x:row>
    <x:row r="8">
      <x:c r="A8" s="7"/>
      <x:c r="B8" s="2"/>
      <x:c r="C8" s="2"/>
      <x:c r="D8" s="2"/>
      <x:c r="E8" s="2"/>
      <x:c r="F8" s="2"/>
      <x:c r="G8" s="3"/>
    </x:row>
    <x:row r="9">
      <x:c r="A9" s="7" t="s">
        <x:v>248</x:v>
      </x:c>
      <x:c r="B9" s="2"/>
      <x:c r="C9" s="2"/>
      <x:c r="D9" s="2"/>
      <x:c r="E9" s="2"/>
      <x:c r="F9" s="2"/>
      <x:c r="G9" s="3"/>
    </x:row>
    <x:row r="10">
      <x:c r="A10" s="10" t="s">
        <x:v>249</x:v>
      </x:c>
      <x:c r="B10" s="8" t="n">
        <x:f>Inputs!B124</x:f>
        <x:v>42.988</x:v>
      </x:c>
      <x:c r="C10" s="8" t="n">
        <x:f>Inputs!C124</x:f>
        <x:v>42.686</x:v>
      </x:c>
      <x:c r="D10" s="8" t="n">
        <x:f>Inputs!D124</x:f>
        <x:v>42.996</x:v>
      </x:c>
      <x:c r="E10" s="8" t="n">
        <x:f>Inputs!E124</x:f>
        <x:v>42.155</x:v>
      </x:c>
      <x:c r="F10" s="8" t="n">
        <x:f>Inputs!F124</x:f>
        <x:v>41.901</x:v>
      </x:c>
      <x:c r="G10" s="15" t="n">
        <x:f>Inputs!G124</x:f>
        <x:v>41.6</x:v>
      </x:c>
    </x:row>
    <x:row r="11">
      <x:c r="A11" s="10" t="s">
        <x:v>250</x:v>
      </x:c>
      <x:c r="B11" s="8" t="n">
        <x:f>Inputs!B125</x:f>
        <x:v>43.717</x:v>
      </x:c>
      <x:c r="C11" s="8" t="n">
        <x:f>Inputs!C125</x:f>
        <x:v>43.314</x:v>
      </x:c>
      <x:c r="D11" s="8" t="n">
        <x:f>Inputs!D125</x:f>
        <x:v>44.019</x:v>
      </x:c>
      <x:c r="E11" s="8" t="n">
        <x:f>Inputs!E125</x:f>
        <x:v>42.729</x:v>
      </x:c>
      <x:c r="F11" s="8" t="n">
        <x:f>Inputs!F125</x:f>
        <x:v>42.31</x:v>
      </x:c>
      <x:c r="G11" s="15" t="n">
        <x:f>Inputs!G125</x:f>
        <x:v>42</x:v>
      </x:c>
    </x:row>
    <x:row r="12" ht="48" customHeight="1">
      <x:c r="A12" s="7" t="s">
        <x:v>251</x:v>
      </x:c>
      <x:c r="B12" s="2" t="n">
        <x:f>B11-B10</x:f>
        <x:v>0.7289999999999992</x:v>
      </x:c>
      <x:c r="C12" s="2" t="n">
        <x:f>C11-C10</x:f>
        <x:v>0.6280000000000001</x:v>
      </x:c>
      <x:c r="D12" s="2" t="n">
        <x:f>D11-D10</x:f>
        <x:v>1.0229999999999961</x:v>
      </x:c>
      <x:c r="E12" s="2" t="n">
        <x:f>E11-E10</x:f>
        <x:v>0.5739999999999981</x:v>
      </x:c>
      <x:c r="F12" s="2" t="n">
        <x:f>F11-F10</x:f>
        <x:v>0.4089999999999989</x:v>
      </x:c>
      <x:c r="G12" s="3" t="n">
        <x:f>G11-G10</x:f>
        <x:v>0.3999999999999986</x:v>
      </x:c>
      <x:c r="J12" s="61" t="str">
        <x:v>Weighted-average EPS shares are independent forecast assumptions (41.6m basic, 42.0m diluted), not derived from filing-date/exit shares. The repurchase timing is not specified.</x:v>
      </x:c>
    </x:row>
    <x:row r="13">
      <x:c r="A13" s="7" t="s">
        <x:v>252</x:v>
      </x:c>
      <x:c r="B13" s="2"/>
      <x:c r="C13" s="2" t="n">
        <x:f>C11-B11</x:f>
        <x:v>-0.4029999999999987</x:v>
      </x:c>
      <x:c r="D13" s="2"/>
      <x:c r="E13" s="2" t="n">
        <x:f>E11-C11</x:f>
        <x:v>-0.5850000000000009</x:v>
      </x:c>
      <x:c r="F13" s="2" t="n">
        <x:f>F11-E11</x:f>
        <x:v>-0.41899999999999693</x:v>
      </x:c>
      <x:c r="G13" s="3" t="n">
        <x:f>G11-F11</x:f>
        <x:v>-0.3100000000000023</x:v>
      </x:c>
    </x:row>
    <x:row r="14">
      <x:c r="A14" s="7"/>
      <x:c r="B14" s="2"/>
      <x:c r="C14" s="2"/>
      <x:c r="D14" s="2"/>
      <x:c r="E14" s="2"/>
      <x:c r="F14" s="2"/>
      <x:c r="G14" s="3"/>
    </x:row>
    <x:row r="15">
      <x:c r="A15" s="10" t="s">
        <x:v>253</x:v>
      </x:c>
      <x:c r="B15" s="8" t="n">
        <x:f>Inputs!B138</x:f>
        <x:v>42.905397</x:v>
      </x:c>
      <x:c r="C15" s="8" t="n">
        <x:f>Inputs!C138</x:f>
        <x:v>42.3357</x:v>
      </x:c>
      <x:c r="D15" s="8" t="n">
        <x:f>Inputs!D138</x:f>
        <x:v>42.3357</x:v>
      </x:c>
      <x:c r="E15" s="8" t="n">
        <x:f>Inputs!E138</x:f>
        <x:v>42.07459</x:v>
      </x:c>
      <x:c r="F15" s="8" t="n">
        <x:f>Inputs!F138</x:f>
        <x:v>41.311679</x:v>
      </x:c>
      <x:c r="G15" s="15" t="n">
        <x:f>F15+Inputs!G137+'Cash Flow Statement'!G19/Inputs!B66</x:f>
        <x:v>40.740252204076555</x:v>
      </x:c>
    </x:row>
    <x:row r="16">
      <x:c r="A16" s="7" t="s">
        <x:v>254</x:v>
      </x:c>
      <x:c r="B16" s="5" t="n">
        <x:f>-'Cash Flow Statement'!B19</x:f>
        <x:v>15.000000000000009</x:v>
      </x:c>
      <x:c r="C16" s="5" t="n">
        <x:f>-'Cash Flow Statement'!C19</x:f>
        <x:v>40.048</x:v>
      </x:c>
      <x:c r="D16" s="5" t="n">
        <x:f>-'Cash Flow Statement'!D19</x:f>
        <x:v>105.156</x:v>
      </x:c>
      <x:c r="E16" s="5" t="n">
        <x:f>-'Cash Flow Statement'!E19</x:f>
        <x:v>20.401</x:v>
      </x:c>
      <x:c r="F16" s="5" t="n">
        <x:f>-'Cash Flow Statement'!F19</x:f>
        <x:v>34.69</x:v>
      </x:c>
      <x:c r="G16" s="9" t="n">
        <x:f>-'Cash Flow Statement'!G19</x:f>
        <x:v>25</x:v>
      </x:c>
    </x:row>
    <x:row r="17">
      <x:c r="A17" s="7" t="s">
        <x:v>255</x:v>
      </x:c>
      <x:c r="B17" s="5" t="n">
        <x:f>'Cash Flow Statement'!B17</x:f>
        <x:v>3.2799999999999994</x:v>
      </x:c>
      <x:c r="C17" s="5" t="n">
        <x:f>'Cash Flow Statement'!C17</x:f>
        <x:v>2.928000000000001</x:v>
      </x:c>
      <x:c r="D17" s="5" t="n">
        <x:f>'Cash Flow Statement'!D17</x:f>
        <x:v>18.968</x:v>
      </x:c>
      <x:c r="E17" s="5" t="n">
        <x:f>'Cash Flow Statement'!E17</x:f>
        <x:v>5.436</x:v>
      </x:c>
      <x:c r="F17" s="5" t="n">
        <x:f>'Cash Flow Statement'!F17</x:f>
        <x:v>2.6289999999999996</x:v>
      </x:c>
      <x:c r="G17" s="9" t="n">
        <x:f>'Cash Flow Statement'!G17</x:f>
        <x:v>1</x:v>
      </x:c>
    </x:row>
    <x:row r="18">
      <x:c r="A18" s="7" t="s">
        <x:v>256</x:v>
      </x:c>
      <x:c r="B18" s="5" t="n">
        <x:f>-'Cash Flow Statement'!B18</x:f>
        <x:v>0</x:v>
      </x:c>
      <x:c r="C18" s="5" t="n">
        <x:f>-'Cash Flow Statement'!C18</x:f>
        <x:v>5.082999999999998</x:v>
      </x:c>
      <x:c r="D18" s="5" t="n">
        <x:f>-'Cash Flow Statement'!D18</x:f>
        <x:v>15.184</x:v>
      </x:c>
      <x:c r="E18" s="5" t="n">
        <x:f>-'Cash Flow Statement'!E18</x:f>
        <x:v>3.708</x:v>
      </x:c>
      <x:c r="F18" s="5" t="n">
        <x:f>-'Cash Flow Statement'!F18</x:f>
        <x:v>2.9209999999999994</x:v>
      </x:c>
      <x:c r="G18" s="9" t="n">
        <x:f>-'Cash Flow Statement'!G18</x:f>
        <x:v>2</x:v>
      </x:c>
    </x:row>
    <x:row r="19">
      <x:c r="A19" s="10" t="s">
        <x:v>257</x:v>
      </x:c>
      <x:c r="B19" s="13" t="n">
        <x:f>B11</x:f>
        <x:v>43.717</x:v>
      </x:c>
      <x:c r="C19" s="13" t="n">
        <x:f>C11</x:f>
        <x:v>43.314</x:v>
      </x:c>
      <x:c r="D19" s="13" t="n">
        <x:f>D11</x:f>
        <x:v>44.019</x:v>
      </x:c>
      <x:c r="E19" s="13" t="n">
        <x:f>E11</x:f>
        <x:v>42.729</x:v>
      </x:c>
      <x:c r="F19" s="13" t="n">
        <x:f>F11</x:f>
        <x:v>42.31</x:v>
      </x:c>
      <x:c r="G19" s="17" t="n">
        <x:f>G11</x:f>
        <x:v>42</x:v>
      </x:c>
    </x:row>
    <x:row r="20">
      <x:c r="A20" s="7" t="s">
        <x:v>258</x:v>
      </x:c>
      <x:c r="B20" s="5" t="n">
        <x:f>B19-'Income Statement'!B44</x:f>
        <x:v>0</x:v>
      </x:c>
      <x:c r="C20" s="5" t="n">
        <x:f>C19-'Income Statement'!C44</x:f>
        <x:v>0</x:v>
      </x:c>
      <x:c r="D20" s="5" t="n">
        <x:f>D19-'Income Statement'!D44</x:f>
        <x:v>0</x:v>
      </x:c>
      <x:c r="E20" s="5" t="n">
        <x:f>E19-'Income Statement'!E44</x:f>
        <x:v>0</x:v>
      </x:c>
      <x:c r="F20" s="5" t="n">
        <x:f>F19-'Income Statement'!F44</x:f>
        <x:v>0</x:v>
      </x:c>
      <x:c r="G20" s="9" t="n">
        <x:f>G19-'Income Statement'!G44</x:f>
        <x:v>0</x:v>
      </x:c>
    </x:row>
    <x:row r="21">
      <x:c r="A21" s="7"/>
      <x:c r="B21" s="2"/>
      <x:c r="C21" s="2"/>
      <x:c r="D21" s="2"/>
      <x:c r="E21" s="2"/>
      <x:c r="F21" s="2"/>
      <x:c r="G21" s="3"/>
    </x:row>
    <x:row r="22">
      <x:c r="A22" s="7"/>
      <x:c r="B22" s="2"/>
      <x:c r="C22" s="2"/>
      <x:c r="D22" s="2"/>
      <x:c r="E22" s="2"/>
      <x:c r="F22" s="2"/>
      <x:c r="G22" s="3"/>
    </x:row>
    <x:row r="23">
      <x:c r="A23" s="7"/>
      <x:c r="B23" s="2"/>
      <x:c r="C23" s="2"/>
      <x:c r="D23" s="2"/>
      <x:c r="E23" s="2"/>
      <x:c r="F23" s="2"/>
      <x:c r="G23" s="3"/>
    </x:row>
    <x:row r="24">
      <x:c r="A24" s="7"/>
      <x:c r="B24" s="2"/>
      <x:c r="C24" s="2"/>
      <x:c r="D24" s="2"/>
      <x:c r="E24" s="2"/>
      <x:c r="F24" s="2"/>
      <x:c r="G24" s="3"/>
    </x:row>
    <x:row r="25">
      <x:c r="A25" s="7"/>
      <x:c r="B25" s="2"/>
      <x:c r="C25" s="2"/>
      <x:c r="D25" s="2"/>
      <x:c r="E25" s="2"/>
      <x:c r="F25" s="2"/>
      <x:c r="G25" s="3"/>
    </x:row>
    <x:row r="26">
      <x:c r="A26" s="7"/>
      <x:c r="B26" s="2"/>
      <x:c r="C26" s="2"/>
      <x:c r="D26" s="2"/>
      <x:c r="E26" s="2"/>
      <x:c r="F26" s="2"/>
      <x:c r="G26" s="3"/>
    </x:row>
  </x:sheetData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showGridLines="0" workbookViewId="0"/>
  </x:sheetViews>
  <x:sheetFormatPr defaultColWidth="8.42578125" defaultRowHeight="15"/>
  <x:cols>
    <x:col min="1" max="1" width="34" customWidth="1"/>
    <x:col min="2" max="7" width="13" customWidth="1"/>
    <x:col min="8" max="8" width="15" customWidth="1"/>
    <x:col min="9" max="9" width="17" customWidth="1"/>
    <x:col min="10" max="10" width="72" customWidth="1"/>
  </x:cols>
  <x:sheetData>
    <x:row r="1">
      <x:c r="A1" s="6" t="s">
        <x:v>0</x:v>
      </x:c>
      <x:c r="B1" s="6"/>
      <x:c r="C1" s="6"/>
      <x:c r="D1" s="6"/>
      <x:c r="E1" s="6"/>
      <x:c r="F1" s="6"/>
      <x:c r="G1" s="6"/>
    </x:row>
    <x:row r="2">
      <x:c r="A2" s="6" t="s">
        <x:v>259</x:v>
      </x:c>
      <x:c r="B2" s="6"/>
      <x:c r="C2" s="6"/>
      <x:c r="D2" s="6"/>
      <x:c r="E2" s="6"/>
      <x:c r="F2" s="6"/>
      <x:c r="G2" s="6"/>
    </x:row>
    <x:row r="3">
      <x:c r="A3" s="6" t="s">
        <x:v>3</x:v>
      </x:c>
      <x:c r="B3" s="6"/>
      <x:c r="C3" s="6"/>
      <x:c r="D3" s="6"/>
      <x:c r="E3" s="6"/>
      <x:c r="F3" s="6"/>
      <x:c r="G3" s="6"/>
    </x:row>
    <x:row r="4">
      <x:c r="A4" s="4" t="s">
        <x:v>4</x:v>
      </x:c>
      <x:c r="B4" s="55" t="s">
        <x:v>5</x:v>
      </x:c>
      <x:c r="C4" s="55" t="s">
        <x:v>6</x:v>
      </x:c>
      <x:c r="D4" s="55" t="s">
        <x:v>7</x:v>
      </x:c>
      <x:c r="E4" s="55" t="s">
        <x:v>8</x:v>
      </x:c>
      <x:c r="F4" s="55" t="s">
        <x:v>9</x:v>
      </x:c>
      <x:c r="G4" s="55" t="s">
        <x:v>10</x:v>
      </x:c>
    </x:row>
    <x:row r="5">
      <x:c r="A5" s="4" t="s">
        <x:v>11</x:v>
      </x:c>
      <x:c r="B5" s="12">
        <x:v>45900</x:v>
      </x:c>
      <x:c r="C5" s="12">
        <x:v>45991</x:v>
      </x:c>
      <x:c r="D5" s="12">
        <x:v>45991</x:v>
      </x:c>
      <x:c r="E5" s="12">
        <x:v>46081</x:v>
      </x:c>
      <x:c r="F5" s="12">
        <x:v>46173</x:v>
      </x:c>
      <x:c r="G5" s="12">
        <x:v>46265</x:v>
      </x:c>
    </x:row>
    <x:row r="6">
      <x:c r="A6" s="4" t="s">
        <x:v>12</x:v>
      </x:c>
      <x:c r="B6" s="4">
        <x:v>92</x:v>
      </x:c>
      <x:c r="C6" s="4">
        <x:v>91</x:v>
      </x:c>
      <x:c r="D6" s="4">
        <x:v>365</x:v>
      </x:c>
      <x:c r="E6" s="4">
        <x:v>90</x:v>
      </x:c>
      <x:c r="F6" s="4">
        <x:v>92</x:v>
      </x:c>
      <x:c r="G6" s="4">
        <x:v>92</x:v>
      </x:c>
    </x:row>
    <x:row r="7">
      <x:c r="A7" s="7"/>
      <x:c r="B7" s="7"/>
      <x:c r="C7" s="7"/>
      <x:c r="D7" s="7"/>
      <x:c r="E7" s="7"/>
      <x:c r="F7" s="7"/>
      <x:c r="G7" s="11"/>
    </x:row>
    <x:row r="8">
      <x:c r="A8" s="7"/>
      <x:c r="B8" s="2"/>
      <x:c r="C8" s="2"/>
      <x:c r="D8" s="2"/>
      <x:c r="E8" s="2"/>
      <x:c r="F8" s="2"/>
      <x:c r="G8" s="3"/>
    </x:row>
    <x:row r="9">
      <x:c r="A9" s="7" t="s">
        <x:v>260</x:v>
      </x:c>
      <x:c r="B9" s="57" t="s">
        <x:v>261</x:v>
      </x:c>
      <x:c r="C9" s="57" t="s">
        <x:v>4</x:v>
      </x:c>
      <x:c r="D9" s="57" t="s">
        <x:v>262</x:v>
      </x:c>
      <x:c r="E9" s="57" t="s">
        <x:v>263</x:v>
      </x:c>
      <x:c r="F9" s="57" t="s">
        <x:v>264</x:v>
      </x:c>
      <x:c r="G9" s="58" t="s">
        <x:v>265</x:v>
      </x:c>
      <x:c r="H9" t="s">
        <x:v>266</x:v>
      </x:c>
      <x:c r="I9" t="s">
        <x:v>267</x:v>
      </x:c>
      <x:c r="J9" t="s">
        <x:v>40</x:v>
      </x:c>
    </x:row>
    <x:row r="10">
      <x:c r="A10" s="7" t="s">
        <x:v>117</x:v>
      </x:c>
      <x:c r="B10" s="18">
        <x:v>46203</x:v>
      </x:c>
      <x:c r="C10" s="57" t="s">
        <x:v>268</x:v>
      </x:c>
      <x:c r="D10" s="5" t="n">
        <x:f>Inputs!B52</x:f>
        <x:v>244</x:v>
      </x:c>
      <x:c r="E10" s="5" t="n">
        <x:f>Inputs!B53</x:f>
        <x:v>250</x:v>
      </x:c>
      <x:c r="F10" s="2" t="n">
        <x:f>(D10+E10)/2</x:f>
        <x:v>247</x:v>
      </x:c>
      <x:c r="G10" s="3"/>
      <x:c r="I10" t="s">
        <x:v>269</x:v>
      </x:c>
    </x:row>
    <x:row r="11">
      <x:c r="A11" s="7" t="s">
        <x:v>270</x:v>
      </x:c>
      <x:c r="B11" s="18">
        <x:v>46203</x:v>
      </x:c>
      <x:c r="C11" s="57" t="s">
        <x:v>268</x:v>
      </x:c>
      <x:c r="D11" s="1" t="n">
        <x:f>Inputs!B44</x:f>
        <x:v>0.35</x:v>
      </x:c>
      <x:c r="E11" s="1" t="n">
        <x:f>Inputs!B45</x:f>
        <x:v>0.41</x:v>
      </x:c>
      <x:c r="F11" s="20" t="n">
        <x:f>(D11+E11)/2</x:f>
        <x:v>0.38</x:v>
      </x:c>
      <x:c r="G11" s="32"/>
      <x:c r="I11" t="s">
        <x:v>271</x:v>
      </x:c>
    </x:row>
    <x:row r="12">
      <x:c r="A12" s="7" t="s">
        <x:v>272</x:v>
      </x:c>
      <x:c r="B12" s="18">
        <x:v>46203</x:v>
      </x:c>
      <x:c r="C12" s="57" t="s">
        <x:v>268</x:v>
      </x:c>
      <x:c r="D12" s="1" t="n">
        <x:f>Inputs!B36</x:f>
        <x:v>1.53</x:v>
      </x:c>
      <x:c r="E12" s="1" t="n">
        <x:f>Inputs!B37</x:f>
        <x:v>1.59</x:v>
      </x:c>
      <x:c r="F12" s="20" t="n">
        <x:f>(D12+E12)/2</x:f>
        <x:v>1.56</x:v>
      </x:c>
      <x:c r="G12" s="32"/>
      <x:c r="I12" t="s">
        <x:v>271</x:v>
      </x:c>
    </x:row>
    <x:row r="13">
      <x:c r="A13" s="7" t="s">
        <x:v>117</x:v>
      </x:c>
      <x:c r="B13" s="18">
        <x:v>46203</x:v>
      </x:c>
      <x:c r="C13" s="57" t="s">
        <x:v>273</x:v>
      </x:c>
      <x:c r="D13" s="26">
        <x:v>990</x:v>
      </x:c>
      <x:c r="E13" s="26">
        <x:v>1002</x:v>
      </x:c>
      <x:c r="F13" s="2" t="n">
        <x:f>(D13+E13)/2</x:f>
        <x:v>996</x:v>
      </x:c>
      <x:c r="G13" s="3"/>
      <x:c r="I13" t="s">
        <x:v>269</x:v>
      </x:c>
    </x:row>
    <x:row r="14">
      <x:c r="A14" s="7" t="s">
        <x:v>270</x:v>
      </x:c>
      <x:c r="B14" s="18">
        <x:v>46203</x:v>
      </x:c>
      <x:c r="C14" s="57" t="s">
        <x:v>273</x:v>
      </x:c>
      <x:c r="D14" s="25">
        <x:v>1.6</x:v>
      </x:c>
      <x:c r="E14" s="25">
        <x:v>1.74</x:v>
      </x:c>
      <x:c r="F14" s="20" t="n">
        <x:f>(D14+E14)/2</x:f>
        <x:v>1.67</x:v>
      </x:c>
      <x:c r="G14" s="32"/>
      <x:c r="I14" t="s">
        <x:v>271</x:v>
      </x:c>
    </x:row>
    <x:row r="15">
      <x:c r="A15" s="7" t="s">
        <x:v>272</x:v>
      </x:c>
      <x:c r="B15" s="18">
        <x:v>46203</x:v>
      </x:c>
      <x:c r="C15" s="57" t="s">
        <x:v>273</x:v>
      </x:c>
      <x:c r="D15" s="25">
        <x:v>6.09</x:v>
      </x:c>
      <x:c r="E15" s="25">
        <x:v>6.21</x:v>
      </x:c>
      <x:c r="F15" s="20" t="n">
        <x:f>(D15+E15)/2</x:f>
        <x:v>6.15</x:v>
      </x:c>
      <x:c r="G15" s="32"/>
      <x:c r="I15" t="s">
        <x:v>271</x:v>
      </x:c>
    </x:row>
    <x:row r="16">
      <x:c r="A16" s="7" t="s">
        <x:v>274</x:v>
      </x:c>
      <x:c r="B16" s="18">
        <x:v>46203</x:v>
      </x:c>
      <x:c r="C16" s="57" t="s">
        <x:v>273</x:v>
      </x:c>
      <x:c r="D16" s="27">
        <x:v>0.16</x:v>
      </x:c>
      <x:c r="E16" s="30" t="n">
        <x:f>D16</x:f>
        <x:v>0.16</x:v>
      </x:c>
      <x:c r="F16" s="30" t="n">
        <x:f>(D16+E16)/2</x:f>
        <x:v>0.16</x:v>
      </x:c>
      <x:c r="G16" s="28"/>
      <x:c r="I16" t="s">
        <x:v>275</x:v>
      </x:c>
    </x:row>
    <x:row r="17">
      <x:c r="A17" s="7" t="s">
        <x:v>276</x:v>
      </x:c>
      <x:c r="B17" s="18">
        <x:v>46203</x:v>
      </x:c>
      <x:c r="C17" s="57" t="s">
        <x:v>273</x:v>
      </x:c>
      <x:c r="D17" s="27">
        <x:v>0.39</x:v>
      </x:c>
      <x:c r="E17" s="30" t="n">
        <x:f>D17</x:f>
        <x:v>0.39</x:v>
      </x:c>
      <x:c r="F17" s="30" t="n">
        <x:f>(D17+E17)/2</x:f>
        <x:v>0.39</x:v>
      </x:c>
      <x:c r="G17" s="28"/>
      <x:c r="I17" t="s">
        <x:v>275</x:v>
      </x:c>
    </x:row>
    <x:row r="18">
      <x:c r="A18" s="7" t="s">
        <x:v>277</x:v>
      </x:c>
      <x:c r="B18" s="18">
        <x:v>46203</x:v>
      </x:c>
      <x:c r="C18" s="57" t="s">
        <x:v>273</x:v>
      </x:c>
      <x:c r="D18" s="26">
        <x:v>273</x:v>
      </x:c>
      <x:c r="E18" s="26">
        <x:v>285</x:v>
      </x:c>
      <x:c r="F18" s="2" t="n">
        <x:f>(D18+E18)/2</x:f>
        <x:v>279</x:v>
      </x:c>
      <x:c r="G18" s="3"/>
      <x:c r="I18" t="s">
        <x:v>269</x:v>
      </x:c>
    </x:row>
    <x:row r="19">
      <x:c r="A19" s="7" t="s">
        <x:v>278</x:v>
      </x:c>
      <x:c r="B19" s="18">
        <x:v>46203</x:v>
      </x:c>
      <x:c r="C19" s="57" t="s">
        <x:v>273</x:v>
      </x:c>
      <x:c r="D19" s="26">
        <x:v>271</x:v>
      </x:c>
      <x:c r="E19" s="26">
        <x:v>283</x:v>
      </x:c>
      <x:c r="F19" s="2" t="n">
        <x:f>(D19+E19)/2</x:f>
        <x:v>277</x:v>
      </x:c>
      <x:c r="G19" s="3"/>
      <x:c r="I19" t="s">
        <x:v>269</x:v>
      </x:c>
    </x:row>
    <x:row r="20">
      <x:c r="A20" s="7" t="s">
        <x:v>279</x:v>
      </x:c>
      <x:c r="B20" s="18">
        <x:v>46203</x:v>
      </x:c>
      <x:c r="C20" s="57" t="s">
        <x:v>273</x:v>
      </x:c>
      <x:c r="D20" s="26">
        <x:v>323</x:v>
      </x:c>
      <x:c r="E20" s="26">
        <x:v>334</x:v>
      </x:c>
      <x:c r="F20" s="2" t="n">
        <x:f>(D20+E20)/2</x:f>
        <x:v>328.5</x:v>
      </x:c>
      <x:c r="G20" s="3"/>
      <x:c r="I20" t="s">
        <x:v>269</x:v>
      </x:c>
    </x:row>
    <x:row r="21">
      <x:c r="A21" s="7" t="s">
        <x:v>117</x:v>
      </x:c>
      <x:c r="B21" s="18">
        <x:v>46111</x:v>
      </x:c>
      <x:c r="C21" s="57" t="s">
        <x:v>280</x:v>
      </x:c>
      <x:c r="D21" s="26">
        <x:v>240</x:v>
      </x:c>
      <x:c r="E21" s="26">
        <x:v>246</x:v>
      </x:c>
      <x:c r="F21" s="2" t="n">
        <x:f>(D21+E21)/2</x:f>
        <x:v>243</x:v>
      </x:c>
      <x:c r="G21" s="9" t="n">
        <x:f>'Income Statement'!F9</x:f>
        <x:v>253.46499999999997</x:v>
      </x:c>
      <x:c r="H21" s="7" t="str">
        <x:f>IF(G21&gt;F21,"BEAT",IF(G21&lt;F21,"MISS","AT MID"))</x:f>
        <x:v>BEAT</x:v>
      </x:c>
      <x:c r="I21" t="s">
        <x:v>269</x:v>
      </x:c>
    </x:row>
    <x:row r="22">
      <x:c r="A22" s="7" t="s">
        <x:v>270</x:v>
      </x:c>
      <x:c r="B22" s="18">
        <x:v>46111</x:v>
      </x:c>
      <x:c r="C22" s="57" t="s">
        <x:v>280</x:v>
      </x:c>
      <x:c r="D22" s="25">
        <x:v>0.35</x:v>
      </x:c>
      <x:c r="E22" s="25">
        <x:v>0.41</x:v>
      </x:c>
      <x:c r="F22" s="20" t="n">
        <x:f>(D22+E22)/2</x:f>
        <x:v>0.38</x:v>
      </x:c>
      <x:c r="G22" s="33" t="n">
        <x:f>'Income Statement'!F41</x:f>
        <x:v>0.4980619238950596</x:v>
      </x:c>
      <x:c r="H22" s="7" t="str">
        <x:f>IF(G22&gt;F22,"BEAT",IF(G22&lt;F22,"MISS","AT MID"))</x:f>
        <x:v>BEAT</x:v>
      </x:c>
      <x:c r="I22" t="s">
        <x:v>271</x:v>
      </x:c>
    </x:row>
    <x:row r="23">
      <x:c r="A23" s="7" t="s">
        <x:v>272</x:v>
      </x:c>
      <x:c r="B23" s="18">
        <x:v>46111</x:v>
      </x:c>
      <x:c r="C23" s="57" t="s">
        <x:v>280</x:v>
      </x:c>
      <x:c r="D23" s="25">
        <x:v>1.47</x:v>
      </x:c>
      <x:c r="E23" s="25">
        <x:v>1.53</x:v>
      </x:c>
      <x:c r="F23" s="20" t="n">
        <x:f>(D23+E23)/2</x:f>
        <x:v>1.5</x:v>
      </x:c>
      <x:c r="G23" s="33" t="n">
        <x:f>'Income Statement'!F54</x:f>
        <x:v>1.6159064051051752</x:v>
      </x:c>
      <x:c r="H23" s="7" t="str">
        <x:f>IF(G23&gt;F23,"BEAT",IF(G23&lt;F23,"MISS","AT MID"))</x:f>
        <x:v>BEAT</x:v>
      </x:c>
      <x:c r="I23" t="s">
        <x:v>271</x:v>
      </x:c>
    </x:row>
    <x:row r="24">
      <x:c r="A24" s="7" t="s">
        <x:v>281</x:v>
      </x:c>
      <x:c r="B24" s="60" t="n">
        <x:v>46203</x:v>
      </x:c>
      <x:c r="C24" s="57" t="s">
        <x:v>273</x:v>
      </x:c>
      <x:c r="D24" s="27">
        <x:v>0.25</x:v>
      </x:c>
      <x:c r="E24" s="30" t="n">
        <x:f>D24</x:f>
        <x:v>0.25</x:v>
      </x:c>
      <x:c r="F24" s="30" t="n">
        <x:f>(D24+E24)/2</x:f>
        <x:v>0.25</x:v>
      </x:c>
      <x:c r="G24" s="28"/>
      <x:c r="I24" t="s">
        <x:v>275</x:v>
      </x:c>
    </x:row>
    <x:row r="25">
      <x:c r="A25" s="7" t="s">
        <x:v>282</x:v>
      </x:c>
      <x:c r="B25" s="60" t="n">
        <x:v>46203</x:v>
      </x:c>
      <x:c r="C25" s="57" t="s">
        <x:v>273</x:v>
      </x:c>
      <x:c r="D25" s="27">
        <x:v>0.2</x:v>
      </x:c>
      <x:c r="E25" s="30" t="n">
        <x:f>D25</x:f>
        <x:v>0.2</x:v>
      </x:c>
      <x:c r="F25" s="30" t="n">
        <x:f>(D25+E25)/2</x:f>
        <x:v>0.2</x:v>
      </x:c>
      <x:c r="G25" s="28"/>
      <x:c r="I25" t="s">
        <x:v>275</x:v>
      </x:c>
    </x:row>
    <x:row r="26">
      <x:c r="A26" s="7"/>
      <x:c r="B26" s="18"/>
      <x:c r="C26" s="57"/>
      <x:c r="D26" s="2"/>
      <x:c r="E26" s="2"/>
      <x:c r="F26" s="2"/>
      <x:c r="G26" s="3"/>
      <x:c r="J26" s="36" t="s">
        <x:v>283</x:v>
      </x:c>
    </x:row>
    <x:row r="27">
      <x:c r="A27" t="s">
        <x:v>117</x:v>
      </x:c>
      <x:c r="B27" s="18">
        <x:v>46111</x:v>
      </x:c>
      <x:c r="C27" s="59" t="s">
        <x:v>273</x:v>
      </x:c>
      <x:c r="D27" s="26">
        <x:v>988</x:v>
      </x:c>
      <x:c r="E27" s="26">
        <x:v>1000</x:v>
      </x:c>
      <x:c r="F27" s="2" t="n">
        <x:f>(D27+E27)/2</x:f>
        <x:v>994</x:v>
      </x:c>
      <x:c r="G27" s="3"/>
      <x:c r="I27" t="s">
        <x:v>269</x:v>
      </x:c>
    </x:row>
    <x:row r="28">
      <x:c r="A28" t="s">
        <x:v>270</x:v>
      </x:c>
      <x:c r="B28" s="18">
        <x:v>46111</x:v>
      </x:c>
      <x:c r="C28" s="59" t="s">
        <x:v>273</x:v>
      </x:c>
      <x:c r="D28" s="25">
        <x:v>1.71</x:v>
      </x:c>
      <x:c r="E28" s="25">
        <x:v>1.87</x:v>
      </x:c>
      <x:c r="F28" s="20" t="n">
        <x:f>(D28+E28)/2</x:f>
        <x:v>1.79</x:v>
      </x:c>
      <x:c r="G28" s="32"/>
      <x:c r="I28" t="s">
        <x:v>271</x:v>
      </x:c>
    </x:row>
    <x:row r="29">
      <x:c r="A29" t="s">
        <x:v>272</x:v>
      </x:c>
      <x:c r="B29" s="18">
        <x:v>46111</x:v>
      </x:c>
      <x:c r="C29" s="59" t="s">
        <x:v>273</x:v>
      </x:c>
      <x:c r="D29" s="25">
        <x:v>5.91</x:v>
      </x:c>
      <x:c r="E29" s="25">
        <x:v>6.03</x:v>
      </x:c>
      <x:c r="F29" s="20" t="n">
        <x:f>(D29+E29)/2</x:f>
        <x:v>5.970000000000001</x:v>
      </x:c>
      <x:c r="G29" s="32"/>
      <x:c r="I29" t="s">
        <x:v>271</x:v>
      </x:c>
    </x:row>
    <x:row r="30">
      <x:c r="A30" t="s">
        <x:v>274</x:v>
      </x:c>
      <x:c r="B30" s="18">
        <x:v>46111</x:v>
      </x:c>
      <x:c r="C30" s="59" t="s">
        <x:v>273</x:v>
      </x:c>
      <x:c r="D30" s="27">
        <x:v>0.16</x:v>
      </x:c>
      <x:c r="E30" s="27">
        <x:v>0.17</x:v>
      </x:c>
      <x:c r="F30" s="30" t="n">
        <x:f>(D30+E30)/2</x:f>
        <x:v>0.165</x:v>
      </x:c>
      <x:c r="G30" s="28"/>
      <x:c r="I30" t="s">
        <x:v>275</x:v>
      </x:c>
    </x:row>
    <x:row r="31">
      <x:c r="A31" t="s">
        <x:v>276</x:v>
      </x:c>
      <x:c r="B31" s="18">
        <x:v>46111</x:v>
      </x:c>
      <x:c r="C31" s="59" t="s">
        <x:v>273</x:v>
      </x:c>
      <x:c r="D31" s="27">
        <x:v>0.39</x:v>
      </x:c>
      <x:c r="E31" s="30" t="n">
        <x:f>D31</x:f>
        <x:v>0.39</x:v>
      </x:c>
      <x:c r="F31" s="30" t="n">
        <x:f>(D31+E31)/2</x:f>
        <x:v>0.39</x:v>
      </x:c>
      <x:c r="G31" s="28"/>
      <x:c r="I31" t="s">
        <x:v>275</x:v>
      </x:c>
    </x:row>
    <x:row r="32">
      <x:c r="A32" t="s">
        <x:v>277</x:v>
      </x:c>
      <x:c r="B32" s="18">
        <x:v>46111</x:v>
      </x:c>
      <x:c r="C32" s="59" t="s">
        <x:v>273</x:v>
      </x:c>
      <x:c r="D32" s="26">
        <x:v>266</x:v>
      </x:c>
      <x:c r="E32" s="26">
        <x:v>278</x:v>
      </x:c>
      <x:c r="F32" s="2" t="n">
        <x:f>(D32+E32)/2</x:f>
        <x:v>272</x:v>
      </x:c>
      <x:c r="G32" s="3"/>
      <x:c r="I32" t="s">
        <x:v>269</x:v>
      </x:c>
    </x:row>
    <x:row r="33">
      <x:c r="A33" t="s">
        <x:v>278</x:v>
      </x:c>
      <x:c r="B33" s="18">
        <x:v>46111</x:v>
      </x:c>
      <x:c r="C33" s="59" t="s">
        <x:v>273</x:v>
      </x:c>
      <x:c r="D33" s="26">
        <x:v>263</x:v>
      </x:c>
      <x:c r="E33" s="26">
        <x:v>275</x:v>
      </x:c>
      <x:c r="F33" s="2" t="n">
        <x:f>(D33+E33)/2</x:f>
        <x:v>269</x:v>
      </x:c>
      <x:c r="G33" s="3"/>
      <x:c r="I33" t="s">
        <x:v>269</x:v>
      </x:c>
    </x:row>
    <x:row r="34">
      <x:c r="A34" t="s">
        <x:v>279</x:v>
      </x:c>
      <x:c r="B34" s="18">
        <x:v>46111</x:v>
      </x:c>
      <x:c r="C34" s="59" t="s">
        <x:v>273</x:v>
      </x:c>
      <x:c r="D34" s="26">
        <x:v>315</x:v>
      </x:c>
      <x:c r="E34" s="26">
        <x:v>326</x:v>
      </x:c>
      <x:c r="F34" s="2" t="n">
        <x:f>(D34+E34)/2</x:f>
        <x:v>320.5</x:v>
      </x:c>
      <x:c r="G34" s="3"/>
      <x:c r="I34" t="s">
        <x:v>269</x:v>
      </x:c>
    </x:row>
    <x:row r="35">
      <x:c r="A35" t="s">
        <x:v>281</x:v>
      </x:c>
      <x:c r="B35" s="18">
        <x:v>46111</x:v>
      </x:c>
      <x:c r="C35" s="59" t="s">
        <x:v>273</x:v>
      </x:c>
      <x:c r="D35" s="27">
        <x:v>0.23</x:v>
      </x:c>
      <x:c r="E35" s="30" t="n">
        <x:f>D35</x:f>
        <x:v>0.23</x:v>
      </x:c>
      <x:c r="F35" s="30" t="n">
        <x:f>(D35+E35)/2</x:f>
        <x:v>0.23</x:v>
      </x:c>
      <x:c r="G35" s="28"/>
      <x:c r="I35" t="s">
        <x:v>275</x:v>
      </x:c>
    </x:row>
    <x:row r="36">
      <x:c r="A36" t="s">
        <x:v>282</x:v>
      </x:c>
      <x:c r="B36" s="18">
        <x:v>46111</x:v>
      </x:c>
      <x:c r="C36" s="59" t="s">
        <x:v>273</x:v>
      </x:c>
      <x:c r="D36" s="27">
        <x:v>0.2</x:v>
      </x:c>
      <x:c r="E36" s="30" t="n">
        <x:f>D36</x:f>
        <x:v>0.2</x:v>
      </x:c>
      <x:c r="F36" s="30" t="n">
        <x:f>(D36+E36)/2</x:f>
        <x:v>0.2</x:v>
      </x:c>
      <x:c r="G36" s="28"/>
      <x:c r="I36" t="s">
        <x:v>275</x:v>
      </x:c>
    </x:row>
    <x:row r="37">
      <x:c r="B37" s="18"/>
      <x:c r="C37" s="59"/>
      <x:c r="D37" s="2"/>
      <x:c r="E37" s="2"/>
      <x:c r="F37" s="2"/>
      <x:c r="G37" s="3"/>
    </x:row>
    <x:row r="38">
      <x:c r="A38" t="s">
        <x:v>117</x:v>
      </x:c>
      <x:c r="B38" s="18">
        <x:v>46042</x:v>
      </x:c>
      <x:c r="C38" s="59" t="s">
        <x:v>273</x:v>
      </x:c>
      <x:c r="D38" s="26">
        <x:v>986</x:v>
      </x:c>
      <x:c r="E38" s="26">
        <x:v>1000</x:v>
      </x:c>
      <x:c r="F38" s="2" t="n">
        <x:f>(D38+E38)/2</x:f>
        <x:v>993</x:v>
      </x:c>
      <x:c r="G38" s="3"/>
      <x:c r="I38" t="s">
        <x:v>269</x:v>
      </x:c>
    </x:row>
    <x:row r="39">
      <x:c r="A39" t="s">
        <x:v>270</x:v>
      </x:c>
      <x:c r="B39" s="18">
        <x:v>46042</x:v>
      </x:c>
      <x:c r="C39" s="59" t="s">
        <x:v>273</x:v>
      </x:c>
      <x:c r="D39" s="25">
        <x:v>1.74</x:v>
      </x:c>
      <x:c r="E39" s="25">
        <x:v>1.91</x:v>
      </x:c>
      <x:c r="F39" s="20" t="n">
        <x:f>(D39+E39)/2</x:f>
        <x:v>1.825</x:v>
      </x:c>
      <x:c r="G39" s="32"/>
      <x:c r="I39" t="s">
        <x:v>271</x:v>
      </x:c>
    </x:row>
    <x:row r="40">
      <x:c r="A40" t="s">
        <x:v>272</x:v>
      </x:c>
      <x:c r="B40" s="18">
        <x:v>46042</x:v>
      </x:c>
      <x:c r="C40" s="59" t="s">
        <x:v>273</x:v>
      </x:c>
      <x:c r="D40" s="25">
        <x:v>5.82</x:v>
      </x:c>
      <x:c r="E40" s="25">
        <x:v>5.96</x:v>
      </x:c>
      <x:c r="F40" s="20" t="n">
        <x:f>(D40+E40)/2</x:f>
        <x:v>5.890000000000001</x:v>
      </x:c>
      <x:c r="G40" s="32"/>
      <x:c r="I40" t="s">
        <x:v>271</x:v>
      </x:c>
    </x:row>
    <x:row r="41">
      <x:c r="A41" t="s">
        <x:v>274</x:v>
      </x:c>
      <x:c r="B41" s="18">
        <x:v>46042</x:v>
      </x:c>
      <x:c r="C41" s="59" t="s">
        <x:v>273</x:v>
      </x:c>
      <x:c r="D41" s="27">
        <x:v>0.16</x:v>
      </x:c>
      <x:c r="E41" s="27">
        <x:v>0.17</x:v>
      </x:c>
      <x:c r="F41" s="30" t="n">
        <x:f>(D41+E41)/2</x:f>
        <x:v>0.165</x:v>
      </x:c>
      <x:c r="G41" s="28"/>
      <x:c r="I41" t="s">
        <x:v>275</x:v>
      </x:c>
    </x:row>
    <x:row r="42">
      <x:c r="A42" t="s">
        <x:v>276</x:v>
      </x:c>
      <x:c r="B42" s="18">
        <x:v>46042</x:v>
      </x:c>
      <x:c r="C42" s="59" t="s">
        <x:v>273</x:v>
      </x:c>
      <x:c r="D42" s="27">
        <x:v>0.39</x:v>
      </x:c>
      <x:c r="E42" s="30" t="n">
        <x:f>D42</x:f>
        <x:v>0.39</x:v>
      </x:c>
      <x:c r="F42" s="30" t="n">
        <x:f>(D42+E42)/2</x:f>
        <x:v>0.39</x:v>
      </x:c>
      <x:c r="G42" s="28"/>
      <x:c r="I42" t="s">
        <x:v>275</x:v>
      </x:c>
    </x:row>
    <x:row r="43">
      <x:c r="A43" t="s">
        <x:v>277</x:v>
      </x:c>
      <x:c r="B43" s="18">
        <x:v>46042</x:v>
      </x:c>
      <x:c r="C43" s="59" t="s">
        <x:v>273</x:v>
      </x:c>
      <x:c r="D43" s="26">
        <x:v>263</x:v>
      </x:c>
      <x:c r="E43" s="26">
        <x:v>277</x:v>
      </x:c>
      <x:c r="F43" s="2" t="n">
        <x:f>(D43+E43)/2</x:f>
        <x:v>270</x:v>
      </x:c>
      <x:c r="G43" s="3"/>
      <x:c r="I43" t="s">
        <x:v>269</x:v>
      </x:c>
    </x:row>
    <x:row r="44">
      <x:c r="A44" t="s">
        <x:v>278</x:v>
      </x:c>
      <x:c r="B44" s="18">
        <x:v>46042</x:v>
      </x:c>
      <x:c r="C44" s="59" t="s">
        <x:v>273</x:v>
      </x:c>
      <x:c r="D44" s="26">
        <x:v>260</x:v>
      </x:c>
      <x:c r="E44" s="26">
        <x:v>274</x:v>
      </x:c>
      <x:c r="F44" s="2" t="n">
        <x:f>(D44+E44)/2</x:f>
        <x:v>267</x:v>
      </x:c>
      <x:c r="G44" s="3"/>
      <x:c r="I44" t="s">
        <x:v>269</x:v>
      </x:c>
    </x:row>
    <x:row r="45">
      <x:c r="A45" t="s">
        <x:v>279</x:v>
      </x:c>
      <x:c r="B45" s="18">
        <x:v>46042</x:v>
      </x:c>
      <x:c r="C45" s="59" t="s">
        <x:v>273</x:v>
      </x:c>
      <x:c r="D45" s="26">
        <x:v>313</x:v>
      </x:c>
      <x:c r="E45" s="26">
        <x:v>326</x:v>
      </x:c>
      <x:c r="F45" s="2" t="n">
        <x:f>(D45+E45)/2</x:f>
        <x:v>319.5</x:v>
      </x:c>
      <x:c r="G45" s="3"/>
      <x:c r="I45" t="s">
        <x:v>269</x:v>
      </x:c>
    </x:row>
    <x:row r="46">
      <x:c r="A46" t="s">
        <x:v>281</x:v>
      </x:c>
      <x:c r="B46" s="18">
        <x:v>46042</x:v>
      </x:c>
      <x:c r="C46" s="59" t="s">
        <x:v>273</x:v>
      </x:c>
      <x:c r="D46" s="27">
        <x:v>0.21</x:v>
      </x:c>
      <x:c r="E46" s="30" t="n">
        <x:f>D46</x:f>
        <x:v>0.21</x:v>
      </x:c>
      <x:c r="F46" s="30" t="n">
        <x:f>(D46+E46)/2</x:f>
        <x:v>0.21</x:v>
      </x:c>
      <x:c r="G46" s="28"/>
      <x:c r="I46" t="s">
        <x:v>275</x:v>
      </x:c>
    </x:row>
    <x:row r="47">
      <x:c r="A47" t="s">
        <x:v>282</x:v>
      </x:c>
      <x:c r="B47" s="18">
        <x:v>46042</x:v>
      </x:c>
      <x:c r="C47" s="59" t="s">
        <x:v>273</x:v>
      </x:c>
      <x:c r="D47" s="27">
        <x:v>0.2</x:v>
      </x:c>
      <x:c r="E47" s="30" t="n">
        <x:f>D47</x:f>
        <x:v>0.2</x:v>
      </x:c>
      <x:c r="F47" s="30" t="n">
        <x:f>(D47+E47)/2</x:f>
        <x:v>0.2</x:v>
      </x:c>
      <x:c r="G47" s="28"/>
      <x:c r="I47" t="s">
        <x:v>275</x:v>
      </x:c>
    </x:row>
    <x:row r="48">
      <x:c r="A48" t="s">
        <x:v>117</x:v>
      </x:c>
      <x:c r="B48" s="18">
        <x:v>46042</x:v>
      </x:c>
      <x:c r="C48" s="59" t="s">
        <x:v>284</x:v>
      </x:c>
      <x:c r="D48" s="26">
        <x:v>244</x:v>
      </x:c>
      <x:c r="E48" s="26">
        <x:v>250</x:v>
      </x:c>
      <x:c r="F48" s="2" t="n">
        <x:f>(D48+E48)/2</x:f>
        <x:v>247</x:v>
      </x:c>
      <x:c r="G48" s="9" t="n">
        <x:f>'Income Statement'!E9</x:f>
        <x:v>247.79900000000004</x:v>
      </x:c>
      <x:c r="H48" s="2" t="str">
        <x:f>IF(G48&gt;F48,"BEAT",IF(G48&lt;F48,"MISS","AT MID"))</x:f>
        <x:v>BEAT</x:v>
      </x:c>
      <x:c r="I48" t="s">
        <x:v>269</x:v>
      </x:c>
    </x:row>
    <x:row r="49">
      <x:c r="A49" t="s">
        <x:v>270</x:v>
      </x:c>
      <x:c r="B49" s="18">
        <x:v>46042</x:v>
      </x:c>
      <x:c r="C49" s="59" t="s">
        <x:v>284</x:v>
      </x:c>
      <x:c r="D49" s="25">
        <x:v>0.47</x:v>
      </x:c>
      <x:c r="E49" s="25">
        <x:v>0.53</x:v>
      </x:c>
      <x:c r="F49" s="20" t="n">
        <x:f>(D49+E49)/2</x:f>
        <x:v>0.5</x:v>
      </x:c>
      <x:c r="G49" s="33" t="n">
        <x:f>'Income Statement'!E41</x:f>
        <x:v>0.5338996934166506</x:v>
      </x:c>
      <x:c r="H49" s="20" t="str">
        <x:f>IF(G49&gt;F49,"BEAT",IF(G49&lt;F49,"MISS","AT MID"))</x:f>
        <x:v>BEAT</x:v>
      </x:c>
      <x:c r="I49" t="s">
        <x:v>271</x:v>
      </x:c>
    </x:row>
    <x:row r="50">
      <x:c r="A50" t="s">
        <x:v>272</x:v>
      </x:c>
      <x:c r="B50" s="18">
        <x:v>46042</x:v>
      </x:c>
      <x:c r="C50" s="59" t="s">
        <x:v>284</x:v>
      </x:c>
      <x:c r="D50" s="25">
        <x:v>1.56</x:v>
      </x:c>
      <x:c r="E50" s="25">
        <x:v>1.62</x:v>
      </x:c>
      <x:c r="F50" s="20" t="n">
        <x:f>(D50+E50)/2</x:f>
        <x:v>1.59</x:v>
      </x:c>
      <x:c r="G50" s="33" t="n">
        <x:f>'Income Statement'!E54</x:f>
        <x:v>1.598446020267267</x:v>
      </x:c>
      <x:c r="H50" s="20" t="str">
        <x:f>IF(G50&gt;F50,"BEAT",IF(G50&lt;F50,"MISS","AT MID"))</x:f>
        <x:v>BEAT</x:v>
      </x:c>
      <x:c r="I50" t="s">
        <x:v>271</x:v>
      </x:c>
    </x:row>
    <x:row r="51">
      <x:c r="C51" s="59"/>
      <x:c r="D51" s="2"/>
      <x:c r="E51" s="2"/>
      <x:c r="F51" s="2"/>
      <x:c r="G51" s="2"/>
    </x:row>
    <x:row r="52">
      <x:c r="A52" t="s">
        <x:v>285</x:v>
      </x:c>
      <x:c r="B52" s="18">
        <x:v>46203</x:v>
      </x:c>
      <x:c r="C52" s="59" t="s">
        <x:v>273</x:v>
      </x:c>
      <x:c r="D52" s="26">
        <x:v>157.2</x:v>
      </x:c>
      <x:c r="E52" s="26">
        <x:v>164.1</x:v>
      </x:c>
      <x:c r="F52" s="2" t="n">
        <x:f>(D52+E52)/2</x:f>
        <x:v>160.64999999999998</x:v>
      </x:c>
      <x:c r="G52" s="3"/>
      <x:c r="I52" t="s">
        <x:v>269</x:v>
      </x:c>
    </x:row>
    <x:row r="53">
      <x:c r="A53" t="s">
        <x:v>286</x:v>
      </x:c>
      <x:c r="B53" s="18">
        <x:v>46203</x:v>
      </x:c>
      <x:c r="C53" s="59" t="s">
        <x:v>273</x:v>
      </x:c>
      <x:c r="D53" s="26">
        <x:v>388</x:v>
      </x:c>
      <x:c r="E53" s="26">
        <x:v>394.9</x:v>
      </x:c>
      <x:c r="F53" s="2" t="n">
        <x:f>(D53+E53)/2</x:f>
        <x:v>391.45</x:v>
      </x:c>
      <x:c r="G53" s="3"/>
      <x:c r="I53" t="s">
        <x:v>269</x:v>
      </x:c>
    </x:row>
    <x:row r="54">
      <x:c r="A54" t="s">
        <x:v>287</x:v>
      </x:c>
      <x:c r="B54" s="18">
        <x:v>46203</x:v>
      </x:c>
      <x:c r="C54" s="59" t="s">
        <x:v>273</x:v>
      </x:c>
      <x:c r="D54" s="26">
        <x:v>67.7</x:v>
      </x:c>
      <x:c r="E54" s="26">
        <x:v>73.6</x:v>
      </x:c>
      <x:c r="F54" s="2" t="n">
        <x:f>(D54+E54)/2</x:f>
        <x:v>70.65</x:v>
      </x:c>
      <x:c r="G54" s="3"/>
      <x:c r="I54" t="s">
        <x:v>269</x:v>
      </x:c>
    </x:row>
    <x:row r="55">
      <x:c r="A55" t="s">
        <x:v>288</x:v>
      </x:c>
      <x:c r="B55" s="18">
        <x:v>46203</x:v>
      </x:c>
      <x:c r="C55" s="59" t="s">
        <x:v>273</x:v>
      </x:c>
      <x:c r="D55" s="26">
        <x:v>256.8</x:v>
      </x:c>
      <x:c r="E55" s="26">
        <x:v>263.1</x:v>
      </x:c>
      <x:c r="F55" s="2" t="n">
        <x:f>(D55+E55)/2</x:f>
        <x:v>259.95000000000005</x:v>
      </x:c>
      <x:c r="G55" s="3"/>
      <x:c r="I55" t="s">
        <x:v>269</x:v>
      </x:c>
    </x:row>
    <x:row r="56">
      <x:c r="A56" t="s">
        <x:v>289</x:v>
      </x:c>
      <x:c r="B56" s="18">
        <x:v>46203</x:v>
      </x:c>
      <x:c r="C56" s="59" t="s">
        <x:v>273</x:v>
      </x:c>
      <x:c r="D56" s="26">
        <x:v>42.2</x:v>
      </x:c>
      <x:c r="E56" s="26">
        <x:v>42.4</x:v>
      </x:c>
      <x:c r="F56" s="2" t="n">
        <x:f>(D56+E56)/2</x:f>
        <x:v>42.3</x:v>
      </x:c>
      <x:c r="G56" s="3"/>
      <x:c r="I56" t="s">
        <x:v>290</x:v>
      </x:c>
    </x:row>
    <x:row r="57">
      <x:c r="A57" t="s">
        <x:v>285</x:v>
      </x:c>
      <x:c r="B57" s="18">
        <x:v>46111</x:v>
      </x:c>
      <x:c r="C57" s="59" t="s">
        <x:v>273</x:v>
      </x:c>
      <x:c r="D57" s="26">
        <x:v>162</x:v>
      </x:c>
      <x:c r="E57" s="26">
        <x:v>170.4</x:v>
      </x:c>
      <x:c r="F57" s="2" t="n">
        <x:f>(D57+E57)/2</x:f>
        <x:v>166.2</x:v>
      </x:c>
      <x:c r="G57" s="3"/>
      <x:c r="I57" t="s">
        <x:v>269</x:v>
      </x:c>
    </x:row>
    <x:row r="58">
      <x:c r="A58" t="s">
        <x:v>286</x:v>
      </x:c>
      <x:c r="B58" s="18">
        <x:v>46111</x:v>
      </x:c>
      <x:c r="C58" s="59" t="s">
        <x:v>273</x:v>
      </x:c>
      <x:c r="D58" s="26">
        <x:v>384.3</x:v>
      </x:c>
      <x:c r="E58" s="26">
        <x:v>392.7</x:v>
      </x:c>
      <x:c r="F58" s="2" t="n">
        <x:f>(D58+E58)/2</x:f>
        <x:v>388.5</x:v>
      </x:c>
      <x:c r="G58" s="3"/>
      <x:c r="I58" t="s">
        <x:v>269</x:v>
      </x:c>
    </x:row>
    <x:row r="59">
      <x:c r="A59" t="s">
        <x:v>287</x:v>
      </x:c>
      <x:c r="B59" s="18">
        <x:v>46111</x:v>
      </x:c>
      <x:c r="C59" s="59" t="s">
        <x:v>273</x:v>
      </x:c>
      <x:c r="D59" s="26">
        <x:v>73.9</x:v>
      </x:c>
      <x:c r="E59" s="26">
        <x:v>81.2</x:v>
      </x:c>
      <x:c r="F59" s="2" t="n">
        <x:f>(D59+E59)/2</x:f>
        <x:v>77.55000000000001</x:v>
      </x:c>
      <x:c r="G59" s="3"/>
      <x:c r="I59" t="s">
        <x:v>269</x:v>
      </x:c>
    </x:row>
    <x:row r="60">
      <x:c r="A60" t="s">
        <x:v>288</x:v>
      </x:c>
      <x:c r="B60" s="18">
        <x:v>46111</x:v>
      </x:c>
      <x:c r="C60" s="59" t="s">
        <x:v>273</x:v>
      </x:c>
      <x:c r="D60" s="26">
        <x:v>254.7</x:v>
      </x:c>
      <x:c r="E60" s="26">
        <x:v>262.2</x:v>
      </x:c>
      <x:c r="F60" s="2" t="n">
        <x:f>(D60+E60)/2</x:f>
        <x:v>258.45</x:v>
      </x:c>
      <x:c r="G60" s="3"/>
      <x:c r="I60" t="s">
        <x:v>269</x:v>
      </x:c>
    </x:row>
    <x:row r="61">
      <x:c r="A61" t="s">
        <x:v>289</x:v>
      </x:c>
      <x:c r="B61" s="18">
        <x:v>46111</x:v>
      </x:c>
      <x:c r="C61" s="59" t="s">
        <x:v>273</x:v>
      </x:c>
      <x:c r="D61" s="26">
        <x:v>43.1</x:v>
      </x:c>
      <x:c r="E61" s="26">
        <x:v>43.5</x:v>
      </x:c>
      <x:c r="F61" s="2" t="n">
        <x:f>(D61+E61)/2</x:f>
        <x:v>43.3</x:v>
      </x:c>
      <x:c r="G61" s="3"/>
      <x:c r="I61" t="s">
        <x:v>290</x:v>
      </x:c>
    </x:row>
    <x:row r="62">
      <x:c r="A62" t="s">
        <x:v>285</x:v>
      </x:c>
      <x:c r="B62" s="18">
        <x:v>46042</x:v>
      </x:c>
      <x:c r="C62" s="59" t="s">
        <x:v>273</x:v>
      </x:c>
      <x:c r="D62" s="26">
        <x:v>161.9</x:v>
      </x:c>
      <x:c r="E62" s="26">
        <x:v>171.4</x:v>
      </x:c>
      <x:c r="F62" s="2" t="n">
        <x:f>(D62+E62)/2</x:f>
        <x:v>166.65</x:v>
      </x:c>
      <x:c r="G62" s="3"/>
      <x:c r="I62" t="s">
        <x:v>269</x:v>
      </x:c>
    </x:row>
    <x:row r="63">
      <x:c r="A63" t="s">
        <x:v>286</x:v>
      </x:c>
      <x:c r="B63" s="18">
        <x:v>46042</x:v>
      </x:c>
      <x:c r="C63" s="59" t="s">
        <x:v>273</x:v>
      </x:c>
      <x:c r="D63" s="26">
        <x:v>382.6</x:v>
      </x:c>
      <x:c r="E63" s="26">
        <x:v>392.1</x:v>
      </x:c>
      <x:c r="F63" s="2" t="n">
        <x:f>(D63+E63)/2</x:f>
        <x:v>387.35</x:v>
      </x:c>
      <x:c r="G63" s="3"/>
      <x:c r="I63" t="s">
        <x:v>269</x:v>
      </x:c>
    </x:row>
    <x:row r="64">
      <x:c r="A64" t="s">
        <x:v>287</x:v>
      </x:c>
      <x:c r="B64" s="18">
        <x:v>46042</x:v>
      </x:c>
      <x:c r="C64" s="59" t="s">
        <x:v>273</x:v>
      </x:c>
      <x:c r="D64" s="26">
        <x:v>75.8</x:v>
      </x:c>
      <x:c r="E64" s="26">
        <x:v>84.1</x:v>
      </x:c>
      <x:c r="F64" s="2" t="n">
        <x:f>(D64+E64)/2</x:f>
        <x:v>79.94999999999999</x:v>
      </x:c>
      <x:c r="G64" s="3"/>
      <x:c r="I64" t="s">
        <x:v>269</x:v>
      </x:c>
    </x:row>
    <x:row r="65">
      <x:c r="A65" t="s">
        <x:v>288</x:v>
      </x:c>
      <x:c r="B65" s="18">
        <x:v>46042</x:v>
      </x:c>
      <x:c r="C65" s="59" t="s">
        <x:v>273</x:v>
      </x:c>
      <x:c r="D65" s="26">
        <x:v>253.2</x:v>
      </x:c>
      <x:c r="E65" s="26">
        <x:v>261.7</x:v>
      </x:c>
      <x:c r="F65" s="2" t="n">
        <x:f>(D65+E65)/2</x:f>
        <x:v>257.45</x:v>
      </x:c>
      <x:c r="G65" s="3"/>
      <x:c r="I65" t="s">
        <x:v>269</x:v>
      </x:c>
    </x:row>
    <x:row r="66">
      <x:c r="A66" t="s">
        <x:v>289</x:v>
      </x:c>
      <x:c r="B66" s="18">
        <x:v>46042</x:v>
      </x:c>
      <x:c r="C66" s="59" t="s">
        <x:v>273</x:v>
      </x:c>
      <x:c r="D66" s="26">
        <x:v>43.5</x:v>
      </x:c>
      <x:c r="E66" s="26">
        <x:v>43.9</x:v>
      </x:c>
      <x:c r="F66" s="2" t="n">
        <x:f>(D66+E66)/2</x:f>
        <x:v>43.7</x:v>
      </x:c>
      <x:c r="G66" s="3"/>
      <x:c r="I66" t="s">
        <x:v>290</x:v>
      </x:c>
    </x:row>
    <x:row r="67">
      <x:c r="A67" t="s">
        <x:v>291</x:v>
      </x:c>
      <x:c r="B67" s="18">
        <x:v>46203</x:v>
      </x:c>
      <x:c r="C67" s="59" t="s">
        <x:v>268</x:v>
      </x:c>
      <x:c r="D67" s="1" t="n">
        <x:f>Inputs!G120/Inputs!G125</x:f>
        <x:v>0.06999999999999999</x:v>
      </x:c>
      <x:c r="E67" s="20" t="n">
        <x:f>D67</x:f>
        <x:v>0.06999999999999999</x:v>
      </x:c>
      <x:c r="F67" s="20" t="n">
        <x:f>(D67+E67)/2</x:f>
        <x:v>0.06999999999999999</x:v>
      </x:c>
      <x:c r="G67" s="32"/>
      <x:c r="I67" t="s">
        <x:v>271</x:v>
      </x:c>
    </x:row>
    <x:row r="68">
      <x:c r="A68" t="s">
        <x:v>292</x:v>
      </x:c>
      <x:c r="B68" s="18">
        <x:v>46203</x:v>
      </x:c>
      <x:c r="C68" s="59" t="s">
        <x:v>268</x:v>
      </x:c>
      <x:c r="D68" s="1" t="n">
        <x:f>Inputs!G129</x:f>
        <x:v>0.41</x:v>
      </x:c>
      <x:c r="E68" s="20" t="n">
        <x:f>D68</x:f>
        <x:v>0.41</x:v>
      </x:c>
      <x:c r="F68" s="20" t="n">
        <x:f>(D68+E68)/2</x:f>
        <x:v>0.41</x:v>
      </x:c>
      <x:c r="G68" s="32"/>
      <x:c r="I68" t="s">
        <x:v>271</x:v>
      </x:c>
    </x:row>
    <x:row r="69">
      <x:c r="A69" t="s">
        <x:v>293</x:v>
      </x:c>
      <x:c r="B69" s="18">
        <x:v>46203</x:v>
      </x:c>
      <x:c r="C69" s="59" t="s">
        <x:v>268</x:v>
      </x:c>
      <x:c r="D69" s="25">
        <x:v>0.85</x:v>
      </x:c>
      <x:c r="E69" s="20" t="n">
        <x:f>D69</x:f>
        <x:v>0.85</x:v>
      </x:c>
      <x:c r="F69" s="20" t="n">
        <x:f>(D69+E69)/2</x:f>
        <x:v>0.85</x:v>
      </x:c>
      <x:c r="G69" s="32"/>
      <x:c r="I69" t="s">
        <x:v>271</x:v>
      </x:c>
    </x:row>
    <x:row r="70">
      <x:c r="A70" t="s">
        <x:v>294</x:v>
      </x:c>
      <x:c r="B70" s="18">
        <x:v>46203</x:v>
      </x:c>
      <x:c r="C70" s="59" t="s">
        <x:v>268</x:v>
      </x:c>
      <x:c r="D70" s="1" t="n">
        <x:f>Inputs!G121/Inputs!G125</x:f>
        <x:v>0.13</x:v>
      </x:c>
      <x:c r="E70" s="20" t="n">
        <x:f>D70</x:f>
        <x:v>0.13</x:v>
      </x:c>
      <x:c r="F70" s="20" t="n">
        <x:f>(D70+E70)/2</x:f>
        <x:v>0.13</x:v>
      </x:c>
      <x:c r="G70" s="32"/>
      <x:c r="I70" t="s">
        <x:v>271</x:v>
      </x:c>
    </x:row>
    <x:row r="71">
      <x:c r="A71" t="s">
        <x:v>295</x:v>
      </x:c>
      <x:c r="B71" s="18">
        <x:v>46203</x:v>
      </x:c>
      <x:c r="C71" s="59" t="s">
        <x:v>268</x:v>
      </x:c>
      <x:c r="D71" s="1" t="n">
        <x:f>Inputs!G116</x:f>
        <x:v>-0.28</x:v>
      </x:c>
      <x:c r="E71" s="20" t="n">
        <x:f>D71</x:f>
        <x:v>-0.28</x:v>
      </x:c>
      <x:c r="F71" s="20" t="n">
        <x:f>(D71+E71)/2</x:f>
        <x:v>-0.28</x:v>
      </x:c>
      <x:c r="G71" s="32"/>
      <x:c r="I71" t="s">
        <x:v>271</x:v>
      </x:c>
    </x:row>
  </x:sheetData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Views>
    <x:sheetView showGridLines="0" workbookViewId="0"/>
  </x:sheetViews>
  <x:sheetFormatPr defaultColWidth="8.42578125" defaultRowHeight="15"/>
  <x:cols>
    <x:col min="1" max="1" width="34" customWidth="1"/>
    <x:col min="2" max="2" width="65" hidden="0" customWidth="1"/>
    <x:col min="3" max="3" width="25" customWidth="1"/>
    <x:col min="4" max="4" width="81" customWidth="1"/>
    <x:col min="5" max="5" width="85" customWidth="1"/>
    <x:col min="6" max="7" width="13" customWidth="1"/>
  </x:cols>
  <x:sheetData>
    <x:row r="1">
      <x:c r="A1" s="6" t="s">
        <x:v>0</x:v>
      </x:c>
      <x:c r="B1" s="6"/>
      <x:c r="C1" s="6"/>
      <x:c r="D1" s="6"/>
      <x:c r="E1" s="6"/>
      <x:c r="F1" s="6"/>
      <x:c r="G1" s="6"/>
    </x:row>
    <x:row r="2">
      <x:c r="A2" s="6" t="s">
        <x:v>296</x:v>
      </x:c>
      <x:c r="B2" s="6"/>
      <x:c r="C2" s="6"/>
      <x:c r="D2" s="6"/>
      <x:c r="E2" s="6"/>
      <x:c r="F2" s="6"/>
      <x:c r="G2" s="6"/>
    </x:row>
    <x:row r="3">
      <x:c r="A3" s="6" t="s">
        <x:v>3</x:v>
      </x:c>
      <x:c r="B3" s="6"/>
      <x:c r="C3" s="6"/>
      <x:c r="D3" s="6"/>
      <x:c r="E3" s="6"/>
      <x:c r="F3" s="6"/>
      <x:c r="G3" s="6"/>
    </x:row>
    <x:row r="4">
      <x:c r="A4" s="4" t="s">
        <x:v>4</x:v>
      </x:c>
      <x:c r="B4" s="55" t="s">
        <x:v>5</x:v>
      </x:c>
      <x:c r="C4" s="55" t="s">
        <x:v>6</x:v>
      </x:c>
      <x:c r="D4" s="55" t="s">
        <x:v>7</x:v>
      </x:c>
      <x:c r="E4" s="55" t="s">
        <x:v>8</x:v>
      </x:c>
      <x:c r="F4" s="55" t="s">
        <x:v>9</x:v>
      </x:c>
      <x:c r="G4" s="55" t="s">
        <x:v>10</x:v>
      </x:c>
    </x:row>
    <x:row r="5">
      <x:c r="A5" s="4" t="s">
        <x:v>11</x:v>
      </x:c>
      <x:c r="B5" s="12">
        <x:v>45900</x:v>
      </x:c>
      <x:c r="C5" s="12">
        <x:v>45991</x:v>
      </x:c>
      <x:c r="D5" s="12">
        <x:v>45991</x:v>
      </x:c>
      <x:c r="E5" s="12">
        <x:v>46081</x:v>
      </x:c>
      <x:c r="F5" s="12">
        <x:v>46173</x:v>
      </x:c>
      <x:c r="G5" s="12">
        <x:v>46265</x:v>
      </x:c>
    </x:row>
    <x:row r="6">
      <x:c r="A6" s="4" t="s">
        <x:v>12</x:v>
      </x:c>
      <x:c r="B6" s="4">
        <x:v>92</x:v>
      </x:c>
      <x:c r="C6" s="4">
        <x:v>91</x:v>
      </x:c>
      <x:c r="D6" s="4">
        <x:v>365</x:v>
      </x:c>
      <x:c r="E6" s="4">
        <x:v>90</x:v>
      </x:c>
      <x:c r="F6" s="4">
        <x:v>92</x:v>
      </x:c>
      <x:c r="G6" s="4">
        <x:v>92</x:v>
      </x:c>
    </x:row>
    <x:row r="7">
      <x:c r="A7" s="7"/>
      <x:c r="B7" s="7"/>
      <x:c r="C7" s="7"/>
      <x:c r="D7" s="7"/>
      <x:c r="E7" s="7"/>
      <x:c r="F7" s="7"/>
      <x:c r="G7" s="11"/>
    </x:row>
    <x:row r="8">
      <x:c r="A8" s="7"/>
      <x:c r="B8" s="2"/>
      <x:c r="C8" s="2"/>
      <x:c r="D8" s="2"/>
      <x:c r="E8" s="2"/>
      <x:c r="F8" s="2"/>
      <x:c r="G8" s="3"/>
    </x:row>
    <x:row r="9">
      <x:c r="A9" s="7" t="s">
        <x:v>297</x:v>
      </x:c>
      <x:c r="B9" s="57" t="s">
        <x:v>298</x:v>
      </x:c>
      <x:c r="C9" s="2" t="s">
        <x:v>299</x:v>
      </x:c>
      <x:c r="D9" s="2" t="s">
        <x:v>300</x:v>
      </x:c>
      <x:c r="E9" s="2" t="s">
        <x:v>301</x:v>
      </x:c>
      <x:c r="F9" s="2"/>
      <x:c r="G9" s="3"/>
    </x:row>
    <x:row r="10">
      <x:c r="A10" s="7" t="s">
        <x:v>302</x:v>
      </x:c>
      <x:c r="B10" s="18">
        <x:v>46203</x:v>
      </x:c>
      <x:c r="C10" s="2" t="s">
        <x:v>303</x:v>
      </x:c>
      <x:c r="D10" s="19" t="s">
        <x:v>304</x:v>
      </x:c>
      <x:c r="E10" s="19" t="s">
        <x:v>305</x:v>
      </x:c>
      <x:c r="F10" s="2"/>
      <x:c r="G10" s="3"/>
    </x:row>
    <x:row r="11">
      <x:c r="A11" s="7" t="s">
        <x:v>306</x:v>
      </x:c>
      <x:c r="B11" s="18">
        <x:v>46111</x:v>
      </x:c>
      <x:c r="C11" s="2" t="s">
        <x:v>303</x:v>
      </x:c>
      <x:c r="D11" s="19" t="s">
        <x:v>307</x:v>
      </x:c>
      <x:c r="E11" s="19" t="s">
        <x:v>308</x:v>
      </x:c>
      <x:c r="F11" s="2"/>
      <x:c r="G11" s="3"/>
    </x:row>
    <x:row r="12">
      <x:c r="A12" s="7" t="s">
        <x:v>309</x:v>
      </x:c>
      <x:c r="B12" s="18">
        <x:v>46042</x:v>
      </x:c>
      <x:c r="C12" s="2" t="s">
        <x:v>310</x:v>
      </x:c>
      <x:c r="D12" s="19" t="s">
        <x:v>311</x:v>
      </x:c>
      <x:c r="E12" s="19" t="s">
        <x:v>312</x:v>
      </x:c>
      <x:c r="F12" s="2"/>
      <x:c r="G12" s="3"/>
    </x:row>
    <x:row r="13">
      <x:c r="A13" s="7" t="s">
        <x:v>313</x:v>
      </x:c>
      <x:c r="B13" s="18">
        <x:v>45929</x:v>
      </x:c>
      <x:c r="C13" s="2" t="s">
        <x:v>314</x:v>
      </x:c>
      <x:c r="D13" s="19" t="s">
        <x:v>315</x:v>
      </x:c>
      <x:c r="E13" s="19" t="s">
        <x:v>316</x:v>
      </x:c>
      <x:c r="F13" s="2"/>
      <x:c r="G13" s="3"/>
    </x:row>
    <x:row r="14">
      <x:c r="A14" s="7" t="s">
        <x:v>317</x:v>
      </x:c>
      <x:c r="B14" s="18">
        <x:v>46203</x:v>
      </x:c>
      <x:c r="C14" s="2" t="s">
        <x:v>318</x:v>
      </x:c>
      <x:c r="D14" s="19" t="s">
        <x:v>319</x:v>
      </x:c>
      <x:c r="E14" s="19" t="s">
        <x:v>320</x:v>
      </x:c>
      <x:c r="F14" s="2"/>
      <x:c r="G14" s="3"/>
    </x:row>
    <x:row r="15">
      <x:c r="A15" s="7" t="s">
        <x:v>321</x:v>
      </x:c>
      <x:c r="B15" s="18">
        <x:v>46111</x:v>
      </x:c>
      <x:c r="C15" s="2" t="s">
        <x:v>322</x:v>
      </x:c>
      <x:c r="D15" s="19" t="s">
        <x:v>323</x:v>
      </x:c>
      <x:c r="E15" s="19" t="s">
        <x:v>324</x:v>
      </x:c>
      <x:c r="F15" s="2"/>
      <x:c r="G15" s="3"/>
    </x:row>
    <x:row r="16">
      <x:c r="A16" s="7" t="s">
        <x:v>325</x:v>
      </x:c>
      <x:c r="B16" s="18">
        <x:v>46042</x:v>
      </x:c>
      <x:c r="C16" s="2" t="s">
        <x:v>326</x:v>
      </x:c>
      <x:c r="D16" s="19" t="s">
        <x:v>327</x:v>
      </x:c>
      <x:c r="E16" s="19" t="s">
        <x:v>328</x:v>
      </x:c>
      <x:c r="F16" s="2"/>
      <x:c r="G16" s="3"/>
    </x:row>
    <x:row r="17">
      <x:c r="A17" s="7" t="s">
        <x:v>329</x:v>
      </x:c>
      <x:c r="B17" s="18">
        <x:v>45929</x:v>
      </x:c>
      <x:c r="C17" s="2" t="s">
        <x:v>330</x:v>
      </x:c>
      <x:c r="D17" s="19" t="s">
        <x:v>331</x:v>
      </x:c>
      <x:c r="E17" s="19" t="s">
        <x:v>332</x:v>
      </x:c>
      <x:c r="F17" s="2"/>
      <x:c r="G17" s="3"/>
    </x:row>
    <x:row r="18">
      <x:c r="A18" s="7" t="s">
        <x:v>333</x:v>
      </x:c>
      <x:c r="B18" s="18">
        <x:v>46203</x:v>
      </x:c>
      <x:c r="C18" s="2" t="s">
        <x:v>334</x:v>
      </x:c>
      <x:c r="D18" s="19" t="s">
        <x:v>335</x:v>
      </x:c>
      <x:c r="E18" s="19" t="s">
        <x:v>336</x:v>
      </x:c>
      <x:c r="F18" s="2"/>
      <x:c r="G18" s="3"/>
    </x:row>
    <x:row r="19">
      <x:c r="A19" s="7" t="s">
        <x:v>337</x:v>
      </x:c>
      <x:c r="B19" s="18">
        <x:v>46225</x:v>
      </x:c>
      <x:c r="C19" s="2" t="s">
        <x:v>338</x:v>
      </x:c>
      <x:c r="D19" s="19" t="s">
        <x:v>339</x:v>
      </x:c>
      <x:c r="E19" s="19" t="s">
        <x:v>340</x:v>
      </x:c>
      <x:c r="F19" s="2"/>
      <x:c r="G19" s="3"/>
    </x:row>
    <x:row r="20">
      <x:c r="A20" s="7" t="s">
        <x:v>341</x:v>
      </x:c>
      <x:c r="B20" s="18">
        <x:v>46281</x:v>
      </x:c>
      <x:c r="C20" s="2" t="s">
        <x:v>342</x:v>
      </x:c>
      <x:c r="D20" s="19" t="s">
        <x:v>343</x:v>
      </x:c>
      <x:c r="E20" s="19" t="s">
        <x:v>344</x:v>
      </x:c>
      <x:c r="F20" s="2"/>
      <x:c r="G20" s="3"/>
    </x:row>
    <x:row r="21">
      <x:c r="A21" s="7" t="s">
        <x:v>345</x:v>
      </x:c>
      <x:c r="B21" s="18">
        <x:v>46290</x:v>
      </x:c>
      <x:c r="C21" s="2" t="s">
        <x:v>346</x:v>
      </x:c>
      <x:c r="D21" s="19" t="s">
        <x:v>347</x:v>
      </x:c>
      <x:c r="E21" s="19" t="s">
        <x:v>348</x:v>
      </x:c>
      <x:c r="F21" s="2"/>
      <x:c r="G21" s="3"/>
    </x:row>
    <x:row r="22">
      <x:c r="A22" s="7" t="s">
        <x:v>349</x:v>
      </x:c>
      <x:c r="B22" s="18">
        <x:v>46290</x:v>
      </x:c>
      <x:c r="C22" s="2" t="s">
        <x:v>350</x:v>
      </x:c>
      <x:c r="D22" s="19" t="s">
        <x:v>351</x:v>
      </x:c>
      <x:c r="E22" s="19" t="s">
        <x:v>352</x:v>
      </x:c>
      <x:c r="F22" s="2"/>
      <x:c r="G22" s="3"/>
    </x:row>
    <x:row r="23">
      <x:c r="A23" s="7" t="s">
        <x:v>353</x:v>
      </x:c>
      <x:c r="B23" s="18">
        <x:v>46203</x:v>
      </x:c>
      <x:c r="C23" s="2" t="s">
        <x:v>354</x:v>
      </x:c>
      <x:c r="D23" s="19" t="s">
        <x:v>355</x:v>
      </x:c>
      <x:c r="E23" s="19" t="s">
        <x:v>356</x:v>
      </x:c>
      <x:c r="F23" s="2"/>
      <x:c r="G23" s="3"/>
    </x:row>
    <x:row r="24">
      <x:c r="A24" s="7" t="s">
        <x:v>357</x:v>
      </x:c>
      <x:c r="B24" s="60" t="s">
        <x:v>358</x:v>
      </x:c>
      <x:c r="C24" s="2" t="s">
        <x:v>359</x:v>
      </x:c>
      <x:c r="D24" s="19" t="s">
        <x:v>360</x:v>
      </x:c>
      <x:c r="E24" s="19" t="s">
        <x:v>361</x:v>
      </x:c>
      <x:c r="F24" s="2"/>
      <x:c r="G24" s="3"/>
    </x:row>
    <x:row r="25">
      <x:c r="A25" s="7" t="s">
        <x:v>362</x:v>
      </x:c>
      <x:c r="B25" s="60" t="s">
        <x:v>363</x:v>
      </x:c>
      <x:c r="C25" s="2" t="s">
        <x:v>359</x:v>
      </x:c>
      <x:c r="D25" s="19" t="s">
        <x:v>364</x:v>
      </x:c>
      <x:c r="E25" s="19" t="s">
        <x:v>365</x:v>
      </x:c>
      <x:c r="F25" s="2"/>
      <x:c r="G25" s="3"/>
    </x:row>
    <x:row r="26">
      <x:c r="A26" s="7" t="s">
        <x:v>366</x:v>
      </x:c>
      <x:c r="B26" s="18">
        <x:v>46203</x:v>
      </x:c>
      <x:c r="C26" s="2" t="s">
        <x:v>367</x:v>
      </x:c>
      <x:c r="D26" s="19" t="s">
        <x:v>304</x:v>
      </x:c>
      <x:c r="E26" s="19" t="s">
        <x:v>368</x:v>
      </x:c>
      <x:c r="F26" s="2"/>
      <x:c r="G26" s="3"/>
    </x:row>
    <x:row r="27">
      <x:c r="A27" s="7" t="s">
        <x:v>366</x:v>
      </x:c>
      <x:c r="B27" s="18">
        <x:v>46294</x:v>
      </x:c>
      <x:c r="C27" s="2" t="s">
        <x:v>369</x:v>
      </x:c>
      <x:c r="D27" s="19" t="s">
        <x:v>370</x:v>
      </x:c>
      <x:c r="E27" s="19" t="s">
        <x:v>371</x:v>
      </x:c>
      <x:c r="F27" s="2"/>
      <x:c r="G27" s="3"/>
    </x:row>
    <x:row r="28">
      <x:c r="A28" s="7" t="s">
        <x:v>372</x:v>
      </x:c>
      <x:c r="B28" s="18">
        <x:v>45929</x:v>
      </x:c>
      <x:c r="C28" s="2" t="s">
        <x:v>373</x:v>
      </x:c>
      <x:c r="D28" s="19" t="s">
        <x:v>374</x:v>
      </x:c>
      <x:c r="E28" s="19" t="s">
        <x:v>375</x:v>
      </x:c>
      <x:c r="F28" s="2"/>
      <x:c r="G28" s="3"/>
    </x:row>
    <x:row r="31" ht="48" customHeight="1">
      <x:c r="B31" s="61" t="str">
        <x:v>Review limitations and retained assumptions</x:v>
      </x:c>
    </x:row>
    <x:row r="32" ht="48" customHeight="1">
      <x:c r="B32" s="61" t="str">
        <x:v>F01: Forecast weighted shares are hardcoded and exceed both opening and closing shares in the workbook's own rollforward. Confirm whether Inputs row 138 is period-end or cover-page (filing-date) share counts. Then either time-weight G124 from the rollforward, or document why 41.6 / 42.0 (e.g., the FY26 guided 42.2–42.4 diluted) overrides the buyback. Do not overwrite the published forecast.</x:v>
      </x:c>
    </x:row>
    <x:row r="33" ht="48" customHeight="1">
      <x:c r="B33" s="61" t="str">
        <x:v>F02: Fixed per-share non-GAAP tax adjustment implies ~21.0% non-GAAP tax rate vs 20% guided. Document which basis is intended (issuer per-share adjustment vs guided 20% rate). Any change is a judgmental assumption for a new revision, not an audit patch.</x:v>
      </x:c>
    </x:row>
    <x:row r="34" ht="48" customHeight="1">
      <x:c r="B34" s="61" t="str">
        <x:v>F03: Normalization addbacks are share-derived and not linked to the GAAP expense lines; Guidance sheet back-derives 'guidance' from model inputs. Hardcode issuer guidance per-share values in Guidance!D67:E71 from source S05. Have Inputs reference Guidance, not the reverse. Add a note that SBC addback and GAAP SBC in opex are separately assumed.</x:v>
      </x:c>
    </x:row>
    <x:row r="35" ht="48" customHeight="1">
      <x:c r="B35" s="61" t="str">
        <x:v>F04: YTD-derived quarterly cash-flow amortization disagrees with IS intangible amortization. Re-derive the Q3/Q4 FY25 CF amortization from the 6M and 9M FY25 10-Q cash flow statements, or document the non-intangible component. Do not force equality without the source.</x:v>
      </x:c>
    </x:row>
    <x:row r="36" ht="48" customHeight="1">
      <x:c r="B36" s="61" t="str">
        <x:v>F05: Residual rows display constructed zeros as if reported data. Label rows 13/20/23 as 'residual (derived)'. Show row 21 historical cells as unavailable, or populate them from source rather than displaying constructed zeros.</x:v>
      </x:c>
    </x:row>
    <x:row r="37" ht="48" customHeight="1">
      <x:c r="B37" s="61" t="str">
        <x:v>F06: Overall PASS check is largely tautological and omits the substantive reconciliations. Replace the self-referential terms with the substantive checks listed, e.g. AND(MAX(ABS(IS!B55:F55)) &lt; 0.001, AND(IS!B127:F128), AND(RevSum!B180:F180), ...).</x:v>
      </x:c>
    </x:row>
    <x:row r="38" ht="48" customHeight="1">
      <x:c r="B38" s="61" t="str">
        <x:v>F07: Size-aware calibration: arithmetic verified, but bucket, cohort prior, S&amp;P membership and adjustment are unsupported. Cite the market-cap threshold and cohort-prior source, add S&amp;P index membership evidence (or mark it unavailable), document B79's basis, and reconcile the B72 / A73 dates.</x:v>
      </x:c>
    </x:row>
    <x:row r="39" ht="48" customHeight="1">
      <x:c r="B39" s="61" t="str">
        <x:v>F08: CapIQ consensus mean sits below issuer guidance low despite the July 22 update. Flag consensus staleness in the Cover confidence notes. Do not alter the consensus data.</x:v>
      </x:c>
    </x:row>
    <x:row r="40" ht="48" customHeight="1">
      <x:c r="B40" s="61" t="str">
        <x:v>F09: 'Guidance midpoint' net income uses the model's share count, not issuer guidance. Relabel E11 and E13 as 'Guided EPS midpoint × model diluted shares', or leave them blank. Note the July 22 update beside E12.</x:v>
      </x:c>
    </x:row>
    <x:row r="41" ht="48" customHeight="1">
      <x:c r="B41" s="61" t="str">
        <x:v>F10: 2Q26 GAAP EPS guidance range is identical to the 3Q26 range. Verify D22:E22 against S06 (Q1 FY26 release).</x:v>
      </x:c>
    </x:row>
    <x:row r="42" ht="48" customHeight="1">
      <x:c r="B42" s="61" t="str">
        <x:v>F18: IFERROR(...,0) converts a missing or zero base into a displayed 0% Y/Y change. Use IFERROR(...,"n/a") or a NA() display.</x:v>
      </x:c>
    </x:row>
    <x:row r="44" ht="48" customHeight="1">
      <x:c r="B44" s="61" t="str">
        <x:v>These review findings document limitations. Safe mechanical patches were applied. Judgmental forecast drivers remain as generated before results and are not hindsight-adjusted. The final beat probability is a judgmental estimate, not a calibrated accuracy claim or EPS multiplier.</x:v>
      </x:c>
    </x:row>
  </x:sheetData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Views>
    <x:sheetView showGridLines="0" workbookViewId="0"/>
  </x:sheetViews>
  <x:sheetFormatPr defaultColWidth="8.42578125" defaultRowHeight="15"/>
  <x:cols>
    <x:col min="1" max="1" width="34" customWidth="1"/>
    <x:col min="2" max="7" width="13" customWidth="1"/>
    <x:col min="8" max="8" width="43" customWidth="1"/>
    <x:col min="9" max="9" width="21" customWidth="1"/>
    <x:col min="10" max="10" width="78" customWidth="1"/>
    <x:col min="11" max="13" width="13" customWidth="1"/>
  </x:cols>
  <x:sheetData>
    <x:row r="1">
      <x:c r="A1" s="6" t="s">
        <x:v>0</x:v>
      </x:c>
      <x:c r="B1" s="6"/>
      <x:c r="C1" s="6"/>
      <x:c r="D1" s="6"/>
      <x:c r="E1" s="6"/>
      <x:c r="F1" s="6"/>
      <x:c r="G1" s="6"/>
    </x:row>
    <x:row r="2">
      <x:c r="A2" s="6" t="s">
        <x:v>376</x:v>
      </x:c>
      <x:c r="B2" s="6"/>
      <x:c r="C2" s="6"/>
      <x:c r="D2" s="6"/>
      <x:c r="E2" s="6"/>
      <x:c r="F2" s="6"/>
      <x:c r="G2" s="6"/>
    </x:row>
    <x:row r="3">
      <x:c r="A3" s="6" t="s">
        <x:v>3</x:v>
      </x:c>
      <x:c r="B3" s="6"/>
      <x:c r="C3" s="6"/>
      <x:c r="D3" s="6"/>
      <x:c r="E3" s="6"/>
      <x:c r="F3" s="6"/>
      <x:c r="G3" s="6"/>
    </x:row>
    <x:row r="4">
      <x:c r="A4" s="4" t="s">
        <x:v>4</x:v>
      </x:c>
      <x:c r="B4" s="55" t="s">
        <x:v>5</x:v>
      </x:c>
      <x:c r="C4" s="55" t="s">
        <x:v>6</x:v>
      </x:c>
      <x:c r="D4" s="55" t="s">
        <x:v>7</x:v>
      </x:c>
      <x:c r="E4" s="55" t="s">
        <x:v>8</x:v>
      </x:c>
      <x:c r="F4" s="55" t="s">
        <x:v>9</x:v>
      </x:c>
      <x:c r="G4" s="55" t="s">
        <x:v>10</x:v>
      </x:c>
    </x:row>
    <x:row r="5">
      <x:c r="A5" s="4" t="s">
        <x:v>11</x:v>
      </x:c>
      <x:c r="B5" s="12">
        <x:v>45900</x:v>
      </x:c>
      <x:c r="C5" s="12">
        <x:v>45991</x:v>
      </x:c>
      <x:c r="D5" s="12">
        <x:v>45991</x:v>
      </x:c>
      <x:c r="E5" s="12">
        <x:v>46081</x:v>
      </x:c>
      <x:c r="F5" s="12">
        <x:v>46173</x:v>
      </x:c>
      <x:c r="G5" s="12">
        <x:v>46265</x:v>
      </x:c>
    </x:row>
    <x:row r="6">
      <x:c r="A6" s="4" t="s">
        <x:v>12</x:v>
      </x:c>
      <x:c r="B6" s="4">
        <x:v>92</x:v>
      </x:c>
      <x:c r="C6" s="4">
        <x:v>91</x:v>
      </x:c>
      <x:c r="D6" s="4">
        <x:v>365</x:v>
      </x:c>
      <x:c r="E6" s="4">
        <x:v>90</x:v>
      </x:c>
      <x:c r="F6" s="4">
        <x:v>92</x:v>
      </x:c>
      <x:c r="G6" s="4">
        <x:v>92</x:v>
      </x:c>
    </x:row>
    <x:row r="7">
      <x:c r="A7" s="7"/>
      <x:c r="B7" s="7"/>
      <x:c r="C7" s="7"/>
      <x:c r="D7" s="7"/>
      <x:c r="E7" s="7"/>
      <x:c r="F7" s="7"/>
      <x:c r="G7" s="11"/>
    </x:row>
    <x:row r="8">
      <x:c r="A8" s="7"/>
      <x:c r="B8" s="2"/>
      <x:c r="C8" s="2"/>
      <x:c r="D8" s="2"/>
      <x:c r="E8" s="2"/>
      <x:c r="F8" s="2"/>
      <x:c r="G8" s="3"/>
    </x:row>
    <x:row r="9">
      <x:c r="A9" s="7" t="s">
        <x:v>377</x:v>
      </x:c>
      <x:c r="B9" s="2"/>
      <x:c r="C9" s="2"/>
      <x:c r="D9" s="2"/>
      <x:c r="E9" s="2"/>
      <x:c r="F9" s="2"/>
      <x:c r="G9" s="3"/>
    </x:row>
    <x:row r="10">
      <x:c r="A10" s="7" t="s">
        <x:v>378</x:v>
      </x:c>
      <x:c r="B10" s="57" t="s">
        <x:v>379</x:v>
      </x:c>
      <x:c r="C10" s="57" t="s">
        <x:v>380</x:v>
      </x:c>
      <x:c r="D10" s="57" t="s">
        <x:v>381</x:v>
      </x:c>
      <x:c r="E10" s="57" t="s">
        <x:v>382</x:v>
      </x:c>
      <x:c r="F10" s="57" t="s">
        <x:v>383</x:v>
      </x:c>
      <x:c r="G10" s="58" t="s">
        <x:v>384</x:v>
      </x:c>
      <x:c r="H10" s="59" t="str">
        <x:v>report_date</x:v>
      </x:c>
      <x:c r="I10" s="59" t="s">
        <x:v>385</x:v>
      </x:c>
    </x:row>
    <x:row r="11">
      <x:c r="A11" s="18">
        <x:v>45716</x:v>
      </x:c>
      <x:c r="B11" s="63">
        <x:v>1.06</x:v>
      </x:c>
      <x:c r="C11" s="63">
        <x:v>1.31</x:v>
      </x:c>
      <x:c r="D11" s="63">
        <x:v>0.04</x:v>
      </x:c>
      <x:c r="E11" s="63">
        <x:v>0.24</x:v>
      </x:c>
      <x:c r="F11" s="26">
        <x:v>235.64</x:v>
      </x:c>
      <x:c r="G11" s="48">
        <x:v>238.02</x:v>
      </x:c>
      <x:c r="H11" s="18">
        <x:v>45747</x:v>
      </x:c>
      <x:c r="I11" s="7" t="n">
        <x:f>C11-B11</x:f>
        <x:v>0.25</x:v>
      </x:c>
    </x:row>
    <x:row r="12">
      <x:c r="A12" s="18">
        <x:v>45808</x:v>
      </x:c>
      <x:c r="B12" s="63">
        <x:v>1.3</x:v>
      </x:c>
      <x:c r="C12" s="63">
        <x:v>1.4</x:v>
      </x:c>
      <x:c r="D12" s="63">
        <x:v>0.28</x:v>
      </x:c>
      <x:c r="E12" s="63">
        <x:v>0.39</x:v>
      </x:c>
      <x:c r="F12" s="26">
        <x:v>237.23</x:v>
      </x:c>
      <x:c r="G12" s="48">
        <x:v>237.36</x:v>
      </x:c>
      <x:c r="H12" s="18">
        <x:v>45838</x:v>
      </x:c>
      <x:c r="I12" s="7" t="n">
        <x:f>C12-B12</x:f>
        <x:v>0.09999999999999987</x:v>
      </x:c>
    </x:row>
    <x:row r="13">
      <x:c r="A13" s="18">
        <x:v>45900</x:v>
      </x:c>
      <x:c r="B13" s="63">
        <x:v>1.3</x:v>
      </x:c>
      <x:c r="C13" s="63">
        <x:v>1.5</x:v>
      </x:c>
      <x:c r="D13" s="63">
        <x:v>0.33</x:v>
      </x:c>
      <x:c r="E13" s="63">
        <x:v>0.44</x:v>
      </x:c>
      <x:c r="F13" s="26">
        <x:v>240.11</x:v>
      </x:c>
      <x:c r="G13" s="48">
        <x:v>249.8</x:v>
      </x:c>
      <x:c r="H13" s="18">
        <x:v>45929</x:v>
      </x:c>
      <x:c r="I13" s="7" t="n">
        <x:f>C13-B13</x:f>
        <x:v>0.19999999999999996</x:v>
      </x:c>
    </x:row>
    <x:row r="14">
      <x:c r="A14" s="18">
        <x:v>45991</x:v>
      </x:c>
      <x:c r="B14" s="63">
        <x:v>1.31</x:v>
      </x:c>
      <x:c r="C14" s="63">
        <x:v>1.51</x:v>
      </x:c>
      <x:c r="D14" s="63">
        <x:v>0.32</x:v>
      </x:c>
      <x:c r="E14" s="63">
        <x:v>0.59</x:v>
      </x:c>
      <x:c r="F14" s="26">
        <x:v>252.86</x:v>
      </x:c>
      <x:c r="G14" s="48">
        <x:v>252.67</x:v>
      </x:c>
      <x:c r="H14" s="18">
        <x:v>46042</x:v>
      </x:c>
      <x:c r="I14" s="7" t="n">
        <x:f>C14-B14</x:f>
        <x:v>0.19999999999999996</x:v>
      </x:c>
    </x:row>
    <x:row r="15">
      <x:c r="A15" s="18">
        <x:v>46081</x:v>
      </x:c>
      <x:c r="B15" s="63">
        <x:v>1.57</x:v>
      </x:c>
      <x:c r="C15" s="63">
        <x:v>1.6</x:v>
      </x:c>
      <x:c r="D15" s="63">
        <x:v>0.51</x:v>
      </x:c>
      <x:c r="E15" s="63">
        <x:v>0.53</x:v>
      </x:c>
      <x:c r="F15" s="26">
        <x:v>246.4</x:v>
      </x:c>
      <x:c r="G15" s="48">
        <x:v>247.8</x:v>
      </x:c>
      <x:c r="H15" s="18">
        <x:v>46111</x:v>
      </x:c>
      <x:c r="I15" s="7" t="n">
        <x:f>C15-B15</x:f>
        <x:v>0.030000000000000027</x:v>
      </x:c>
    </x:row>
    <x:row r="16">
      <x:c r="A16" s="18">
        <x:v>46173</x:v>
      </x:c>
      <x:c r="B16" s="63">
        <x:v>1.49</x:v>
      </x:c>
      <x:c r="C16" s="63">
        <x:v>1.62</x:v>
      </x:c>
      <x:c r="D16" s="63">
        <x:v>0.39</x:v>
      </x:c>
      <x:c r="E16" s="63">
        <x:v>0.5</x:v>
      </x:c>
      <x:c r="F16" s="26">
        <x:v>242.74</x:v>
      </x:c>
      <x:c r="G16" s="48">
        <x:v>253.47</x:v>
      </x:c>
      <x:c r="H16" s="18">
        <x:v>46203</x:v>
      </x:c>
      <x:c r="I16" s="7" t="n">
        <x:f>C16-B16</x:f>
        <x:v>0.13000000000000012</x:v>
      </x:c>
    </x:row>
    <x:row r="17">
      <x:c r="A17" s="7"/>
      <x:c r="B17" s="2"/>
      <x:c r="C17" s="2"/>
      <x:c r="D17" s="2"/>
      <x:c r="E17" s="2"/>
      <x:c r="F17" s="2"/>
      <x:c r="G17" s="3"/>
    </x:row>
    <x:row r="18">
      <x:c r="A18" s="7"/>
      <x:c r="B18" s="2"/>
      <x:c r="C18" s="2"/>
      <x:c r="D18" s="2"/>
      <x:c r="E18" s="2"/>
      <x:c r="F18" s="2"/>
      <x:c r="G18" s="3"/>
    </x:row>
    <x:row r="19">
      <x:c r="A19" s="7" t="s">
        <x:v>386</x:v>
      </x:c>
      <x:c r="B19" s="57" t="s">
        <x:v>387</x:v>
      </x:c>
      <x:c r="C19" s="2"/>
      <x:c r="D19" s="2"/>
      <x:c r="E19" s="2"/>
      <x:c r="F19" s="2"/>
      <x:c r="G19" s="3"/>
      <x:c r="J19" t="s">
        <x:v>388</x:v>
      </x:c>
    </x:row>
    <x:row r="20">
      <x:c r="A20" s="7" t="s">
        <x:v>389</x:v>
      </x:c>
      <x:c r="B20" s="2" t="s">
        <x:v>390</x:v>
      </x:c>
      <x:c r="C20" s="2"/>
      <x:c r="D20" s="2"/>
      <x:c r="E20" s="2"/>
      <x:c r="F20" s="2"/>
      <x:c r="G20" s="3"/>
    </x:row>
    <x:row r="21">
      <x:c r="A21" s="7" t="s">
        <x:v>391</x:v>
      </x:c>
      <x:c r="B21" s="2" t="s">
        <x:v>0</x:v>
      </x:c>
      <x:c r="C21" s="2"/>
      <x:c r="D21" s="2"/>
      <x:c r="E21" s="2"/>
      <x:c r="F21" s="2"/>
      <x:c r="G21" s="3"/>
    </x:row>
    <x:row r="22">
      <x:c r="A22" s="7" t="s">
        <x:v>392</x:v>
      </x:c>
      <x:c r="B22" s="2" t="s">
        <x:v>393</x:v>
      </x:c>
      <x:c r="C22" s="2"/>
      <x:c r="D22" s="2"/>
      <x:c r="E22" s="2"/>
      <x:c r="F22" s="2"/>
      <x:c r="G22" s="3"/>
    </x:row>
    <x:row r="23">
      <x:c r="A23" s="7" t="s">
        <x:v>394</x:v>
      </x:c>
      <x:c r="B23" s="26">
        <x:v>33351</x:v>
      </x:c>
      <x:c r="C23" s="2"/>
      <x:c r="D23" s="2"/>
      <x:c r="E23" s="2"/>
      <x:c r="F23" s="2"/>
      <x:c r="G23" s="3"/>
    </x:row>
    <x:row r="24">
      <x:c r="A24" s="7" t="s">
        <x:v>395</x:v>
      </x:c>
      <x:c r="B24" s="26">
        <x:v>6</x:v>
      </x:c>
      <x:c r="C24" s="2"/>
      <x:c r="D24" s="2"/>
      <x:c r="E24" s="2"/>
      <x:c r="F24" s="2"/>
      <x:c r="G24" s="3"/>
    </x:row>
    <x:row r="25">
      <x:c r="A25" s="7" t="s">
        <x:v>396</x:v>
      </x:c>
      <x:c r="B25" s="2" t="s">
        <x:v>397</x:v>
      </x:c>
      <x:c r="C25" s="2"/>
      <x:c r="D25" s="2"/>
      <x:c r="E25" s="2"/>
      <x:c r="F25" s="2"/>
      <x:c r="G25" s="3"/>
    </x:row>
    <x:row r="26">
      <x:c r="A26" s="7" t="s">
        <x:v>398</x:v>
      </x:c>
      <x:c r="B26" s="2" t="s">
        <x:v>399</x:v>
      </x:c>
      <x:c r="C26" s="2"/>
      <x:c r="D26" s="2"/>
      <x:c r="E26" s="2"/>
      <x:c r="F26" s="2"/>
      <x:c r="G26" s="3"/>
    </x:row>
    <x:row r="27">
      <x:c r="A27" s="7" t="s">
        <x:v>378</x:v>
      </x:c>
      <x:c r="B27" s="62">
        <x:v>46265</x:v>
      </x:c>
      <x:c r="C27" s="2"/>
      <x:c r="D27" s="2"/>
      <x:c r="E27" s="2"/>
      <x:c r="F27" s="2"/>
      <x:c r="G27" s="3"/>
    </x:row>
    <x:row r="28">
      <x:c r="A28" s="7" t="s">
        <x:v>400</x:v>
      </x:c>
      <x:c r="B28" s="62">
        <x:v>46295</x:v>
      </x:c>
      <x:c r="C28" s="2"/>
      <x:c r="D28" s="2"/>
      <x:c r="E28" s="2"/>
      <x:c r="F28" s="2"/>
      <x:c r="G28" s="3"/>
    </x:row>
    <x:row r="29">
      <x:c r="A29" s="7" t="s">
        <x:v>401</x:v>
      </x:c>
      <x:c r="B29" s="26">
        <x:v>1.52</x:v>
      </x:c>
      <x:c r="C29" s="2"/>
      <x:c r="D29" s="2"/>
      <x:c r="E29" s="2"/>
      <x:c r="F29" s="2"/>
      <x:c r="G29" s="3"/>
    </x:row>
    <x:row r="30">
      <x:c r="A30" s="7" t="s">
        <x:v>402</x:v>
      </x:c>
      <x:c r="B30" s="26">
        <x:v>1.54</x:v>
      </x:c>
      <x:c r="C30" s="2"/>
      <x:c r="D30" s="2"/>
      <x:c r="E30" s="2"/>
      <x:c r="F30" s="2"/>
      <x:c r="G30" s="3"/>
    </x:row>
    <x:row r="31">
      <x:c r="A31" s="7" t="s">
        <x:v>403</x:v>
      </x:c>
      <x:c r="B31" s="26">
        <x:v>1.54</x:v>
      </x:c>
      <x:c r="C31" s="2"/>
      <x:c r="D31" s="2"/>
      <x:c r="E31" s="2"/>
      <x:c r="F31" s="2"/>
      <x:c r="G31" s="3"/>
    </x:row>
    <x:row r="32">
      <x:c r="A32" s="7" t="s">
        <x:v>404</x:v>
      </x:c>
      <x:c r="B32" s="26">
        <x:v>1.45</x:v>
      </x:c>
      <x:c r="C32" s="2"/>
      <x:c r="D32" s="2"/>
      <x:c r="E32" s="2"/>
      <x:c r="F32" s="2"/>
      <x:c r="G32" s="3"/>
    </x:row>
    <x:row r="33">
      <x:c r="A33" s="7" t="s">
        <x:v>405</x:v>
      </x:c>
      <x:c r="B33" s="26">
        <x:v>0.04</x:v>
      </x:c>
      <x:c r="C33" s="2"/>
      <x:c r="D33" s="2"/>
      <x:c r="E33" s="2"/>
      <x:c r="F33" s="2"/>
      <x:c r="G33" s="3"/>
    </x:row>
    <x:row r="34">
      <x:c r="A34" s="7" t="s">
        <x:v>406</x:v>
      </x:c>
      <x:c r="B34" s="26">
        <x:v>4</x:v>
      </x:c>
      <x:c r="C34" s="2"/>
      <x:c r="D34" s="2"/>
      <x:c r="E34" s="2"/>
      <x:c r="F34" s="2"/>
      <x:c r="G34" s="3"/>
    </x:row>
    <x:row r="35">
      <x:c r="A35" s="7" t="s">
        <x:v>407</x:v>
      </x:c>
      <x:c r="B35" s="2"/>
      <x:c r="C35" s="2"/>
      <x:c r="D35" s="2"/>
      <x:c r="E35" s="2"/>
      <x:c r="F35" s="2"/>
      <x:c r="G35" s="3"/>
    </x:row>
    <x:row r="36">
      <x:c r="A36" s="7" t="s">
        <x:v>408</x:v>
      </x:c>
      <x:c r="B36" s="26">
        <x:v>1.53</x:v>
      </x:c>
      <x:c r="C36" s="2"/>
      <x:c r="D36" s="2"/>
      <x:c r="E36" s="2"/>
      <x:c r="F36" s="2"/>
      <x:c r="G36" s="3"/>
    </x:row>
    <x:row r="37">
      <x:c r="A37" s="7" t="s">
        <x:v>409</x:v>
      </x:c>
      <x:c r="B37" s="26">
        <x:v>1.59</x:v>
      </x:c>
      <x:c r="C37" s="2"/>
      <x:c r="D37" s="2"/>
      <x:c r="E37" s="2"/>
      <x:c r="F37" s="2"/>
      <x:c r="G37" s="3"/>
    </x:row>
    <x:row r="38">
      <x:c r="A38" s="7" t="s">
        <x:v>410</x:v>
      </x:c>
      <x:c r="B38" s="26">
        <x:v>0.39</x:v>
      </x:c>
      <x:c r="C38" s="2"/>
      <x:c r="D38" s="2"/>
      <x:c r="E38" s="2"/>
      <x:c r="F38" s="2"/>
      <x:c r="G38" s="3"/>
    </x:row>
    <x:row r="39">
      <x:c r="A39" s="7" t="s">
        <x:v>411</x:v>
      </x:c>
      <x:c r="B39" s="26">
        <x:v>0.38</x:v>
      </x:c>
      <x:c r="C39" s="2"/>
      <x:c r="D39" s="2"/>
      <x:c r="E39" s="2"/>
      <x:c r="F39" s="2"/>
      <x:c r="G39" s="3"/>
    </x:row>
    <x:row r="40">
      <x:c r="A40" s="7" t="s">
        <x:v>412</x:v>
      </x:c>
      <x:c r="B40" s="26">
        <x:v>0.42</x:v>
      </x:c>
      <x:c r="C40" s="2"/>
      <x:c r="D40" s="2"/>
      <x:c r="E40" s="2"/>
      <x:c r="F40" s="2"/>
      <x:c r="G40" s="3"/>
    </x:row>
    <x:row r="41">
      <x:c r="A41" s="7" t="s">
        <x:v>413</x:v>
      </x:c>
      <x:c r="B41" s="26">
        <x:v>0.38</x:v>
      </x:c>
      <x:c r="C41" s="2"/>
      <x:c r="D41" s="2"/>
      <x:c r="E41" s="2"/>
      <x:c r="F41" s="2"/>
      <x:c r="G41" s="3"/>
    </x:row>
    <x:row r="42">
      <x:c r="A42" s="7" t="s">
        <x:v>414</x:v>
      </x:c>
      <x:c r="B42" s="26">
        <x:v>0.02</x:v>
      </x:c>
      <x:c r="C42" s="2"/>
      <x:c r="D42" s="2"/>
      <x:c r="E42" s="2"/>
      <x:c r="F42" s="2"/>
      <x:c r="G42" s="3"/>
    </x:row>
    <x:row r="43">
      <x:c r="A43" s="7" t="s">
        <x:v>415</x:v>
      </x:c>
      <x:c r="B43" s="26">
        <x:v>3</x:v>
      </x:c>
      <x:c r="C43" s="2"/>
      <x:c r="D43" s="2"/>
      <x:c r="E43" s="2"/>
      <x:c r="F43" s="2"/>
      <x:c r="G43" s="3"/>
    </x:row>
    <x:row r="44">
      <x:c r="A44" s="7" t="s">
        <x:v>416</x:v>
      </x:c>
      <x:c r="B44" s="26">
        <x:v>0.35</x:v>
      </x:c>
      <x:c r="C44" s="2"/>
      <x:c r="D44" s="2"/>
      <x:c r="E44" s="2"/>
      <x:c r="F44" s="2"/>
      <x:c r="G44" s="3"/>
    </x:row>
    <x:row r="45">
      <x:c r="A45" s="7" t="s">
        <x:v>417</x:v>
      </x:c>
      <x:c r="B45" s="26">
        <x:v>0.41</x:v>
      </x:c>
      <x:c r="C45" s="2"/>
      <x:c r="D45" s="2"/>
      <x:c r="E45" s="2"/>
      <x:c r="F45" s="2"/>
      <x:c r="G45" s="3"/>
    </x:row>
    <x:row r="46">
      <x:c r="A46" s="7" t="s">
        <x:v>418</x:v>
      </x:c>
      <x:c r="B46" s="26">
        <x:v>247.59</x:v>
      </x:c>
      <x:c r="C46" s="2"/>
      <x:c r="D46" s="2"/>
      <x:c r="E46" s="2"/>
      <x:c r="F46" s="2"/>
      <x:c r="G46" s="3"/>
    </x:row>
    <x:row r="47">
      <x:c r="A47" s="7" t="s">
        <x:v>419</x:v>
      </x:c>
      <x:c r="B47" s="26">
        <x:v>247.2</x:v>
      </x:c>
      <x:c r="C47" s="2"/>
      <x:c r="D47" s="2"/>
      <x:c r="E47" s="2"/>
      <x:c r="F47" s="2"/>
      <x:c r="G47" s="3"/>
    </x:row>
    <x:row r="48">
      <x:c r="A48" s="7" t="s">
        <x:v>420</x:v>
      </x:c>
      <x:c r="B48" s="26">
        <x:v>249.8</x:v>
      </x:c>
      <x:c r="C48" s="2"/>
      <x:c r="D48" s="2"/>
      <x:c r="E48" s="2"/>
      <x:c r="F48" s="2"/>
      <x:c r="G48" s="3"/>
    </x:row>
    <x:row r="49">
      <x:c r="A49" s="7" t="s">
        <x:v>421</x:v>
      </x:c>
      <x:c r="B49" s="26">
        <x:v>245.42</x:v>
      </x:c>
      <x:c r="C49" s="2"/>
      <x:c r="D49" s="2"/>
      <x:c r="E49" s="2"/>
      <x:c r="F49" s="2"/>
      <x:c r="G49" s="3"/>
    </x:row>
    <x:row r="50">
      <x:c r="A50" s="7" t="s">
        <x:v>422</x:v>
      </x:c>
      <x:c r="B50" s="26">
        <x:v>1.41</x:v>
      </x:c>
      <x:c r="C50" s="2"/>
      <x:c r="D50" s="2"/>
      <x:c r="E50" s="2"/>
      <x:c r="F50" s="2"/>
      <x:c r="G50" s="3"/>
    </x:row>
    <x:row r="51">
      <x:c r="A51" s="7" t="s">
        <x:v>423</x:v>
      </x:c>
      <x:c r="B51" s="26">
        <x:v>6</x:v>
      </x:c>
      <x:c r="C51" s="2"/>
      <x:c r="D51" s="2"/>
      <x:c r="E51" s="2"/>
      <x:c r="F51" s="2"/>
      <x:c r="G51" s="3"/>
    </x:row>
    <x:row r="52">
      <x:c r="A52" s="7" t="s">
        <x:v>424</x:v>
      </x:c>
      <x:c r="B52" s="26">
        <x:v>244</x:v>
      </x:c>
      <x:c r="C52" s="2"/>
      <x:c r="D52" s="2"/>
      <x:c r="E52" s="2"/>
      <x:c r="F52" s="2"/>
      <x:c r="G52" s="3"/>
    </x:row>
    <x:row r="53">
      <x:c r="A53" s="7" t="s">
        <x:v>425</x:v>
      </x:c>
      <x:c r="B53" s="26">
        <x:v>250</x:v>
      </x:c>
      <x:c r="C53" s="2"/>
      <x:c r="D53" s="2"/>
      <x:c r="E53" s="2"/>
      <x:c r="F53" s="2"/>
      <x:c r="G53" s="3"/>
    </x:row>
    <x:row r="54">
      <x:c r="A54" s="7" t="s">
        <x:v>426</x:v>
      </x:c>
      <x:c r="B54" s="26">
        <x:v>96.7</x:v>
      </x:c>
      <x:c r="C54" s="2"/>
      <x:c r="D54" s="2"/>
      <x:c r="E54" s="2"/>
      <x:c r="F54" s="2"/>
      <x:c r="G54" s="3"/>
    </x:row>
    <x:row r="55">
      <x:c r="A55" s="7" t="s">
        <x:v>427</x:v>
      </x:c>
      <x:c r="B55" s="26">
        <x:v>95.31</x:v>
      </x:c>
      <x:c r="C55" s="2"/>
      <x:c r="D55" s="2"/>
      <x:c r="E55" s="2"/>
      <x:c r="F55" s="2"/>
      <x:c r="G55" s="3"/>
    </x:row>
    <x:row r="56">
      <x:c r="A56" s="7" t="s">
        <x:v>428</x:v>
      </x:c>
      <x:c r="B56" s="26">
        <x:v>63.25</x:v>
      </x:c>
      <x:c r="C56" s="2"/>
      <x:c r="D56" s="2"/>
      <x:c r="E56" s="2"/>
      <x:c r="F56" s="2"/>
      <x:c r="G56" s="3"/>
    </x:row>
    <x:row r="57">
      <x:c r="A57" s="7" t="s">
        <x:v>429</x:v>
      </x:c>
      <x:c r="B57" s="26">
        <x:v>15.88</x:v>
      </x:c>
      <x:c r="C57" s="2"/>
      <x:c r="D57" s="2"/>
      <x:c r="E57" s="2"/>
      <x:c r="F57" s="2"/>
      <x:c r="G57" s="3"/>
    </x:row>
    <x:row r="58">
      <x:c r="A58" s="7" t="s">
        <x:v>430</x:v>
      </x:c>
      <x:c r="B58" s="52">
        <x:v>85.57</x:v>
      </x:c>
      <x:c r="C58" s="2"/>
      <x:c r="D58" s="2"/>
      <x:c r="E58" s="2"/>
      <x:c r="F58" s="2"/>
      <x:c r="G58" s="3"/>
      <x:c r="J58" t="s">
        <x:v>431</x:v>
      </x:c>
    </x:row>
    <x:row r="59">
      <x:c r="A59" s="7" t="s">
        <x:v>432</x:v>
      </x:c>
      <x:c r="B59" s="52">
        <x:v>20</x:v>
      </x:c>
      <x:c r="C59" s="2"/>
      <x:c r="D59" s="2"/>
      <x:c r="E59" s="2"/>
      <x:c r="F59" s="2"/>
      <x:c r="G59" s="3"/>
      <x:c r="J59" t="s">
        <x:v>433</x:v>
      </x:c>
    </x:row>
    <x:row r="60">
      <x:c r="A60" s="7" t="s">
        <x:v>434</x:v>
      </x:c>
      <x:c r="B60" s="26">
        <x:v>-1.4</x:v>
      </x:c>
      <x:c r="C60" s="2"/>
      <x:c r="D60" s="2"/>
      <x:c r="E60" s="2"/>
      <x:c r="F60" s="2"/>
      <x:c r="G60" s="3"/>
    </x:row>
    <x:row r="61">
      <x:c r="A61" s="7" t="s">
        <x:v>435</x:v>
      </x:c>
      <x:c r="B61" s="26">
        <x:v>55.9</x:v>
      </x:c>
      <x:c r="C61" s="2"/>
      <x:c r="D61" s="2"/>
      <x:c r="E61" s="2"/>
      <x:c r="F61" s="2"/>
      <x:c r="G61" s="3"/>
    </x:row>
    <x:row r="62">
      <x:c r="A62" s="7" t="s">
        <x:v>436</x:v>
      </x:c>
      <x:c r="B62" s="26">
        <x:v>57.3</x:v>
      </x:c>
      <x:c r="C62" s="2"/>
      <x:c r="D62" s="2"/>
      <x:c r="E62" s="2"/>
      <x:c r="F62" s="2"/>
      <x:c r="G62" s="3"/>
    </x:row>
    <x:row r="63">
      <x:c r="A63" s="7" t="s">
        <x:v>437</x:v>
      </x:c>
      <x:c r="B63" s="26">
        <x:v>39.3</x:v>
      </x:c>
      <x:c r="C63" s="2"/>
      <x:c r="D63" s="2"/>
      <x:c r="E63" s="2"/>
      <x:c r="F63" s="2"/>
      <x:c r="G63" s="3"/>
    </x:row>
    <x:row r="64">
      <x:c r="A64" s="7" t="s">
        <x:v>438</x:v>
      </x:c>
      <x:c r="B64" s="2" t="s">
        <x:v>439</x:v>
      </x:c>
      <x:c r="C64" s="2"/>
      <x:c r="D64" s="2"/>
      <x:c r="E64" s="2"/>
      <x:c r="F64" s="2"/>
      <x:c r="G64" s="3"/>
    </x:row>
    <x:row r="65">
      <x:c r="A65" s="7" t="s">
        <x:v>440</x:v>
      </x:c>
      <x:c r="B65" s="26">
        <x:v>1.33</x:v>
      </x:c>
      <x:c r="C65" s="2"/>
      <x:c r="D65" s="2"/>
      <x:c r="E65" s="2"/>
      <x:c r="F65" s="2"/>
      <x:c r="G65" s="3"/>
    </x:row>
    <x:row r="66">
      <x:c r="A66" s="7" t="s">
        <x:v>441</x:v>
      </x:c>
      <x:c r="B66" s="26">
        <x:v>40.23</x:v>
      </x:c>
      <x:c r="C66" s="2"/>
      <x:c r="D66" s="2"/>
      <x:c r="E66" s="2"/>
      <x:c r="F66" s="2"/>
      <x:c r="G66" s="3"/>
    </x:row>
    <x:row r="67">
      <x:c r="A67" s="7" t="s">
        <x:v>442</x:v>
      </x:c>
      <x:c r="B67" s="2"/>
      <x:c r="C67" s="2"/>
      <x:c r="D67" s="2"/>
      <x:c r="E67" s="2"/>
      <x:c r="F67" s="2"/>
      <x:c r="G67" s="3"/>
      <x:c r="J67" s="36" t="s">
        <x:v>443</x:v>
      </x:c>
    </x:row>
    <x:row r="68">
      <x:c r="A68" s="7"/>
      <x:c r="B68" s="2"/>
      <x:c r="C68" s="2"/>
      <x:c r="D68" s="2"/>
      <x:c r="E68" s="2"/>
      <x:c r="F68" s="2"/>
      <x:c r="G68" s="3"/>
    </x:row>
    <x:row r="69">
      <x:c r="A69" s="7"/>
      <x:c r="B69" s="2"/>
      <x:c r="C69" s="2"/>
      <x:c r="D69" s="2"/>
      <x:c r="E69" s="2"/>
      <x:c r="F69" s="2"/>
      <x:c r="G69" s="3"/>
    </x:row>
    <x:row r="70">
      <x:c r="A70" s="7" t="s">
        <x:v>444</x:v>
      </x:c>
      <x:c r="B70" s="2" t="s">
        <x:v>445</x:v>
      </x:c>
      <x:c r="C70" s="2"/>
      <x:c r="D70" s="2"/>
      <x:c r="E70" s="2"/>
      <x:c r="F70" s="2"/>
      <x:c r="G70" s="3"/>
    </x:row>
    <x:row r="71">
      <x:c r="A71" s="7" t="s">
        <x:v>446</x:v>
      </x:c>
      <x:c r="B71" s="2" t="s">
        <x:v>447</x:v>
      </x:c>
      <x:c r="C71" s="2"/>
      <x:c r="D71" s="2"/>
      <x:c r="E71" s="2"/>
      <x:c r="F71" s="2"/>
      <x:c r="G71" s="3"/>
    </x:row>
    <x:row r="72">
      <x:c r="A72" s="7" t="s">
        <x:v>448</x:v>
      </x:c>
      <x:c r="B72" s="62">
        <x:v>46289</x:v>
      </x:c>
      <x:c r="C72" s="2"/>
      <x:c r="D72" s="2"/>
      <x:c r="E72" s="2"/>
      <x:c r="F72" s="2"/>
      <x:c r="G72" s="3"/>
    </x:row>
    <x:row r="73">
      <x:c r="A73" s="7" t="s">
        <x:v>449</x:v>
      </x:c>
      <x:c r="B73" s="26">
        <x:v>1610</x:v>
      </x:c>
      <x:c r="C73" s="2"/>
      <x:c r="D73" s="2"/>
      <x:c r="E73" s="2"/>
      <x:c r="F73" s="2"/>
      <x:c r="G73" s="3"/>
    </x:row>
    <x:row r="74">
      <x:c r="A74" s="7" t="s">
        <x:v>450</x:v>
      </x:c>
      <x:c r="B74" s="27">
        <x:v>0.6</x:v>
      </x:c>
      <x:c r="C74" s="2"/>
      <x:c r="D74" s="2"/>
      <x:c r="E74" s="2"/>
      <x:c r="F74" s="2"/>
      <x:c r="G74" s="3"/>
    </x:row>
    <x:row r="75">
      <x:c r="A75" s="7" t="s">
        <x:v>451</x:v>
      </x:c>
      <x:c r="B75" s="26">
        <x:v>8</x:v>
      </x:c>
      <x:c r="C75" s="2"/>
      <x:c r="D75" s="2"/>
      <x:c r="E75" s="2"/>
      <x:c r="F75" s="2"/>
      <x:c r="G75" s="3"/>
    </x:row>
    <x:row r="76">
      <x:c r="A76" s="7" t="s">
        <x:v>452</x:v>
      </x:c>
      <x:c r="B76" s="2" t="n">
        <x:f>COUNTIF(I11:I16,"&gt;0")</x:f>
        <x:v>6</x:v>
      </x:c>
      <x:c r="C76" s="2"/>
      <x:c r="D76" s="2"/>
      <x:c r="E76" s="2"/>
      <x:c r="F76" s="2"/>
      <x:c r="G76" s="3"/>
    </x:row>
    <x:row r="77">
      <x:c r="A77" s="7" t="s">
        <x:v>453</x:v>
      </x:c>
      <x:c r="B77" s="2" t="n">
        <x:f>COUNT(I11:I16)</x:f>
        <x:v>6</x:v>
      </x:c>
      <x:c r="C77" s="2"/>
      <x:c r="D77" s="2"/>
      <x:c r="E77" s="2"/>
      <x:c r="F77" s="2"/>
      <x:c r="G77" s="3"/>
    </x:row>
    <x:row r="78">
      <x:c r="A78" s="7" t="s">
        <x:v>454</x:v>
      </x:c>
      <x:c r="B78" s="30" t="n">
        <x:f>(B74*B75+B76)/(B75+B77)</x:f>
        <x:v>0.7714285714285715</x:v>
      </x:c>
      <x:c r="C78" s="2"/>
      <x:c r="D78" s="2"/>
      <x:c r="E78" s="2"/>
      <x:c r="F78" s="2"/>
      <x:c r="G78" s="3"/>
    </x:row>
    <x:row r="79">
      <x:c r="A79" s="7" t="s">
        <x:v>455</x:v>
      </x:c>
      <x:c r="B79" s="27">
        <x:v>0.0228571428571428</x:v>
      </x:c>
      <x:c r="C79" s="2"/>
      <x:c r="D79" s="2"/>
      <x:c r="E79" s="2"/>
      <x:c r="F79" s="2"/>
      <x:c r="G79" s="3"/>
    </x:row>
    <x:row r="80">
      <x:c r="A80" s="7" t="s">
        <x:v>456</x:v>
      </x:c>
      <x:c r="B80" s="30" t="n">
        <x:f>B78+B79</x:f>
        <x:v>0.7942857142857143</x:v>
      </x:c>
      <x:c r="C80" s="2"/>
      <x:c r="D80" s="2"/>
      <x:c r="E80" s="2"/>
      <x:c r="F80" s="2"/>
      <x:c r="G80" s="3"/>
    </x:row>
    <x:row r="81">
      <x:c r="A81" s="7"/>
      <x:c r="B81" s="2"/>
      <x:c r="C81" s="2"/>
      <x:c r="D81" s="2"/>
      <x:c r="E81" s="2"/>
      <x:c r="F81" s="2"/>
      <x:c r="G81" s="3"/>
    </x:row>
    <x:row r="82">
      <x:c r="A82" s="7"/>
      <x:c r="B82" s="2"/>
      <x:c r="C82" s="2"/>
      <x:c r="D82" s="2"/>
      <x:c r="E82" s="2"/>
      <x:c r="F82" s="2"/>
      <x:c r="G82" s="3"/>
    </x:row>
    <x:row r="83">
      <x:c r="A83" s="7"/>
      <x:c r="B83" s="2"/>
      <x:c r="C83" s="2"/>
      <x:c r="D83" s="2"/>
      <x:c r="E83" s="2"/>
      <x:c r="F83" s="2"/>
      <x:c r="G83" s="3"/>
    </x:row>
    <x:row r="84">
      <x:c r="A84" s="7"/>
      <x:c r="B84" s="2"/>
      <x:c r="C84" s="2"/>
      <x:c r="D84" s="2"/>
      <x:c r="E84" s="2"/>
      <x:c r="F84" s="2"/>
      <x:c r="G84" s="3"/>
    </x:row>
    <x:row r="85">
      <x:c r="A85" s="7"/>
      <x:c r="B85" s="2"/>
      <x:c r="C85" s="2"/>
      <x:c r="D85" s="2"/>
      <x:c r="E85" s="2"/>
      <x:c r="F85" s="2"/>
      <x:c r="G85" s="3"/>
    </x:row>
    <x:row r="86">
      <x:c r="A86" s="7"/>
      <x:c r="B86" s="2"/>
      <x:c r="C86" s="2"/>
      <x:c r="D86" s="2"/>
      <x:c r="E86" s="2"/>
      <x:c r="F86" s="2"/>
      <x:c r="G86" s="3"/>
    </x:row>
    <x:row r="87">
      <x:c r="A87" s="7"/>
      <x:c r="B87" s="2"/>
      <x:c r="C87" s="2"/>
      <x:c r="D87" s="2"/>
      <x:c r="E87" s="2"/>
      <x:c r="F87" s="2"/>
      <x:c r="G87" s="3"/>
    </x:row>
    <x:row r="88">
      <x:c r="A88" s="7"/>
      <x:c r="B88" s="2"/>
      <x:c r="C88" s="2"/>
      <x:c r="D88" s="2"/>
      <x:c r="E88" s="2"/>
      <x:c r="F88" s="2"/>
      <x:c r="G88" s="3"/>
    </x:row>
    <x:row r="89">
      <x:c r="A89" s="7"/>
      <x:c r="B89" s="2"/>
      <x:c r="C89" s="2"/>
      <x:c r="D89" s="2"/>
      <x:c r="E89" s="2"/>
      <x:c r="F89" s="2"/>
      <x:c r="G89" s="3"/>
    </x:row>
    <x:row r="90">
      <x:c r="A90" s="7"/>
      <x:c r="B90" s="2"/>
      <x:c r="C90" s="2"/>
      <x:c r="D90" s="2"/>
      <x:c r="E90" s="2"/>
      <x:c r="F90" s="2"/>
      <x:c r="G90" s="3"/>
    </x:row>
    <x:row r="91">
      <x:c r="A91" s="7" t="s">
        <x:v>457</x:v>
      </x:c>
      <x:c r="B91" s="26">
        <x:v>63.437</x:v>
      </x:c>
      <x:c r="C91" s="26">
        <x:v>65.21</x:v>
      </x:c>
      <x:c r="D91" s="26">
        <x:v>237.887</x:v>
      </x:c>
      <x:c r="E91" s="26">
        <x:v>67.581</x:v>
      </x:c>
      <x:c r="F91" s="26">
        <x:v>68.979</x:v>
      </x:c>
      <x:c r="G91" s="9" t="n">
        <x:f>'Revenue summary'!G101</x:f>
        <x:v>65.6</x:v>
      </x:c>
    </x:row>
    <x:row r="92">
      <x:c r="A92" s="7" t="s">
        <x:v>458</x:v>
      </x:c>
      <x:c r="B92" s="2" t="n">
        <x:f>B91</x:f>
        <x:v>63.437</x:v>
      </x:c>
      <x:c r="C92" s="2" t="n">
        <x:f>C91</x:f>
        <x:v>65.21</x:v>
      </x:c>
      <x:c r="D92" s="2" t="n">
        <x:f>D91</x:f>
        <x:v>237.887</x:v>
      </x:c>
      <x:c r="E92" s="2" t="n">
        <x:f>E91</x:f>
        <x:v>67.581</x:v>
      </x:c>
      <x:c r="F92" s="2" t="n">
        <x:f>F91</x:f>
        <x:v>68.979</x:v>
      </x:c>
      <x:c r="G92" s="3" t="n">
        <x:f>G91</x:f>
        <x:v>65.6</x:v>
      </x:c>
    </x:row>
    <x:row r="93">
      <x:c r="A93" s="7" t="s">
        <x:v>459</x:v>
      </x:c>
      <x:c r="B93" s="26">
        <x:v>104.849</x:v>
      </x:c>
      <x:c r="C93" s="26">
        <x:v>102.299</x:v>
      </x:c>
      <x:c r="D93" s="26">
        <x:v>410.174</x:v>
      </x:c>
      <x:c r="E93" s="26">
        <x:v>100.339</x:v>
      </x:c>
      <x:c r="F93" s="26">
        <x:v>101.222</x:v>
      </x:c>
      <x:c r="G93" s="9" t="n">
        <x:f>'Revenue summary'!G113</x:f>
        <x:v>102.5</x:v>
      </x:c>
    </x:row>
    <x:row r="94">
      <x:c r="A94" s="7" t="s">
        <x:v>460</x:v>
      </x:c>
      <x:c r="B94" s="26">
        <x:v>71.512</x:v>
      </x:c>
      <x:c r="C94" s="26">
        <x:v>74.901</x:v>
      </x:c>
      <x:c r="D94" s="26">
        <x:v>287.928</x:v>
      </x:c>
      <x:c r="E94" s="26">
        <x:v>70.461</x:v>
      </x:c>
      <x:c r="F94" s="26">
        <x:v>73.005</x:v>
      </x:c>
      <x:c r="G94" s="9" t="n">
        <x:f>'Revenue summary'!G125</x:f>
        <x:v>73.19999999999999</x:v>
      </x:c>
    </x:row>
    <x:row r="95">
      <x:c r="A95" s="7" t="s">
        <x:v>461</x:v>
      </x:c>
      <x:c r="B95" s="26">
        <x:v>9.997</x:v>
      </x:c>
      <x:c r="C95" s="26">
        <x:v>10.256</x:v>
      </x:c>
      <x:c r="D95" s="26">
        <x:v>41.842</x:v>
      </x:c>
      <x:c r="E95" s="26">
        <x:v>9.418</x:v>
      </x:c>
      <x:c r="F95" s="26">
        <x:v>10.259</x:v>
      </x:c>
      <x:c r="G95" s="9" t="n">
        <x:f>'Revenue summary'!G137</x:f>
        <x:v>10.1</x:v>
      </x:c>
    </x:row>
    <x:row r="96">
      <x:c r="A96" s="10" t="s">
        <x:v>462</x:v>
      </x:c>
      <x:c r="B96" s="13"/>
      <x:c r="C96" s="13"/>
      <x:c r="D96" s="13"/>
      <x:c r="E96" s="13"/>
      <x:c r="F96" s="13"/>
      <x:c r="G96" s="17" t="n">
        <x:f>SUM(G93:G94)</x:f>
        <x:v>175.7</x:v>
      </x:c>
    </x:row>
    <x:row r="97">
      <x:c r="A97" s="10" t="s">
        <x:v>463</x:v>
      </x:c>
      <x:c r="B97" s="13" t="n">
        <x:f>SUM(B93:B95)</x:f>
        <x:v>186.358</x:v>
      </x:c>
      <x:c r="C97" s="13" t="n">
        <x:f>SUM(C93:C95)</x:f>
        <x:v>187.456</x:v>
      </x:c>
      <x:c r="D97" s="13" t="n">
        <x:f>SUM(D93:D95)</x:f>
        <x:v>739.944</x:v>
      </x:c>
      <x:c r="E97" s="13" t="n">
        <x:f>SUM(E93:E95)</x:f>
        <x:v>180.21800000000002</x:v>
      </x:c>
      <x:c r="F97" s="13" t="n">
        <x:f>SUM(F93:F95)</x:f>
        <x:v>184.486</x:v>
      </x:c>
      <x:c r="G97" s="17" t="n">
        <x:f>SUM(G93:G95)</x:f>
        <x:v>185.79999999999998</x:v>
      </x:c>
    </x:row>
    <x:row r="98">
      <x:c r="A98" s="7"/>
      <x:c r="B98" s="2"/>
      <x:c r="C98" s="2"/>
      <x:c r="D98" s="2"/>
      <x:c r="E98" s="2"/>
      <x:c r="F98" s="2"/>
      <x:c r="G98" s="3"/>
    </x:row>
    <x:row r="99">
      <x:c r="A99" s="7"/>
      <x:c r="B99" s="2"/>
      <x:c r="C99" s="2"/>
      <x:c r="D99" s="2"/>
      <x:c r="E99" s="2"/>
      <x:c r="F99" s="2"/>
      <x:c r="G99" s="3"/>
    </x:row>
    <x:row r="100">
      <x:c r="A100" s="7"/>
      <x:c r="B100" s="2"/>
      <x:c r="C100" s="2"/>
      <x:c r="D100" s="2"/>
      <x:c r="E100" s="2"/>
      <x:c r="F100" s="2"/>
      <x:c r="G100" s="3"/>
    </x:row>
    <x:row r="101">
      <x:c r="A101" s="7"/>
      <x:c r="B101" s="2"/>
      <x:c r="C101" s="2"/>
      <x:c r="D101" s="2"/>
      <x:c r="E101" s="2"/>
      <x:c r="F101" s="2"/>
      <x:c r="G101" s="3"/>
    </x:row>
    <x:row r="102">
      <x:c r="A102" s="7" t="s">
        <x:v>119</x:v>
      </x:c>
      <x:c r="B102" s="26">
        <x:v>2.833</x:v>
      </x:c>
      <x:c r="C102" s="26">
        <x:v>3.86</x:v>
      </x:c>
      <x:c r="D102" s="26">
        <x:v>12.605</x:v>
      </x:c>
      <x:c r="E102" s="26">
        <x:v>3.013</x:v>
      </x:c>
      <x:c r="F102" s="26">
        <x:v>3.675</x:v>
      </x:c>
      <x:c r="G102" s="48">
        <x:v>3.55</x:v>
      </x:c>
    </x:row>
    <x:row r="103">
      <x:c r="A103" s="7" t="s">
        <x:v>464</x:v>
      </x:c>
      <x:c r="B103" s="26">
        <x:v>33.919</x:v>
      </x:c>
      <x:c r="C103" s="26">
        <x:v>33.183</x:v>
      </x:c>
      <x:c r="D103" s="26">
        <x:v>133.75</x:v>
      </x:c>
      <x:c r="E103" s="26">
        <x:v>32.1</x:v>
      </x:c>
      <x:c r="F103" s="26">
        <x:v>32.259</x:v>
      </x:c>
      <x:c r="G103" s="48">
        <x:v>32</x:v>
      </x:c>
    </x:row>
    <x:row r="104">
      <x:c r="A104" s="7" t="s">
        <x:v>465</x:v>
      </x:c>
      <x:c r="B104" s="26">
        <x:v>10.784</x:v>
      </x:c>
      <x:c r="C104" s="26">
        <x:v>9.483</x:v>
      </x:c>
      <x:c r="D104" s="26">
        <x:v>41.226</x:v>
      </x:c>
      <x:c r="E104" s="26">
        <x:v>8.751</x:v>
      </x:c>
      <x:c r="F104" s="26">
        <x:v>8.938</x:v>
      </x:c>
      <x:c r="G104" s="48">
        <x:v>8.7</x:v>
      </x:c>
    </x:row>
    <x:row r="105">
      <x:c r="A105" s="7" t="s">
        <x:v>125</x:v>
      </x:c>
      <x:c r="B105" s="26">
        <x:v>51.85</x:v>
      </x:c>
      <x:c r="C105" s="26">
        <x:v>58.19</x:v>
      </x:c>
      <x:c r="D105" s="26">
        <x:v>211.013</x:v>
      </x:c>
      <x:c r="E105" s="26">
        <x:v>51.997</x:v>
      </x:c>
      <x:c r="F105" s="26">
        <x:v>54.341</x:v>
      </x:c>
      <x:c r="G105" s="48">
        <x:v>52.5</x:v>
      </x:c>
    </x:row>
    <x:row r="106">
      <x:c r="A106" s="7" t="s">
        <x:v>126</x:v>
      </x:c>
      <x:c r="B106" s="26">
        <x:v>49.432</x:v>
      </x:c>
      <x:c r="C106" s="26">
        <x:v>49.888</x:v>
      </x:c>
      <x:c r="D106" s="26">
        <x:v>192.265</x:v>
      </x:c>
      <x:c r="E106" s="26">
        <x:v>50.474</x:v>
      </x:c>
      <x:c r="F106" s="26">
        <x:v>48.84</x:v>
      </x:c>
      <x:c r="G106" s="48">
        <x:v>48</x:v>
      </x:c>
    </x:row>
    <x:row r="107">
      <x:c r="A107" s="7" t="s">
        <x:v>127</x:v>
      </x:c>
      <x:c r="B107" s="26">
        <x:v>28.308</x:v>
      </x:c>
      <x:c r="C107" s="26">
        <x:v>28.647</x:v>
      </x:c>
      <x:c r="D107" s="26">
        <x:v>108.215</x:v>
      </x:c>
      <x:c r="E107" s="26">
        <x:v>26.504</x:v>
      </x:c>
      <x:c r="F107" s="26">
        <x:v>32.236</x:v>
      </x:c>
      <x:c r="G107" s="48">
        <x:v>29.7</x:v>
      </x:c>
    </x:row>
    <x:row r="108">
      <x:c r="A108" s="7" t="s">
        <x:v>466</x:v>
      </x:c>
      <x:c r="B108" s="26">
        <x:v>26.415</x:v>
      </x:c>
      <x:c r="C108" s="26">
        <x:v>25.98</x:v>
      </x:c>
      <x:c r="D108" s="26">
        <x:v>104.266</x:v>
      </x:c>
      <x:c r="E108" s="26">
        <x:v>25.617000000000004</x:v>
      </x:c>
      <x:c r="F108" s="26">
        <x:v>26.16699999999999</x:v>
      </x:c>
      <x:c r="G108" s="48">
        <x:v>26.8</x:v>
      </x:c>
    </x:row>
    <x:row r="109">
      <x:c r="A109" s="7" t="s">
        <x:v>467</x:v>
      </x:c>
      <x:c r="B109" s="26">
        <x:v>0.659</x:v>
      </x:c>
      <x:c r="C109" s="26">
        <x:v>0.649</x:v>
      </x:c>
      <x:c r="D109" s="26">
        <x:v>2.775</x:v>
      </x:c>
      <x:c r="E109" s="26">
        <x:v>1.358</x:v>
      </x:c>
      <x:c r="F109" s="26">
        <x:v>1.266</x:v>
      </x:c>
      <x:c r="G109" s="48">
        <x:v>5.46</x:v>
      </x:c>
    </x:row>
    <x:row r="110">
      <x:c r="A110" s="7" t="s">
        <x:v>130</x:v>
      </x:c>
      <x:c r="B110" s="26">
        <x:v>0.907</x:v>
      </x:c>
      <x:c r="C110" s="26">
        <x:v>4.13</x:v>
      </x:c>
      <x:c r="D110" s="26">
        <x:v>13.109</x:v>
      </x:c>
      <x:c r="E110" s="26">
        <x:v>0.706</x:v>
      </x:c>
      <x:c r="F110" s="26">
        <x:v>1.48</x:v>
      </x:c>
      <x:c r="G110" s="48">
        <x:v>0</x:v>
      </x:c>
    </x:row>
    <x:row r="111">
      <x:c r="A111" s="7" t="s">
        <x:v>131</x:v>
      </x:c>
      <x:c r="B111" s="26">
        <x:v>0.814</x:v>
      </x:c>
      <x:c r="C111" s="26">
        <x:v>0.282</x:v>
      </x:c>
      <x:c r="D111" s="26">
        <x:v>5.317</x:v>
      </x:c>
      <x:c r="E111" s="26">
        <x:v>0.814</x:v>
      </x:c>
      <x:c r="F111" s="26">
        <x:v>-0.939</x:v>
      </x:c>
      <x:c r="G111" s="48">
        <x:v>2.94</x:v>
      </x:c>
    </x:row>
    <x:row r="112">
      <x:c r="A112" s="7" t="s">
        <x:v>135</x:v>
      </x:c>
      <x:c r="B112" s="26">
        <x:v>-17.668</x:v>
      </x:c>
      <x:c r="C112" s="26">
        <x:v>-16.118</x:v>
      </x:c>
      <x:c r="D112" s="26">
        <x:v>-71.662</x:v>
      </x:c>
      <x:c r="E112" s="26">
        <x:v>-16.173</x:v>
      </x:c>
      <x:c r="F112" s="26">
        <x:v>-16.362</x:v>
      </x:c>
      <x:c r="G112" s="48">
        <x:v>-15.2</x:v>
      </x:c>
    </x:row>
    <x:row r="113">
      <x:c r="A113" s="7" t="s">
        <x:v>137</x:v>
      </x:c>
      <x:c r="B113" s="26">
        <x:v>6.793</x:v>
      </x:c>
      <x:c r="C113" s="26">
        <x:v>-3.489</x:v>
      </x:c>
      <x:c r="D113" s="26">
        <x:v>8.495</x:v>
      </x:c>
      <x:c r="E113" s="26">
        <x:v>7.479</x:v>
      </x:c>
      <x:c r="F113" s="26">
        <x:v>7.767</x:v>
      </x:c>
      <x:c r="G113" s="9" t="n">
        <x:f>'Income Statement'!G35*G115</x:f>
        <x:v>6.637499999999993</x:v>
      </x:c>
    </x:row>
    <x:row r="114">
      <x:c r="A114" s="7"/>
      <x:c r="B114" s="2"/>
      <x:c r="C114" s="2"/>
      <x:c r="D114" s="2"/>
      <x:c r="E114" s="2"/>
      <x:c r="F114" s="2"/>
      <x:c r="G114" s="3"/>
    </x:row>
    <x:row r="115">
      <x:c r="A115" s="7" t="s">
        <x:v>468</x:v>
      </x:c>
      <x:c r="B115" s="2"/>
      <x:c r="C115" s="2"/>
      <x:c r="D115" s="2"/>
      <x:c r="E115" s="2"/>
      <x:c r="F115" s="2"/>
      <x:c r="G115" s="54">
        <x:v>0.25</x:v>
      </x:c>
    </x:row>
    <x:row r="116">
      <x:c r="A116" s="7" t="s">
        <x:v>469</x:v>
      </x:c>
      <x:c r="B116" s="2"/>
      <x:c r="C116" s="2"/>
      <x:c r="D116" s="2"/>
      <x:c r="E116" s="2"/>
      <x:c r="F116" s="2"/>
      <x:c r="G116" s="51">
        <x:v>-0.28</x:v>
      </x:c>
    </x:row>
    <x:row r="117">
      <x:c r="A117" s="7" t="s">
        <x:v>470</x:v>
      </x:c>
      <x:c r="B117" s="26">
        <x:v>37.199</x:v>
      </x:c>
      <x:c r="C117" s="26">
        <x:v>35.463</x:v>
      </x:c>
      <x:c r="D117" s="26">
        <x:v>145.492</x:v>
      </x:c>
      <x:c r="E117" s="26">
        <x:v>34.368</x:v>
      </x:c>
      <x:c r="F117" s="26">
        <x:v>35.105</x:v>
      </x:c>
      <x:c r="G117" s="3" t="n">
        <x:f>SUM(G104,G108)</x:f>
        <x:v>35.5</x:v>
      </x:c>
    </x:row>
    <x:row r="118">
      <x:c r="A118" s="7" t="s">
        <x:v>471</x:v>
      </x:c>
      <x:c r="B118" s="26">
        <x:v>15.97</x:v>
      </x:c>
      <x:c r="C118" s="26">
        <x:v>17.374</x:v>
      </x:c>
      <x:c r="D118" s="26">
        <x:v>64.768</x:v>
      </x:c>
      <x:c r="E118" s="26">
        <x:v>18.474</x:v>
      </x:c>
      <x:c r="F118" s="26">
        <x:v>20.509</x:v>
      </x:c>
      <x:c r="G118" s="3" t="n">
        <x:f>G125*G129</x:f>
        <x:v>17.22</x:v>
      </x:c>
    </x:row>
    <x:row r="119">
      <x:c r="A119" s="7" t="s">
        <x:v>472</x:v>
      </x:c>
      <x:c r="B119" s="26">
        <x:v>0.907</x:v>
      </x:c>
      <x:c r="C119" s="26">
        <x:v>4.13</x:v>
      </x:c>
      <x:c r="D119" s="26">
        <x:v>13.109</x:v>
      </x:c>
      <x:c r="E119" s="26">
        <x:v>0.706</x:v>
      </x:c>
      <x:c r="F119" s="26">
        <x:v>1.48</x:v>
      </x:c>
      <x:c r="G119" s="3" t="n">
        <x:f>G110</x:f>
        <x:v>0</x:v>
      </x:c>
    </x:row>
    <x:row r="120">
      <x:c r="A120" s="7" t="s">
        <x:v>473</x:v>
      </x:c>
      <x:c r="B120" s="26">
        <x:v>0.814</x:v>
      </x:c>
      <x:c r="C120" s="26">
        <x:v>0.282</x:v>
      </x:c>
      <x:c r="D120" s="26">
        <x:v>5.317</x:v>
      </x:c>
      <x:c r="E120" s="26">
        <x:v>0.814</x:v>
      </x:c>
      <x:c r="F120" s="26">
        <x:v>-0.939</x:v>
      </x:c>
      <x:c r="G120" s="3" t="n">
        <x:f>G111</x:f>
        <x:v>2.94</x:v>
      </x:c>
    </x:row>
    <x:row r="121">
      <x:c r="A121" s="7" t="s">
        <x:v>474</x:v>
      </x:c>
      <x:c r="B121" s="26">
        <x:v>0.659</x:v>
      </x:c>
      <x:c r="C121" s="26">
        <x:v>0.649</x:v>
      </x:c>
      <x:c r="D121" s="26">
        <x:v>2.775</x:v>
      </x:c>
      <x:c r="E121" s="26">
        <x:v>1.358</x:v>
      </x:c>
      <x:c r="F121" s="26">
        <x:v>1.266</x:v>
      </x:c>
      <x:c r="G121" s="3" t="n">
        <x:f>G109</x:f>
        <x:v>5.46</x:v>
      </x:c>
    </x:row>
    <x:row r="122">
      <x:c r="A122" s="7" t="s">
        <x:v>475</x:v>
      </x:c>
      <x:c r="B122" s="26">
        <x:v>-9.239</x:v>
      </x:c>
      <x:c r="C122" s="26">
        <x:v>-18.167</x:v>
      </x:c>
      <x:c r="D122" s="26">
        <x:v>-52.651</x:v>
      </x:c>
      <x:c r="E122" s="26">
        <x:v>-10.233</x:v>
      </x:c>
      <x:c r="F122" s="26">
        <x:v>-10.125</x:v>
      </x:c>
      <x:c r="G122" s="3" t="n">
        <x:f>G116*G125</x:f>
        <x:v>-11.760000000000002</x:v>
      </x:c>
    </x:row>
    <x:row r="123">
      <x:c r="A123" s="7"/>
      <x:c r="B123" s="2"/>
      <x:c r="C123" s="2"/>
      <x:c r="D123" s="2"/>
      <x:c r="E123" s="2"/>
      <x:c r="F123" s="2"/>
      <x:c r="G123" s="3"/>
    </x:row>
    <x:row r="124">
      <x:c r="A124" s="7" t="s">
        <x:v>476</x:v>
      </x:c>
      <x:c r="B124" s="26">
        <x:v>42.988</x:v>
      </x:c>
      <x:c r="C124" s="26">
        <x:v>42.686</x:v>
      </x:c>
      <x:c r="D124" s="26">
        <x:v>42.996</x:v>
      </x:c>
      <x:c r="E124" s="26">
        <x:v>42.155</x:v>
      </x:c>
      <x:c r="F124" s="26">
        <x:v>41.901</x:v>
      </x:c>
      <x:c r="G124" s="48">
        <x:v>41.6</x:v>
      </x:c>
    </x:row>
    <x:row r="125">
      <x:c r="A125" s="7" t="s">
        <x:v>477</x:v>
      </x:c>
      <x:c r="B125" s="26">
        <x:v>43.717</x:v>
      </x:c>
      <x:c r="C125" s="26">
        <x:v>43.314</x:v>
      </x:c>
      <x:c r="D125" s="26">
        <x:v>44.019</x:v>
      </x:c>
      <x:c r="E125" s="26">
        <x:v>42.729</x:v>
      </x:c>
      <x:c r="F125" s="26">
        <x:v>42.31</x:v>
      </x:c>
      <x:c r="G125" s="48">
        <x:v>42</x:v>
      </x:c>
    </x:row>
    <x:row r="126">
      <x:c r="A126" s="7" t="s">
        <x:v>478</x:v>
      </x:c>
      <x:c r="B126" s="26">
        <x:v>65.723</x:v>
      </x:c>
      <x:c r="C126" s="26">
        <x:v>65.476</x:v>
      </x:c>
      <x:c r="D126" s="26">
        <x:v>251.943</x:v>
      </x:c>
      <x:c r="E126" s="26">
        <x:v>68.3</x:v>
      </x:c>
      <x:c r="F126" s="26">
        <x:v>68.369</x:v>
      </x:c>
      <x:c r="G126" s="3"/>
    </x:row>
    <x:row r="127">
      <x:c r="A127" s="10" t="s">
        <x:v>479</x:v>
      </x:c>
      <x:c r="B127" s="53">
        <x:v>249.795</x:v>
      </x:c>
      <x:c r="C127" s="53">
        <x:v>252.666</x:v>
      </x:c>
      <x:c r="D127" s="53">
        <x:v>977.831</x:v>
      </x:c>
      <x:c r="E127" s="53">
        <x:v>247.799</x:v>
      </x:c>
      <x:c r="F127" s="53">
        <x:v>253.465</x:v>
      </x:c>
      <x:c r="G127" s="17" t="n">
        <x:f>SUM(G91,G93:G95)</x:f>
        <x:v>251.39999999999998</x:v>
      </x:c>
    </x:row>
    <x:row r="128">
      <x:c r="A128" s="7"/>
      <x:c r="B128" s="2"/>
      <x:c r="C128" s="2"/>
      <x:c r="D128" s="2"/>
      <x:c r="E128" s="2"/>
      <x:c r="F128" s="2"/>
      <x:c r="G128" s="48"/>
    </x:row>
    <x:row r="129">
      <x:c r="A129" s="7" t="s">
        <x:v>480</x:v>
      </x:c>
      <x:c r="B129" s="2"/>
      <x:c r="C129" s="2"/>
      <x:c r="D129" s="2"/>
      <x:c r="E129" s="2"/>
      <x:c r="F129" s="2"/>
      <x:c r="G129" s="51">
        <x:v>0.41</x:v>
      </x:c>
    </x:row>
    <x:row r="130">
      <x:c r="A130" s="7"/>
      <x:c r="B130" s="2"/>
      <x:c r="C130" s="2"/>
      <x:c r="D130" s="2"/>
      <x:c r="E130" s="2"/>
      <x:c r="F130" s="2"/>
      <x:c r="G130" s="3"/>
    </x:row>
    <x:row r="131">
      <x:c r="A131" s="7"/>
      <x:c r="B131" s="2"/>
      <x:c r="C131" s="2"/>
      <x:c r="D131" s="2"/>
      <x:c r="E131" s="2"/>
      <x:c r="F131" s="2"/>
      <x:c r="G131" s="3"/>
    </x:row>
    <x:row r="132">
      <x:c r="A132" s="7"/>
      <x:c r="B132" s="2"/>
      <x:c r="C132" s="2"/>
      <x:c r="D132" s="2"/>
      <x:c r="E132" s="2"/>
      <x:c r="F132" s="2"/>
      <x:c r="G132" s="3"/>
    </x:row>
    <x:row r="133">
      <x:c r="A133" s="7"/>
      <x:c r="B133" s="2"/>
      <x:c r="C133" s="2"/>
      <x:c r="D133" s="2"/>
      <x:c r="E133" s="2"/>
      <x:c r="F133" s="2"/>
      <x:c r="G133" s="3"/>
    </x:row>
    <x:row r="134">
      <x:c r="A134" s="7" t="s">
        <x:v>481</x:v>
      </x:c>
      <x:c r="B134" s="26">
        <x:v>849</x:v>
      </x:c>
      <x:c r="C134" s="26">
        <x:v>852</x:v>
      </x:c>
      <x:c r="D134" s="2" t="n">
        <x:f>C134</x:f>
        <x:v>852</x:v>
      </x:c>
      <x:c r="E134" s="26">
        <x:v>863</x:v>
      </x:c>
      <x:c r="F134" s="26">
        <x:v>868</x:v>
      </x:c>
      <x:c r="G134" s="3"/>
    </x:row>
    <x:row r="135">
      <x:c r="A135" s="7" t="s">
        <x:v>482</x:v>
      </x:c>
      <x:c r="B135" s="2"/>
      <x:c r="C135" s="2"/>
      <x:c r="D135" s="2"/>
      <x:c r="E135" s="2"/>
      <x:c r="F135" s="2"/>
      <x:c r="G135" s="48">
        <x:v>5</x:v>
      </x:c>
    </x:row>
    <x:row r="136">
      <x:c r="A136" s="7" t="s">
        <x:v>483</x:v>
      </x:c>
      <x:c r="B136" s="27">
        <x:v>1</x:v>
      </x:c>
      <x:c r="C136" s="27">
        <x:v>1</x:v>
      </x:c>
      <x:c r="D136" s="30" t="n">
        <x:f>C136</x:f>
        <x:v>1</x:v>
      </x:c>
      <x:c r="E136" s="27">
        <x:v>1</x:v>
      </x:c>
      <x:c r="F136" s="27">
        <x:v>1</x:v>
      </x:c>
      <x:c r="G136" s="28" t="n">
        <x:f>F136</x:f>
        <x:v>1</x:v>
      </x:c>
    </x:row>
    <x:row r="137">
      <x:c r="A137" s="7" t="s">
        <x:v>484</x:v>
      </x:c>
      <x:c r="B137" s="2"/>
      <x:c r="C137" s="2"/>
      <x:c r="D137" s="2"/>
      <x:c r="E137" s="2"/>
      <x:c r="F137" s="2"/>
      <x:c r="G137" s="48">
        <x:v>0.05</x:v>
      </x:c>
    </x:row>
    <x:row r="138">
      <x:c r="A138" s="7" t="str">
        <x:v>Period-end shares outstanding (millions); FY25 duplicates Q4 closing balance</x:v>
      </x:c>
      <x:c r="B138" s="26">
        <x:v>42.905397</x:v>
      </x:c>
      <x:c r="C138" s="26">
        <x:v>42.3357</x:v>
      </x:c>
      <x:c r="D138" s="2" t="n">
        <x:f>C138</x:f>
        <x:v>42.3357</x:v>
      </x:c>
      <x:c r="E138" s="26">
        <x:v>42.07459</x:v>
      </x:c>
      <x:c r="F138" s="26">
        <x:v>41.311679</x:v>
      </x:c>
      <x:c r="G138" s="3"/>
    </x:row>
    <x:row r="139">
      <x:c r="A139" s="7"/>
      <x:c r="B139" s="2"/>
      <x:c r="C139" s="2"/>
      <x:c r="D139" s="2"/>
      <x:c r="E139" s="2"/>
      <x:c r="F139" s="2"/>
      <x:c r="G139" s="3"/>
    </x:row>
    <x:row r="140">
      <x:c r="A140" s="7"/>
      <x:c r="B140" s="2"/>
      <x:c r="C140" s="2"/>
      <x:c r="D140" s="2"/>
      <x:c r="E140" s="2"/>
      <x:c r="F140" s="2"/>
      <x:c r="G140" s="3"/>
    </x:row>
    <x:row r="141">
      <x:c r="A141" s="7"/>
      <x:c r="B141" s="2"/>
      <x:c r="C141" s="2"/>
      <x:c r="D141" s="2"/>
      <x:c r="E141" s="2"/>
      <x:c r="F141" s="2"/>
      <x:c r="G141" s="3"/>
    </x:row>
    <x:row r="142">
      <x:c r="A142" s="7"/>
      <x:c r="B142" s="2"/>
      <x:c r="C142" s="2"/>
      <x:c r="D142" s="2"/>
      <x:c r="E142" s="2"/>
      <x:c r="F142" s="2"/>
      <x:c r="G142" s="3"/>
    </x:row>
    <x:row r="143">
      <x:c r="A143" s="7"/>
      <x:c r="B143" s="2"/>
      <x:c r="C143" s="2"/>
      <x:c r="D143" s="2"/>
      <x:c r="E143" s="2"/>
      <x:c r="F143" s="2"/>
      <x:c r="G143" s="3"/>
    </x:row>
    <x:row r="144">
      <x:c r="A144" s="7"/>
      <x:c r="B144" s="2"/>
      <x:c r="C144" s="2"/>
      <x:c r="D144" s="2"/>
      <x:c r="E144" s="2"/>
      <x:c r="F144" s="2"/>
      <x:c r="G144" s="3"/>
    </x:row>
    <x:row r="145">
      <x:c r="A145" s="7"/>
      <x:c r="B145" s="2"/>
      <x:c r="C145" s="2"/>
      <x:c r="D145" s="2"/>
      <x:c r="E145" s="2"/>
      <x:c r="F145" s="2"/>
      <x:c r="G145" s="3"/>
    </x:row>
    <x:row r="146">
      <x:c r="A146" s="7"/>
      <x:c r="B146" s="2"/>
      <x:c r="C146" s="2"/>
      <x:c r="D146" s="2"/>
      <x:c r="E146" s="2"/>
      <x:c r="F146" s="2"/>
      <x:c r="G146" s="3"/>
    </x:row>
    <x:row r="147">
      <x:c r="A147" s="7"/>
      <x:c r="B147" s="2"/>
      <x:c r="C147" s="2"/>
      <x:c r="D147" s="2"/>
      <x:c r="E147" s="2"/>
      <x:c r="F147" s="2"/>
      <x:c r="G147" s="3"/>
    </x:row>
    <x:row r="148">
      <x:c r="A148" s="7"/>
      <x:c r="B148" s="2"/>
      <x:c r="C148" s="2"/>
      <x:c r="D148" s="2"/>
      <x:c r="E148" s="2"/>
      <x:c r="F148" s="2"/>
      <x:c r="G148" s="3"/>
    </x:row>
    <x:row r="149">
      <x:c r="A149" s="7"/>
      <x:c r="B149" s="2"/>
      <x:c r="C149" s="2"/>
      <x:c r="D149" s="2"/>
      <x:c r="E149" s="2"/>
      <x:c r="F149" s="2"/>
      <x:c r="G149" s="3"/>
    </x:row>
    <x:row r="150">
      <x:c r="A150" s="7" t="s">
        <x:v>177</x:v>
      </x:c>
      <x:c r="B150" s="26">
        <x:v>99.008</x:v>
      </x:c>
      <x:c r="C150" s="26">
        <x:v>94.807</x:v>
      </x:c>
      <x:c r="D150" s="2" t="n">
        <x:f>C150</x:f>
        <x:v>94.807</x:v>
      </x:c>
      <x:c r="E150" s="26">
        <x:v>113.171</x:v>
      </x:c>
      <x:c r="F150" s="26">
        <x:v>102.978</x:v>
      </x:c>
      <x:c r="G150" s="3"/>
    </x:row>
    <x:row r="151">
      <x:c r="A151" s="7" t="s">
        <x:v>178</x:v>
      </x:c>
      <x:c r="B151" s="26">
        <x:v>151.431</x:v>
      </x:c>
      <x:c r="C151" s="26">
        <x:v>195.783</x:v>
      </x:c>
      <x:c r="D151" s="2" t="n">
        <x:f>C151</x:f>
        <x:v>195.783</x:v>
      </x:c>
      <x:c r="E151" s="26">
        <x:v>147.612</x:v>
      </x:c>
      <x:c r="F151" s="26">
        <x:v>125.209</x:v>
      </x:c>
      <x:c r="G151" s="3"/>
    </x:row>
    <x:row r="152">
      <x:c r="A152" s="7" t="s">
        <x:v>179</x:v>
      </x:c>
      <x:c r="B152" s="26">
        <x:v>35.93</x:v>
      </x:c>
      <x:c r="C152" s="26">
        <x:v>46.599</x:v>
      </x:c>
      <x:c r="D152" s="2" t="n">
        <x:f>C152</x:f>
        <x:v>46.599</x:v>
      </x:c>
      <x:c r="E152" s="26">
        <x:v>40.759</x:v>
      </x:c>
      <x:c r="F152" s="26">
        <x:v>51.297</x:v>
      </x:c>
      <x:c r="G152" s="3"/>
    </x:row>
    <x:row r="153">
      <x:c r="A153" s="7" t="s">
        <x:v>180</x:v>
      </x:c>
      <x:c r="B153" s="26">
        <x:v>49.176</x:v>
      </x:c>
      <x:c r="C153" s="26">
        <x:v>62.776</x:v>
      </x:c>
      <x:c r="D153" s="2" t="n">
        <x:f>C153</x:f>
        <x:v>62.776</x:v>
      </x:c>
      <x:c r="E153" s="26">
        <x:v>68.599</x:v>
      </x:c>
      <x:c r="F153" s="26">
        <x:v>57.018</x:v>
      </x:c>
      <x:c r="G153" s="3"/>
    </x:row>
    <x:row r="154">
      <x:c r="A154" s="7"/>
      <x:c r="B154" s="2"/>
      <x:c r="C154" s="2"/>
      <x:c r="D154" s="2"/>
      <x:c r="E154" s="2"/>
      <x:c r="F154" s="2"/>
      <x:c r="G154" s="3"/>
    </x:row>
    <x:row r="155">
      <x:c r="A155" s="7"/>
      <x:c r="B155" s="2"/>
      <x:c r="C155" s="2"/>
      <x:c r="D155" s="2"/>
      <x:c r="E155" s="2"/>
      <x:c r="F155" s="2"/>
      <x:c r="G155" s="3"/>
    </x:row>
    <x:row r="156">
      <x:c r="A156" s="7" t="s">
        <x:v>182</x:v>
      </x:c>
      <x:c r="B156" s="26">
        <x:v>30.76</x:v>
      </x:c>
      <x:c r="C156" s="26">
        <x:v>29.95</x:v>
      </x:c>
      <x:c r="D156" s="2" t="n">
        <x:f>C156</x:f>
        <x:v>29.95</x:v>
      </x:c>
      <x:c r="E156" s="26">
        <x:v>28.477</x:v>
      </x:c>
      <x:c r="F156" s="26">
        <x:v>44.139</x:v>
      </x:c>
      <x:c r="G156" s="3"/>
    </x:row>
    <x:row r="157">
      <x:c r="A157" s="7" t="s">
        <x:v>183</x:v>
      </x:c>
      <x:c r="B157" s="26">
        <x:v>13.134</x:v>
      </x:c>
      <x:c r="C157" s="26">
        <x:v>13.694</x:v>
      </x:c>
      <x:c r="D157" s="2" t="n">
        <x:f>C157</x:f>
        <x:v>13.694</x:v>
      </x:c>
      <x:c r="E157" s="26">
        <x:v>14.901</x:v>
      </x:c>
      <x:c r="F157" s="26">
        <x:v>14.938</x:v>
      </x:c>
      <x:c r="G157" s="3"/>
    </x:row>
    <x:row r="158">
      <x:c r="A158" s="7" t="s">
        <x:v>184</x:v>
      </x:c>
      <x:c r="B158" s="26">
        <x:v>619.363</x:v>
      </x:c>
      <x:c r="C158" s="26">
        <x:v>584.028</x:v>
      </x:c>
      <x:c r="D158" s="2" t="n">
        <x:f>C158</x:f>
        <x:v>584.028</x:v>
      </x:c>
      <x:c r="E158" s="26">
        <x:v>549.76</x:v>
      </x:c>
      <x:c r="F158" s="26">
        <x:v>514.579</x:v>
      </x:c>
      <x:c r="G158" s="3"/>
    </x:row>
    <x:row r="159">
      <x:c r="A159" s="7" t="s">
        <x:v>185</x:v>
      </x:c>
      <x:c r="B159" s="26">
        <x:v>1309.252</x:v>
      </x:c>
      <x:c r="C159" s="26">
        <x:v>1309.054</x:v>
      </x:c>
      <x:c r="D159" s="2" t="n">
        <x:f>C159</x:f>
        <x:v>1309.054</x:v>
      </x:c>
      <x:c r="E159" s="26">
        <x:v>1309.07</x:v>
      </x:c>
      <x:c r="F159" s="26">
        <x:v>1309.75</x:v>
      </x:c>
      <x:c r="G159" s="3"/>
    </x:row>
    <x:row r="160">
      <x:c r="A160" s="7" t="s">
        <x:v>186</x:v>
      </x:c>
      <x:c r="B160" s="26">
        <x:v>27.727</x:v>
      </x:c>
      <x:c r="C160" s="26">
        <x:v>25.842</x:v>
      </x:c>
      <x:c r="D160" s="2" t="n">
        <x:f>C160</x:f>
        <x:v>25.842</x:v>
      </x:c>
      <x:c r="E160" s="26">
        <x:v>30.595</x:v>
      </x:c>
      <x:c r="F160" s="26">
        <x:v>31.526</x:v>
      </x:c>
      <x:c r="G160" s="3"/>
    </x:row>
    <x:row r="161">
      <x:c r="A161" s="7" t="s">
        <x:v>187</x:v>
      </x:c>
      <x:c r="B161" s="26">
        <x:v>68.823</x:v>
      </x:c>
      <x:c r="C161" s="26">
        <x:v>77.442</x:v>
      </x:c>
      <x:c r="D161" s="2" t="n">
        <x:f>C161</x:f>
        <x:v>77.442</x:v>
      </x:c>
      <x:c r="E161" s="26">
        <x:v>75.144</x:v>
      </x:c>
      <x:c r="F161" s="26">
        <x:v>78.3</x:v>
      </x:c>
      <x:c r="G161" s="3"/>
    </x:row>
    <x:row r="162">
      <x:c r="A162" s="7" t="s">
        <x:v>188</x:v>
      </x:c>
      <x:c r="B162" s="26">
        <x:v>17.107</x:v>
      </x:c>
      <x:c r="C162" s="26">
        <x:v>17.683</x:v>
      </x:c>
      <x:c r="D162" s="2" t="n">
        <x:f>C162</x:f>
        <x:v>17.683</x:v>
      </x:c>
      <x:c r="E162" s="26">
        <x:v>16.686</x:v>
      </x:c>
      <x:c r="F162" s="26">
        <x:v>15.889</x:v>
      </x:c>
      <x:c r="G162" s="3"/>
    </x:row>
    <x:row r="163">
      <x:c r="A163" s="7"/>
      <x:c r="B163" s="2"/>
      <x:c r="C163" s="2"/>
      <x:c r="D163" s="2"/>
      <x:c r="E163" s="2"/>
      <x:c r="F163" s="2"/>
      <x:c r="G163" s="3"/>
    </x:row>
    <x:row r="164">
      <x:c r="A164" s="7"/>
      <x:c r="B164" s="2"/>
      <x:c r="C164" s="2"/>
      <x:c r="D164" s="2"/>
      <x:c r="E164" s="2"/>
      <x:c r="F164" s="2"/>
      <x:c r="G164" s="3"/>
    </x:row>
    <x:row r="165">
      <x:c r="A165" s="7" t="s">
        <x:v>190</x:v>
      </x:c>
      <x:c r="B165" s="26">
        <x:v>12.847</x:v>
      </x:c>
      <x:c r="C165" s="26">
        <x:v>15.934</x:v>
      </x:c>
      <x:c r="D165" s="2" t="n">
        <x:f>C165</x:f>
        <x:v>15.934</x:v>
      </x:c>
      <x:c r="E165" s="26">
        <x:v>13.873</x:v>
      </x:c>
      <x:c r="F165" s="26">
        <x:v>11.189</x:v>
      </x:c>
      <x:c r="G165" s="3"/>
    </x:row>
    <x:row r="166">
      <x:c r="A166" s="7" t="s">
        <x:v>191</x:v>
      </x:c>
      <x:c r="B166" s="26">
        <x:v>63.323</x:v>
      </x:c>
      <x:c r="C166" s="26">
        <x:v>71.804</x:v>
      </x:c>
      <x:c r="D166" s="2" t="n">
        <x:f>C166</x:f>
        <x:v>71.804</x:v>
      </x:c>
      <x:c r="E166" s="26">
        <x:v>45.297</x:v>
      </x:c>
      <x:c r="F166" s="26">
        <x:v>47.446</x:v>
      </x:c>
      <x:c r="G166" s="3"/>
    </x:row>
    <x:row r="167">
      <x:c r="A167" s="7" t="s">
        <x:v>192</x:v>
      </x:c>
      <x:c r="B167" s="26">
        <x:v>298.716</x:v>
      </x:c>
      <x:c r="C167" s="26">
        <x:v>324.75</x:v>
      </x:c>
      <x:c r="D167" s="2" t="n">
        <x:f>C167</x:f>
        <x:v>324.75</x:v>
      </x:c>
      <x:c r="E167" s="26">
        <x:v>330.766</x:v>
      </x:c>
      <x:c r="F167" s="26">
        <x:v>324.469</x:v>
      </x:c>
      <x:c r="G167" s="3"/>
    </x:row>
    <x:row r="168">
      <x:c r="A168" s="7" t="s">
        <x:v>193</x:v>
      </x:c>
      <x:c r="B168" s="26">
        <x:v>358.619</x:v>
      </x:c>
      <x:c r="C168" s="26">
        <x:v>359.163</x:v>
      </x:c>
      <x:c r="D168" s="2" t="n">
        <x:f>C168</x:f>
        <x:v>359.163</x:v>
      </x:c>
      <x:c r="E168" s="26">
        <x:v>359.723</x:v>
      </x:c>
      <x:c r="F168" s="26">
        <x:v>0</x:v>
      </x:c>
      <x:c r="G168" s="3"/>
    </x:row>
    <x:row r="169">
      <x:c r="A169" s="7" t="s">
        <x:v>194</x:v>
      </x:c>
      <x:c r="B169" s="26">
        <x:v>8.788</x:v>
      </x:c>
      <x:c r="C169" s="26">
        <x:v>8.49</x:v>
      </x:c>
      <x:c r="D169" s="2" t="n">
        <x:f>C169</x:f>
        <x:v>8.49</x:v>
      </x:c>
      <x:c r="E169" s="26">
        <x:v>8.811</x:v>
      </x:c>
      <x:c r="F169" s="26">
        <x:v>8.144</x:v>
      </x:c>
      <x:c r="G169" s="3"/>
    </x:row>
    <x:row r="170">
      <x:c r="A170" s="7" t="s">
        <x:v>195</x:v>
      </x:c>
      <x:c r="B170" s="26">
        <x:v>27.516</x:v>
      </x:c>
      <x:c r="C170" s="26">
        <x:v>29.593</x:v>
      </x:c>
      <x:c r="D170" s="2" t="n">
        <x:f>C170</x:f>
        <x:v>29.593</x:v>
      </x:c>
      <x:c r="E170" s="26">
        <x:v>29.651</x:v>
      </x:c>
      <x:c r="F170" s="26">
        <x:v>24.787</x:v>
      </x:c>
      <x:c r="G170" s="3"/>
    </x:row>
    <x:row r="171">
      <x:c r="A171" s="7"/>
      <x:c r="B171" s="2"/>
      <x:c r="C171" s="2"/>
      <x:c r="D171" s="2"/>
      <x:c r="E171" s="2"/>
      <x:c r="F171" s="2"/>
      <x:c r="G171" s="3"/>
    </x:row>
    <x:row r="172">
      <x:c r="A172" s="7"/>
      <x:c r="B172" s="2"/>
      <x:c r="C172" s="2"/>
      <x:c r="D172" s="2"/>
      <x:c r="E172" s="2"/>
      <x:c r="F172" s="2"/>
      <x:c r="G172" s="3"/>
    </x:row>
    <x:row r="173">
      <x:c r="A173" s="7" t="s">
        <x:v>197</x:v>
      </x:c>
      <x:c r="B173" s="26">
        <x:v>620</x:v>
      </x:c>
      <x:c r="C173" s="26">
        <x:v>600</x:v>
      </x:c>
      <x:c r="D173" s="2" t="n">
        <x:f>C173</x:f>
        <x:v>600</x:v>
      </x:c>
      <x:c r="E173" s="26">
        <x:v>540</x:v>
      </x:c>
      <x:c r="F173" s="26">
        <x:v>850</x:v>
      </x:c>
      <x:c r="G173" s="3"/>
    </x:row>
    <x:row r="174">
      <x:c r="A174" s="7" t="s">
        <x:v>198</x:v>
      </x:c>
      <x:c r="B174" s="26">
        <x:v>440.713</x:v>
      </x:c>
      <x:c r="C174" s="26">
        <x:v>441.186</x:v>
      </x:c>
      <x:c r="D174" s="2" t="n">
        <x:f>C174</x:f>
        <x:v>441.186</x:v>
      </x:c>
      <x:c r="E174" s="26">
        <x:v>441.664</x:v>
      </x:c>
      <x:c r="F174" s="26">
        <x:v>442.147</x:v>
      </x:c>
      <x:c r="G174" s="3"/>
    </x:row>
    <x:row r="175">
      <x:c r="A175" s="7" t="s">
        <x:v>199</x:v>
      </x:c>
      <x:c r="B175" s="26">
        <x:v>22.705</x:v>
      </x:c>
      <x:c r="C175" s="26">
        <x:v>21.077</x:v>
      </x:c>
      <x:c r="D175" s="2" t="n">
        <x:f>C175</x:f>
        <x:v>21.077</x:v>
      </x:c>
      <x:c r="E175" s="26">
        <x:v>25.311</x:v>
      </x:c>
      <x:c r="F175" s="26">
        <x:v>26.467</x:v>
      </x:c>
      <x:c r="G175" s="3"/>
    </x:row>
    <x:row r="176">
      <x:c r="A176" s="7" t="s">
        <x:v>200</x:v>
      </x:c>
      <x:c r="B176" s="26">
        <x:v>82.346</x:v>
      </x:c>
      <x:c r="C176" s="26">
        <x:v>100.329</x:v>
      </x:c>
      <x:c r="D176" s="2" t="n">
        <x:f>C176</x:f>
        <x:v>100.329</x:v>
      </x:c>
      <x:c r="E176" s="26">
        <x:v>93.845</x:v>
      </x:c>
      <x:c r="F176" s="26">
        <x:v>98.756</x:v>
      </x:c>
      <x:c r="G176" s="3"/>
    </x:row>
    <x:row r="177">
      <x:c r="A177" s="7" t="s">
        <x:v>201</x:v>
      </x:c>
      <x:c r="B177" s="26">
        <x:v>2.599</x:v>
      </x:c>
      <x:c r="C177" s="26">
        <x:v>1.158</x:v>
      </x:c>
      <x:c r="D177" s="2" t="n">
        <x:f>C177</x:f>
        <x:v>1.158</x:v>
      </x:c>
      <x:c r="E177" s="26">
        <x:v>1.178</x:v>
      </x:c>
      <x:c r="F177" s="26">
        <x:v>1.15</x:v>
      </x:c>
      <x:c r="G177" s="3"/>
    </x:row>
    <x:row r="178">
      <x:c r="A178" s="7" t="s">
        <x:v>202</x:v>
      </x:c>
      <x:c r="B178" s="26">
        <x:v>5.857</x:v>
      </x:c>
      <x:c r="C178" s="26">
        <x:v>5.825</x:v>
      </x:c>
      <x:c r="D178" s="2" t="n">
        <x:f>C178</x:f>
        <x:v>5.825</x:v>
      </x:c>
      <x:c r="E178" s="26">
        <x:v>5.86</x:v>
      </x:c>
      <x:c r="F178" s="26">
        <x:v>4.985</x:v>
      </x:c>
      <x:c r="G178" s="3"/>
    </x:row>
    <x:row r="179">
      <x:c r="A179" s="7"/>
      <x:c r="B179" s="2"/>
      <x:c r="C179" s="2"/>
      <x:c r="D179" s="2"/>
      <x:c r="E179" s="2"/>
      <x:c r="F179" s="2"/>
      <x:c r="G179" s="3"/>
    </x:row>
    <x:row r="180">
      <x:c r="A180" s="7"/>
      <x:c r="B180" s="2"/>
      <x:c r="C180" s="2"/>
      <x:c r="D180" s="2"/>
      <x:c r="E180" s="2"/>
      <x:c r="F180" s="2"/>
      <x:c r="G180" s="3"/>
    </x:row>
    <x:row r="181">
      <x:c r="A181" s="7" t="s">
        <x:v>204</x:v>
      </x:c>
      <x:c r="B181" s="26">
        <x:v>477.682</x:v>
      </x:c>
      <x:c r="C181" s="26">
        <x:v>478.349</x:v>
      </x:c>
      <x:c r="D181" s="2" t="n">
        <x:f>C181</x:f>
        <x:v>478.349</x:v>
      </x:c>
      <x:c r="E181" s="26">
        <x:v>498.795</x:v>
      </x:c>
      <x:c r="F181" s="26">
        <x:v>506.083</x:v>
      </x:c>
      <x:c r="G181" s="3"/>
    </x:row>
    <x:row r="182">
      <x:c r="A182" s="7"/>
      <x:c r="B182" s="2"/>
      <x:c r="C182" s="2"/>
      <x:c r="D182" s="2"/>
      <x:c r="E182" s="2"/>
      <x:c r="F182" s="2"/>
      <x:c r="G182" s="3"/>
    </x:row>
    <x:row r="183">
      <x:c r="A183" s="7"/>
      <x:c r="B183" s="2"/>
      <x:c r="C183" s="2"/>
      <x:c r="D183" s="2"/>
      <x:c r="E183" s="2"/>
      <x:c r="F183" s="2"/>
      <x:c r="G183" s="3"/>
    </x:row>
    <x:row r="184">
      <x:c r="A184" s="7"/>
      <x:c r="B184" s="2"/>
      <x:c r="C184" s="2"/>
      <x:c r="D184" s="2"/>
      <x:c r="E184" s="2"/>
      <x:c r="F184" s="2"/>
      <x:c r="G184" s="3"/>
    </x:row>
    <x:row r="185">
      <x:c r="A185" s="7" t="s">
        <x:v>485</x:v>
      </x:c>
      <x:c r="B185" s="2"/>
      <x:c r="C185" s="2"/>
      <x:c r="D185" s="2"/>
      <x:c r="E185" s="2"/>
      <x:c r="F185" s="2"/>
      <x:c r="G185" s="48">
        <x:v>-6</x:v>
      </x:c>
    </x:row>
    <x:row r="186">
      <x:c r="A186" s="7" t="s">
        <x:v>486</x:v>
      </x:c>
      <x:c r="B186" s="2"/>
      <x:c r="C186" s="2"/>
      <x:c r="D186" s="2"/>
      <x:c r="E186" s="2"/>
      <x:c r="F186" s="2"/>
      <x:c r="G186" s="48">
        <x:v>12</x:v>
      </x:c>
    </x:row>
    <x:row r="187">
      <x:c r="A187" s="7" t="s">
        <x:v>487</x:v>
      </x:c>
      <x:c r="B187" s="2"/>
      <x:c r="C187" s="2"/>
      <x:c r="D187" s="2"/>
      <x:c r="E187" s="2"/>
      <x:c r="F187" s="2"/>
      <x:c r="G187" s="48">
        <x:v>-5</x:v>
      </x:c>
    </x:row>
    <x:row r="188">
      <x:c r="A188" s="7" t="s">
        <x:v>488</x:v>
      </x:c>
      <x:c r="B188" s="2"/>
      <x:c r="C188" s="2"/>
      <x:c r="D188" s="2"/>
      <x:c r="E188" s="2"/>
      <x:c r="F188" s="2"/>
      <x:c r="G188" s="48">
        <x:v>243.2</x:v>
      </x:c>
    </x:row>
    <x:row r="189">
      <x:c r="A189" s="7"/>
      <x:c r="B189" s="2"/>
      <x:c r="C189" s="2"/>
      <x:c r="D189" s="2"/>
      <x:c r="E189" s="2"/>
      <x:c r="F189" s="2"/>
      <x:c r="G189" s="3"/>
    </x:row>
    <x:row r="190">
      <x:c r="A190" s="7"/>
      <x:c r="B190" s="2"/>
      <x:c r="C190" s="2"/>
      <x:c r="D190" s="2"/>
      <x:c r="E190" s="2"/>
      <x:c r="F190" s="2"/>
      <x:c r="G190" s="3"/>
    </x:row>
    <x:row r="191">
      <x:c r="A191" s="7" t="s">
        <x:v>489</x:v>
      </x:c>
      <x:c r="B191" s="2"/>
      <x:c r="C191" s="2"/>
      <x:c r="D191" s="2"/>
      <x:c r="E191" s="2"/>
      <x:c r="F191" s="2"/>
      <x:c r="G191" s="9" t="n">
        <x:f>'Cash Flow Statement'!G14</x:f>
        <x:v>65.0325</x:v>
      </x:c>
    </x:row>
    <x:row r="192">
      <x:c r="A192" s="7" t="s">
        <x:v>490</x:v>
      </x:c>
      <x:c r="B192" s="2"/>
      <x:c r="C192" s="2"/>
      <x:c r="D192" s="2"/>
      <x:c r="E192" s="2"/>
      <x:c r="F192" s="2"/>
      <x:c r="G192" s="48">
        <x:v>-2</x:v>
      </x:c>
    </x:row>
    <x:row r="193">
      <x:c r="A193" s="7" t="s">
        <x:v>491</x:v>
      </x:c>
      <x:c r="B193" s="2"/>
      <x:c r="C193" s="2"/>
      <x:c r="D193" s="2"/>
      <x:c r="E193" s="2"/>
      <x:c r="F193" s="2"/>
      <x:c r="G193" s="48">
        <x:v>1</x:v>
      </x:c>
    </x:row>
    <x:row r="194">
      <x:c r="A194" s="7" t="s">
        <x:v>492</x:v>
      </x:c>
      <x:c r="B194" s="2"/>
      <x:c r="C194" s="2"/>
      <x:c r="D194" s="2"/>
      <x:c r="E194" s="2"/>
      <x:c r="F194" s="2"/>
      <x:c r="G194" s="48">
        <x:v>-2</x:v>
      </x:c>
    </x:row>
    <x:row r="195">
      <x:c r="A195" s="7" t="s">
        <x:v>493</x:v>
      </x:c>
      <x:c r="B195" s="2"/>
      <x:c r="C195" s="2"/>
      <x:c r="D195" s="2"/>
      <x:c r="E195" s="2"/>
      <x:c r="F195" s="2"/>
      <x:c r="G195" s="48">
        <x:v>-25</x:v>
      </x:c>
    </x:row>
    <x:row r="196">
      <x:c r="A196" s="7" t="s">
        <x:v>494</x:v>
      </x:c>
      <x:c r="B196" s="2"/>
      <x:c r="C196" s="2"/>
      <x:c r="D196" s="2"/>
      <x:c r="E196" s="2"/>
      <x:c r="F196" s="2"/>
      <x:c r="G196" s="48">
        <x:v>-25</x:v>
      </x:c>
    </x:row>
    <x:row r="197">
      <x:c r="A197" s="7" t="s">
        <x:v>495</x:v>
      </x:c>
      <x:c r="B197" s="2"/>
      <x:c r="C197" s="2"/>
      <x:c r="D197" s="2"/>
      <x:c r="E197" s="2"/>
      <x:c r="F197" s="2"/>
      <x:c r="G197" s="48">
        <x:v>0</x:v>
      </x:c>
    </x:row>
    <x:row r="198">
      <x:c r="A198" s="7" t="s">
        <x:v>496</x:v>
      </x:c>
      <x:c r="B198" s="2"/>
      <x:c r="C198" s="2"/>
      <x:c r="D198" s="2"/>
      <x:c r="E198" s="2"/>
      <x:c r="F198" s="2"/>
      <x:c r="G198" s="48">
        <x:v>0</x:v>
      </x:c>
    </x:row>
    <x:row r="199">
      <x:c r="A199" s="7" t="s">
        <x:v>497</x:v>
      </x:c>
      <x:c r="B199" s="2"/>
      <x:c r="C199" s="2"/>
      <x:c r="D199" s="2"/>
      <x:c r="E199" s="2"/>
      <x:c r="F199" s="2"/>
      <x:c r="G199" s="48">
        <x:v>0</x:v>
      </x:c>
    </x:row>
    <x:row r="200">
      <x:c r="A200" s="7"/>
      <x:c r="B200" s="2"/>
      <x:c r="C200" s="2"/>
      <x:c r="D200" s="2"/>
      <x:c r="E200" s="2"/>
      <x:c r="F200" s="2"/>
      <x:c r="G200" s="3"/>
    </x:row>
    <x:row r="201">
      <x:c r="A201" s="7" t="str">
        <x:v>Depreciation of property and equipment</x:v>
      </x:c>
      <x:c r="B201" s="26">
        <x:v>1.536</x:v>
      </x:c>
      <x:c r="C201" s="26">
        <x:v>1.479</x:v>
      </x:c>
      <x:c r="D201" s="26">
        <x:v>6.232</x:v>
      </x:c>
      <x:c r="E201" s="26">
        <x:v>1.496</x:v>
      </x:c>
      <x:c r="F201" s="26">
        <x:v>1.762</x:v>
      </x:c>
      <x:c r="G201" s="48">
        <x:v>1.6</x:v>
      </x:c>
    </x:row>
    <x:row r="202">
      <x:c r="A202" s="7" t="str">
        <x:v>Amortization of acquired intangible assets (cash flow)</x:v>
      </x:c>
      <x:c r="B202" s="26">
        <x:v>37.54900000000001</x:v>
      </x:c>
      <x:c r="C202" s="26">
        <x:v>34.41099999999999</x:v>
      </x:c>
      <x:c r="D202" s="26">
        <x:v>145.492</x:v>
      </x:c>
      <x:c r="E202" s="26">
        <x:v>34.368</x:v>
      </x:c>
      <x:c r="F202" s="26">
        <x:v>35.105</x:v>
      </x:c>
      <x:c r="G202" s="9" t="n">
        <x:f>SUM(Inputs!G104,Inputs!G108)</x:f>
        <x:v>35.5</x:v>
      </x:c>
    </x:row>
    <x:row r="203">
      <x:c r="A203" s="7" t="str">
        <x:v>Stock-based compensation (cash flow)</x:v>
      </x:c>
      <x:c r="B203" s="26">
        <x:v>15.97</x:v>
      </x:c>
      <x:c r="C203" s="26">
        <x:v>17.374000000000002</x:v>
      </x:c>
      <x:c r="D203" s="26">
        <x:v>64.768</x:v>
      </x:c>
      <x:c r="E203" s="26">
        <x:v>18.474</x:v>
      </x:c>
      <x:c r="F203" s="26">
        <x:v>20.508999999999997</x:v>
      </x:c>
      <x:c r="G203" s="9" t="n">
        <x:f>Inputs!G118</x:f>
        <x:v>17.22</x:v>
      </x:c>
    </x:row>
    <x:row r="204">
      <x:c r="A204" s="7"/>
      <x:c r="B204" s="2"/>
      <x:c r="C204" s="2"/>
      <x:c r="D204" s="2"/>
      <x:c r="E204" s="2"/>
      <x:c r="F204" s="2"/>
      <x:c r="G204" s="3"/>
    </x:row>
    <x:row r="205">
      <x:c r="A205" s="7" t="str">
        <x:v>Cash from operating activities</x:v>
      </x:c>
      <x:c r="B205" s="26">
        <x:v>73.446</x:v>
      </x:c>
      <x:c r="C205" s="26">
        <x:v>62.798</x:v>
      </x:c>
      <x:c r="D205" s="26">
        <x:v>235.187</x:v>
      </x:c>
      <x:c r="E205" s="26">
        <x:v>98.626</x:v>
      </x:c>
      <x:c r="F205" s="26">
        <x:v>78.83699999999999</x:v>
      </x:c>
      <x:c r="G205" s="3"/>
    </x:row>
    <x:row r="206">
      <x:c r="A206" s="7"/>
      <x:c r="B206" s="2"/>
      <x:c r="C206" s="2"/>
      <x:c r="D206" s="2"/>
      <x:c r="E206" s="2"/>
      <x:c r="F206" s="2"/>
      <x:c r="G206" s="3"/>
    </x:row>
    <x:row r="207">
      <x:c r="A207" s="7" t="str">
        <x:v>Property and equipment purchases</x:v>
      </x:c>
      <x:c r="B207" s="26">
        <x:v>-1.055</x:v>
      </x:c>
      <x:c r="C207" s="26">
        <x:v>-2.862</x:v>
      </x:c>
      <x:c r="D207" s="26">
        <x:v>-5.702</x:v>
      </x:c>
      <x:c r="E207" s="26">
        <x:v>-2.705</x:v>
      </x:c>
      <x:c r="F207" s="26">
        <x:v>-1.864</x:v>
      </x:c>
      <x:c r="G207" s="3"/>
    </x:row>
    <x:row r="208">
      <x:c r="A208" s="7" t="str">
        <x:v>Equity plan proceeds</x:v>
      </x:c>
      <x:c r="B208" s="26">
        <x:v>3.2799999999999994</x:v>
      </x:c>
      <x:c r="C208" s="26">
        <x:v>2.928000000000001</x:v>
      </x:c>
      <x:c r="D208" s="26">
        <x:v>18.968</x:v>
      </x:c>
      <x:c r="E208" s="26">
        <x:v>5.436</x:v>
      </x:c>
      <x:c r="F208" s="26">
        <x:v>2.6289999999999996</x:v>
      </x:c>
      <x:c r="G208" s="3"/>
    </x:row>
    <x:row r="209">
      <x:c r="A209" s="7" t="str">
        <x:v>Tax withholding on net-share settlement</x:v>
      </x:c>
      <x:c r="B209" s="26">
        <x:v>0</x:v>
      </x:c>
      <x:c r="C209" s="26">
        <x:v>-5.082999999999998</x:v>
      </x:c>
      <x:c r="D209" s="26">
        <x:v>-15.184</x:v>
      </x:c>
      <x:c r="E209" s="26">
        <x:v>-3.708</x:v>
      </x:c>
      <x:c r="F209" s="26">
        <x:v>-2.9209999999999994</x:v>
      </x:c>
      <x:c r="G209" s="3"/>
    </x:row>
    <x:row r="210">
      <x:c r="A210" s="7" t="str">
        <x:v>Share repurchases</x:v>
      </x:c>
      <x:c r="B210" s="26">
        <x:v>-15.000000000000009</x:v>
      </x:c>
      <x:c r="C210" s="26">
        <x:v>-40.048</x:v>
      </x:c>
      <x:c r="D210" s="26">
        <x:v>-105.156</x:v>
      </x:c>
      <x:c r="E210" s="26">
        <x:v>-20.401</x:v>
      </x:c>
      <x:c r="F210" s="26">
        <x:v>-34.69</x:v>
      </x:c>
      <x:c r="G210" s="3"/>
    </x:row>
    <x:row r="211">
      <x:c r="A211" s="7"/>
      <x:c r="B211" s="2"/>
      <x:c r="C211" s="2"/>
      <x:c r="D211" s="2"/>
      <x:c r="E211" s="2"/>
      <x:c r="F211" s="2"/>
      <x:c r="G211" s="3"/>
    </x:row>
    <x:row r="212">
      <x:c r="A212" s="7"/>
      <x:c r="B212" s="2"/>
      <x:c r="C212" s="2"/>
      <x:c r="D212" s="2"/>
      <x:c r="E212" s="2"/>
      <x:c r="F212" s="2"/>
      <x:c r="G212" s="3"/>
    </x:row>
    <x:row r="213">
      <x:c r="A213" s="7" t="str">
        <x:v>Cash from financing activities</x:v>
      </x:c>
      <x:c r="B213" s="26">
        <x:v>-57.681</x:v>
      </x:c>
      <x:c r="C213" s="26">
        <x:v>-62.58500000000001</x:v>
      </x:c>
      <x:c r="D213" s="26">
        <x:v>-238.369</x:v>
      </x:c>
      <x:c r="E213" s="26">
        <x:v>-78.877</x:v>
      </x:c>
      <x:c r="F213" s="26">
        <x:v>-85.141</x:v>
      </x:c>
      <x:c r="G213" s="3"/>
    </x:row>
    <x:row r="214">
      <x:c r="A214" s="7"/>
      <x:c r="B214" s="2"/>
      <x:c r="C214" s="2"/>
      <x:c r="D214" s="2"/>
      <x:c r="E214" s="2"/>
      <x:c r="F214" s="2"/>
      <x:c r="G214" s="3"/>
    </x:row>
    <x:row r="215">
      <x:c r="A215" s="7" t="str">
        <x:v>Cash from investing activities</x:v>
      </x:c>
      <x:c r="B215" s="26">
        <x:v>-20.513</x:v>
      </x:c>
      <x:c r="C215" s="26">
        <x:v>-3.426000000000002</x:v>
      </x:c>
      <x:c r="D215" s="26">
        <x:v>-26.919</x:v>
      </x:c>
      <x:c r="E215" s="26">
        <x:v>-2.705</x:v>
      </x:c>
      <x:c r="F215" s="26">
        <x:v>-1.864</x:v>
      </x:c>
      <x:c r="G215" s="3"/>
    </x:row>
    <x:row r="216">
      <x:c r="A216" s="7" t="str">
        <x:v>FX effect on cash</x:v>
      </x:c>
      <x:c r="B216" s="26">
        <x:v>1.75</x:v>
      </x:c>
      <x:c r="C216" s="26">
        <x:v>-0.9879999999999995</x:v>
      </x:c>
      <x:c r="D216" s="26">
        <x:v>6.831</x:v>
      </x:c>
      <x:c r="E216" s="26">
        <x:v>1.32</x:v>
      </x:c>
      <x:c r="F216" s="26">
        <x:v>-2.025</x:v>
      </x:c>
      <x:c r="G216" s="3"/>
    </x:row>
    <x:row r="217">
      <x:c r="A217" s="7"/>
      <x:c r="B217" s="2"/>
      <x:c r="C217" s="2"/>
      <x:c r="D217" s="2"/>
      <x:c r="E217" s="2"/>
      <x:c r="F217" s="2"/>
      <x:c r="G217" s="3"/>
    </x:row>
    <x:row r="218">
      <x:c r="A218" s="7"/>
      <x:c r="B218" s="2"/>
      <x:c r="C218" s="2"/>
      <x:c r="D218" s="2"/>
      <x:c r="E218" s="2"/>
      <x:c r="F218" s="2"/>
      <x:c r="G218" s="3"/>
    </x:row>
    <x:row r="219">
      <x:c r="A219" s="7"/>
      <x:c r="B219" s="2"/>
      <x:c r="C219" s="2"/>
      <x:c r="D219" s="2"/>
      <x:c r="E219" s="2"/>
      <x:c r="F219" s="2"/>
      <x:c r="G219" s="3"/>
    </x:row>
    <x:row r="220">
      <x:c r="A220" s="7"/>
      <x:c r="B220" s="2"/>
      <x:c r="C220" s="2"/>
      <x:c r="D220" s="2"/>
      <x:c r="E220" s="2"/>
      <x:c r="F220" s="2"/>
      <x:c r="G220" s="3"/>
    </x:row>
    <x:row r="221">
      <x:c r="A221" s="7"/>
      <x:c r="B221" s="2"/>
      <x:c r="C221" s="2"/>
      <x:c r="D221" s="2"/>
      <x:c r="E221" s="2"/>
      <x:c r="F221" s="2"/>
      <x:c r="G221" s="3"/>
    </x:row>
    <x:row r="222">
      <x:c r="A222" s="7"/>
      <x:c r="B222" s="2"/>
      <x:c r="C222" s="2"/>
      <x:c r="D222" s="2"/>
      <x:c r="E222" s="2"/>
      <x:c r="F222" s="2"/>
      <x:c r="G222" s="3"/>
    </x:row>
    <x:row r="223">
      <x:c r="A223" s="7"/>
      <x:c r="B223" s="2"/>
      <x:c r="C223" s="2"/>
      <x:c r="D223" s="2"/>
      <x:c r="E223" s="2"/>
      <x:c r="F223" s="2"/>
      <x:c r="G223" s="3"/>
    </x:row>
    <x:row r="224">
      <x:c r="A224" s="7"/>
      <x:c r="B224" s="2"/>
      <x:c r="C224" s="2"/>
      <x:c r="D224" s="2"/>
      <x:c r="E224" s="2"/>
      <x:c r="F224" s="2"/>
      <x:c r="G224" s="3"/>
    </x:row>
    <x:row r="225">
      <x:c r="A225" s="7"/>
      <x:c r="B225" s="2"/>
      <x:c r="C225" s="2"/>
      <x:c r="D225" s="2"/>
      <x:c r="E225" s="2"/>
      <x:c r="F225" s="2"/>
      <x:c r="G225" s="3"/>
    </x:row>
    <x:row r="226">
      <x:c r="A226" s="7"/>
      <x:c r="B226" s="2"/>
      <x:c r="C226" s="2"/>
      <x:c r="D226" s="2"/>
      <x:c r="E226" s="2"/>
      <x:c r="F226" s="2"/>
      <x:c r="G226" s="3"/>
    </x:row>
    <x:row r="227">
      <x:c r="A227" s="7"/>
      <x:c r="B227" s="2"/>
      <x:c r="C227" s="2"/>
      <x:c r="D227" s="2"/>
      <x:c r="E227" s="2"/>
      <x:c r="F227" s="2"/>
      <x:c r="G227" s="3"/>
    </x:row>
    <x:row r="228">
      <x:c r="A228" s="7"/>
      <x:c r="B228" s="2"/>
      <x:c r="C228" s="2"/>
      <x:c r="D228" s="2"/>
      <x:c r="E228" s="2"/>
      <x:c r="F228" s="2"/>
      <x:c r="G228" s="3"/>
    </x:row>
    <x:row r="229">
      <x:c r="A229" s="7"/>
      <x:c r="B229" s="2"/>
      <x:c r="C229" s="2"/>
      <x:c r="D229" s="2"/>
      <x:c r="E229" s="2"/>
      <x:c r="F229" s="2"/>
      <x:c r="G229" s="3"/>
    </x:row>
    <x:row r="230">
      <x:c r="A230" s="7"/>
      <x:c r="B230" s="2"/>
      <x:c r="C230" s="2"/>
      <x:c r="D230" s="2"/>
      <x:c r="E230" s="2"/>
      <x:c r="F230" s="2"/>
      <x:c r="G230" s="3"/>
    </x:row>
    <x:row r="231">
      <x:c r="A231" s="7"/>
      <x:c r="B231" s="2"/>
      <x:c r="C231" s="2"/>
      <x:c r="D231" s="2"/>
      <x:c r="E231" s="2"/>
      <x:c r="F231" s="2"/>
      <x:c r="G231" s="3"/>
    </x:row>
    <x:row r="232">
      <x:c r="A232" s="7"/>
      <x:c r="B232" s="2"/>
      <x:c r="C232" s="2"/>
      <x:c r="D232" s="2"/>
      <x:c r="E232" s="2"/>
      <x:c r="F232" s="2"/>
      <x:c r="G232" s="3"/>
    </x:row>
    <x:row r="233">
      <x:c r="A233" s="7"/>
      <x:c r="B233" s="2"/>
      <x:c r="C233" s="2"/>
      <x:c r="D233" s="2"/>
      <x:c r="E233" s="2"/>
      <x:c r="F233" s="2"/>
      <x:c r="G233" s="3"/>
    </x:row>
    <x:row r="234">
      <x:c r="A234" s="7"/>
      <x:c r="B234" s="2"/>
      <x:c r="C234" s="2"/>
      <x:c r="D234" s="2"/>
      <x:c r="E234" s="2"/>
      <x:c r="F234" s="2"/>
      <x:c r="G234" s="3"/>
    </x:row>
    <x:row r="235">
      <x:c r="A235" s="7"/>
      <x:c r="B235" s="2"/>
      <x:c r="C235" s="2"/>
      <x:c r="D235" s="2"/>
      <x:c r="E235" s="2"/>
      <x:c r="F235" s="2"/>
      <x:c r="G235" s="3"/>
    </x:row>
    <x:row r="236">
      <x:c r="A236" s="7"/>
      <x:c r="B236" s="2"/>
      <x:c r="C236" s="2"/>
      <x:c r="D236" s="2"/>
      <x:c r="E236" s="2"/>
      <x:c r="F236" s="2"/>
      <x:c r="G236" s="3"/>
    </x:row>
    <x:row r="237">
      <x:c r="A237" s="7"/>
      <x:c r="B237" s="2"/>
      <x:c r="C237" s="2"/>
      <x:c r="D237" s="2"/>
      <x:c r="E237" s="2"/>
      <x:c r="F237" s="2"/>
      <x:c r="G237" s="3"/>
    </x:row>
    <x:row r="238">
      <x:c r="A238" s="7"/>
      <x:c r="B238" s="2"/>
      <x:c r="C238" s="2"/>
      <x:c r="D238" s="2"/>
      <x:c r="E238" s="2"/>
      <x:c r="F238" s="2"/>
      <x:c r="G238" s="3"/>
    </x:row>
    <x:row r="239">
      <x:c r="A239" s="7"/>
      <x:c r="B239" s="2"/>
      <x:c r="C239" s="2"/>
      <x:c r="D239" s="2"/>
      <x:c r="E239" s="2"/>
      <x:c r="F239" s="2"/>
      <x:c r="G239" s="3"/>
      <x:c r="J239" s="59" t="s">
        <x:v>498</x:v>
      </x:c>
      <x:c r="K239" s="59" t="s">
        <x:v>499</x:v>
      </x:c>
      <x:c r="L239" s="59" t="s">
        <x:v>5</x:v>
      </x:c>
      <x:c r="M239" s="59" t="s">
        <x:v>6</x:v>
      </x:c>
    </x:row>
    <x:row r="240">
      <x:c r="A240" s="7" t="s">
        <x:v>240</x:v>
      </x:c>
      <x:c r="B240" s="2" t="n">
        <x:f>L240</x:f>
        <x:v>163.404</x:v>
      </x:c>
      <x:c r="C240" s="2" t="n">
        <x:f>M240</x:f>
        <x:v>158.39</x:v>
      </x:c>
      <x:c r="D240" s="2" t="n">
        <x:f>SUM(J240:M240)</x:f>
        <x:v>623.766</x:v>
      </x:c>
      <x:c r="E240" s="26">
        <x:v>152.689</x:v>
      </x:c>
      <x:c r="F240" s="26">
        <x:v>162.529</x:v>
      </x:c>
      <x:c r="G240" s="48">
        <x:v>160.5</x:v>
      </x:c>
      <x:c r="J240" s="49">
        <x:v>154.646</x:v>
      </x:c>
      <x:c r="K240" s="49">
        <x:v>147.326</x:v>
      </x:c>
      <x:c r="L240" s="49">
        <x:v>163.404</x:v>
      </x:c>
      <x:c r="M240" s="49">
        <x:v>158.39</x:v>
      </x:c>
    </x:row>
    <x:row r="241">
      <x:c r="A241" s="7" t="s">
        <x:v>500</x:v>
      </x:c>
      <x:c r="B241" s="2" t="n">
        <x:f>L241</x:f>
        <x:v>68.339</x:v>
      </x:c>
      <x:c r="C241" s="2" t="n">
        <x:f>M241</x:f>
        <x:v>72.587</x:v>
      </x:c>
      <x:c r="D241" s="2" t="n">
        <x:f>SUM(J241:M241)</x:f>
        <x:v>280.908</x:v>
      </x:c>
      <x:c r="E241" s="26">
        <x:v>78.38</x:v>
      </x:c>
      <x:c r="F241" s="26">
        <x:v>70.608</x:v>
      </x:c>
      <x:c r="G241" s="48">
        <x:v>71.6</x:v>
      </x:c>
      <x:c r="J241" s="49">
        <x:v>66.943</x:v>
      </x:c>
      <x:c r="K241" s="49">
        <x:v>73.039</x:v>
      </x:c>
      <x:c r="L241" s="49">
        <x:v>68.339</x:v>
      </x:c>
      <x:c r="M241" s="49">
        <x:v>72.587</x:v>
      </x:c>
    </x:row>
    <x:row r="242">
      <x:c r="A242" s="7" t="s">
        <x:v>245</x:v>
      </x:c>
      <x:c r="B242" s="2" t="n">
        <x:f>L242</x:f>
        <x:v>6.221</x:v>
      </x:c>
      <x:c r="C242" s="2" t="n">
        <x:f>M242</x:f>
        <x:v>5.541</x:v>
      </x:c>
      <x:c r="D242" s="2" t="n">
        <x:f>SUM(J242:M242)</x:f>
        <x:v>21.666999999999998</x:v>
      </x:c>
      <x:c r="E242" s="26">
        <x:v>5.526</x:v>
      </x:c>
      <x:c r="F242" s="26">
        <x:v>5.79</x:v>
      </x:c>
      <x:c r="G242" s="48">
        <x:v>5.7</x:v>
      </x:c>
      <x:c r="J242" s="49">
        <x:v>5.052</x:v>
      </x:c>
      <x:c r="K242" s="49">
        <x:v>4.853</x:v>
      </x:c>
      <x:c r="L242" s="49">
        <x:v>6.221</x:v>
      </x:c>
      <x:c r="M242" s="49">
        <x:v>5.541</x:v>
      </x:c>
    </x:row>
    <x:row r="243">
      <x:c r="A243" s="7" t="s">
        <x:v>246</x:v>
      </x:c>
      <x:c r="B243" s="2" t="n">
        <x:f>L243</x:f>
        <x:v>11.831</x:v>
      </x:c>
      <x:c r="C243" s="2" t="n">
        <x:f>M243</x:f>
        <x:v>16.148</x:v>
      </x:c>
      <x:c r="D243" s="2" t="n">
        <x:f>SUM(J243:M243)</x:f>
        <x:v>51.489999999999995</x:v>
      </x:c>
      <x:c r="E243" s="26">
        <x:v>11.204</x:v>
      </x:c>
      <x:c r="F243" s="26">
        <x:v>14.538</x:v>
      </x:c>
      <x:c r="G243" s="48">
        <x:v>13.6</x:v>
      </x:c>
      <x:c r="J243" s="49">
        <x:v>11.374</x:v>
      </x:c>
      <x:c r="K243" s="49">
        <x:v>12.137</x:v>
      </x:c>
      <x:c r="L243" s="49">
        <x:v>11.831</x:v>
      </x:c>
      <x:c r="M243" s="49">
        <x:v>16.148</x:v>
      </x:c>
    </x:row>
    <x:row r="244">
      <x:c r="A244" s="7"/>
      <x:c r="B244" s="2"/>
      <x:c r="C244" s="2"/>
      <x:c r="D244" s="2"/>
      <x:c r="E244" s="2"/>
      <x:c r="F244" s="2"/>
      <x:c r="G244" s="3"/>
    </x:row>
    <x:row r="245">
      <x:c r="A245" s="7"/>
      <x:c r="B245" s="2"/>
      <x:c r="C245" s="2"/>
      <x:c r="D245" s="2"/>
      <x:c r="E245" s="2"/>
      <x:c r="F245" s="2"/>
      <x:c r="G245" s="3"/>
    </x:row>
    <x:row r="250">
      <x:c r="A250" t="s">
        <x:v>501</x:v>
      </x:c>
      <x:c r="G250" s="26">
        <x:v>-3.379</x:v>
      </x:c>
    </x:row>
    <x:row r="251">
      <x:c r="A251" t="s">
        <x:v>502</x:v>
      </x:c>
      <x:c r="G251" s="26">
        <x:v>1.278</x:v>
      </x:c>
    </x:row>
    <x:row r="252">
      <x:c r="A252" t="s">
        <x:v>503</x:v>
      </x:c>
      <x:c r="G252" s="2" t="n">
        <x:f>G135*G255</x:f>
        <x:v>0.195</x:v>
      </x:c>
    </x:row>
    <x:row r="253">
      <x:c r="A253" t="s">
        <x:v>504</x:v>
      </x:c>
      <x:c r="G253" s="26">
        <x:v>-0.159</x:v>
      </x:c>
    </x:row>
    <x:row r="254">
      <x:c r="G254" s="2"/>
    </x:row>
    <x:row r="255">
      <x:c r="A255" t="s">
        <x:v>505</x:v>
      </x:c>
      <x:c r="G255" s="27">
        <x:v>0.039</x:v>
      </x:c>
    </x:row>
    <x:row r="256">
      <x:c r="A256" t="s">
        <x:v>506</x:v>
      </x:c>
      <x:c r="G256" s="26">
        <x:v>10000</x:v>
      </x:c>
    </x:row>
    <x:row r="257">
      <x:c r="A257" t="s">
        <x:v>507</x:v>
      </x:c>
      <x:c r="G257" s="26">
        <x:v>0.2</x:v>
      </x:c>
    </x:row>
    <x:row r="258">
      <x:c r="A258" t="s">
        <x:v>508</x:v>
      </x:c>
      <x:c r="G258" s="27">
        <x:v>0</x:v>
      </x:c>
    </x:row>
    <x:row r="259">
      <x:c r="A259" t="s">
        <x:v>509</x:v>
      </x:c>
      <x:c r="G259" s="50">
        <x:v>0.006</x:v>
      </x:c>
      <x:c r="I259" t="s">
        <x:v>510</x:v>
      </x:c>
      <x:c r="J259" s="59" t="s">
        <x:v>499</x:v>
      </x:c>
    </x:row>
    <x:row r="260">
      <x:c r="I260" t="s">
        <x:v>511</x:v>
      </x:c>
      <x:c r="J260" s="26">
        <x:v>50.795</x:v>
      </x:c>
    </x:row>
    <x:row r="261">
      <x:c r="I261" t="s">
        <x:v>512</x:v>
      </x:c>
      <x:c r="J261" s="26">
        <x:v>103.491</x:v>
      </x:c>
    </x:row>
    <x:row r="262">
      <x:c r="I262" t="s">
        <x:v>513</x:v>
      </x:c>
      <x:c r="J262" s="26">
        <x:v>72.105</x:v>
      </x:c>
    </x:row>
    <x:row r="263">
      <x:c r="I263" t="s">
        <x:v>514</x:v>
      </x:c>
      <x:c r="J263" s="26">
        <x:v>10.964</x:v>
      </x:c>
    </x:row>
  </x:sheetData>
  <x:pageMargins left="0.7" right="0.7" top="0.75" bottom="0.75" header="0.3" footer="0.3"/>
</x:worksheet>
</file>