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bfdc8c619a54053" /></Relationships>
</file>

<file path=xl/workbook.xml><?xml version="1.0" encoding="utf-8"?>
<x:workbook xmlns:x="http://schemas.openxmlformats.org/spreadsheetml/2006/main">
  <x:sheets>
    <x:sheet xmlns:r="http://schemas.openxmlformats.org/officeDocument/2006/relationships" name="Cover" sheetId="1" r:id="R883a22fad8314640"/>
    <x:sheet xmlns:r="http://schemas.openxmlformats.org/officeDocument/2006/relationships" name="Revenue summary" sheetId="2" r:id="R52a15a776bcd4ead"/>
    <x:sheet xmlns:r="http://schemas.openxmlformats.org/officeDocument/2006/relationships" name="Segment - Cloud Memory" sheetId="3" r:id="R16713f69cc1f4e85"/>
    <x:sheet xmlns:r="http://schemas.openxmlformats.org/officeDocument/2006/relationships" name="Segment - Core Data Center" sheetId="4" r:id="Rd75286d0d3684f63"/>
    <x:sheet xmlns:r="http://schemas.openxmlformats.org/officeDocument/2006/relationships" name="Segment - Mobile and Client" sheetId="5" r:id="R70a3e0870d304e30"/>
    <x:sheet xmlns:r="http://schemas.openxmlformats.org/officeDocument/2006/relationships" name="Segment - Automotive Embedded" sheetId="6" r:id="R06de1ca2f97e402c"/>
    <x:sheet xmlns:r="http://schemas.openxmlformats.org/officeDocument/2006/relationships" name="Income Statement" sheetId="7" r:id="Rf8f3cffd18d64639"/>
    <x:sheet xmlns:r="http://schemas.openxmlformats.org/officeDocument/2006/relationships" name="Balance Sheet" sheetId="8" r:id="R888177e0a91b4a7e"/>
    <x:sheet xmlns:r="http://schemas.openxmlformats.org/officeDocument/2006/relationships" name="Cash Flow Statement" sheetId="9" r:id="Rada8f2b15e034393"/>
    <x:sheet xmlns:r="http://schemas.openxmlformats.org/officeDocument/2006/relationships" name="Geo" sheetId="10" r:id="Rc9fa4e7f8fe24de6"/>
    <x:sheet xmlns:r="http://schemas.openxmlformats.org/officeDocument/2006/relationships" name="Share Count" sheetId="11" r:id="Rdc06114fe4744456"/>
    <x:sheet xmlns:r="http://schemas.openxmlformats.org/officeDocument/2006/relationships" name="Guidance" sheetId="12" r:id="R62819242666940c8"/>
    <x:sheet xmlns:r="http://schemas.openxmlformats.org/officeDocument/2006/relationships" name="Sources" sheetId="13" r:id="R46188911853240fa"/>
    <x:sheet xmlns:r="http://schemas.openxmlformats.org/officeDocument/2006/relationships" name="Inputs" sheetId="14" r:id="Rbe37538d25f84e61"/>
  </x:sheets>
</x:workbook>
</file>

<file path=xl/sharedStrings.xml><?xml version="1.0" encoding="utf-8"?>
<x:sst xmlns:x="http://schemas.openxmlformats.org/spreadsheetml/2006/main">
  <x:si>
    <x:t xml:space="preserve">Micron Technology, Inc.</x:t>
  </x:si>
  <x:si>
    <x:t xml:space="preserve">Company Model — built by Shortcut</x:t>
  </x:si>
  <x:si>
    <x:t xml:space="preserve">$ millions, except per share</x:t>
  </x:si>
  <x:si>
    <x:t xml:space="preserve">Period</x:t>
  </x:si>
  <x:si>
    <x:t xml:space="preserve">FY25A</x:t>
  </x:si>
  <x:si>
    <x:t xml:space="preserve">4Q25A</x:t>
  </x:si>
  <x:si>
    <x:t xml:space="preserve">1Q26A</x:t>
  </x:si>
  <x:si>
    <x:t xml:space="preserve">2Q26A</x:t>
  </x:si>
  <x:si>
    <x:t xml:space="preserve">3Q26A</x:t>
  </x:si>
  <x:si>
    <x:t xml:space="preserve">4Q26E</x:t>
  </x:si>
  <x:si>
    <x:t xml:space="preserve">Fiscal period-end</x:t>
  </x:si>
  <x:si>
    <x:t xml:space="preserve">Days in period</x:t>
  </x:si>
  <x:si>
    <x:t xml:space="preserve">Issuer / exchange</x:t>
  </x:si>
  <x:si>
    <x:t xml:space="preserve">Micron Technology, Inc. / NasdaqGS:MU</x:t>
  </x:si>
  <x:si>
    <x:t xml:space="preserve">Issuer fiscal year end</x:t>
  </x:si>
  <x:si>
    <x:t xml:space="preserve">Thursday closest to Aug 31; FY26 Q4 Sep 3</x:t>
  </x:si>
  <x:si>
    <x:t xml:space="preserve">Reporting currency / share</x:t>
  </x:si>
  <x:si>
    <x:t xml:space="preserve">USD / common share</x:t>
  </x:si>
  <x:si>
    <x:t xml:space="preserve">EPS basis</x:t>
  </x:si>
  <x:si>
    <x:t xml:space="preserve">Issuer non-GAAP diluted (CapIQ normalized proxy)</x:t>
  </x:si>
  <x:si>
    <x:t xml:space="preserve">Information cutoff</x:t>
  </x:si>
  <x:si>
    <x:t xml:space="preserve">2026-09-29 16:49:46 UTC</x:t>
  </x:si>
  <x:si>
    <x:t xml:space="preserve">HEADLINE ESTIMATE</x:t>
  </x:si>
  <x:si>
    <x:t xml:space="preserve">Shortcut estimate</x:t>
  </x:si>
  <x:si>
    <x:t xml:space="preserve">CapIQ Sep 24 mean</x:t>
  </x:si>
  <x:si>
    <x:t xml:space="preserve">Issuer guide midpoint</x:t>
  </x:si>
  <x:si>
    <x:t xml:space="preserve">vs Street</x:t>
  </x:si>
  <x:si>
    <x:t xml:space="preserve">vs guidance</x:t>
  </x:si>
  <x:si>
    <x:t xml:space="preserve">Revenue ($m)</x:t>
  </x:si>
  <x:si>
    <x:t xml:space="preserve">Normalized net income ($m)</x:t>
  </x:si>
  <x:si>
    <x:t xml:space="preserve">unavailable</x:t>
  </x:si>
  <x:si>
    <x:t xml:space="preserve">Normalized diluted EPS ($)</x:t>
  </x:si>
  <x:si>
    <x:t xml:space="preserve">GAAP net income ($m)</x:t>
  </x:si>
  <x:si>
    <x:t xml:space="preserve">GAAP diluted EPS ($)</x:t>
  </x:si>
  <x:si>
    <x:t xml:space="preserve">P(beat consensus EPS)</x:t>
  </x:si>
  <x:si>
    <x:t xml:space="preserve">Confidence</x:t>
  </x:si>
  <x:si>
    <x:t xml:space="preserve">Expected earnings release</x:t>
  </x:si>
  <x:si>
    <x:t xml:space="preserve">2026-09-30, 4:30 p.m. ET</x:t>
  </x:si>
  <x:si>
    <x:t xml:space="preserve">CapIQ nominal period end</x:t>
  </x:si>
  <x:si>
    <x:t xml:space="preserve">2026-08-31 (issuer fiscal end: Sep 3)</x:t>
  </x:si>
  <x:si>
    <x:t xml:space="preserve">Newer LSEG estimate (Sep 25)</x:t>
  </x:si>
  <x:si>
    <x:t xml:space="preserve">EPS $31.49; revenue $50,900m</x:t>
  </x:si>
  <x:si>
    <x:t xml:space="preserve">Revenue summary</x:t>
  </x:si>
  <x:si>
    <x:t xml:space="preserve">SEGMENT REVENUE</x:t>
  </x:si>
  <x:si>
    <x:t xml:space="preserve">Cloud Memory</x:t>
  </x:si>
  <x:si>
    <x:t xml:space="preserve"> Revenue % Y/Y</x:t>
  </x:si>
  <x:si>
    <x:t xml:space="preserve"> Revenue % Q/Q</x:t>
  </x:si>
  <x:si>
    <x:t xml:space="preserve"> % of total revenue</x:t>
  </x:si>
  <x:si>
    <x:t xml:space="preserve"> Organic % Y/Y</x:t>
  </x:si>
  <x:si>
    <x:t xml:space="preserve"> M&amp;A / scope % Y/Y</x:t>
  </x:si>
  <x:si>
    <x:t xml:space="preserve"> FX impact % Y/Y</x:t>
  </x:si>
  <x:si>
    <x:t xml:space="preserve">Core Data Center</x:t>
  </x:si>
  <x:si>
    <x:t xml:space="preserve">Mobile and Client</x:t>
  </x:si>
  <x:si>
    <x:t xml:space="preserve">Automotive and Embedded</x:t>
  </x:si>
  <x:si>
    <x:t xml:space="preserve">All Other</x:t>
  </x:si>
  <x:si>
    <x:t xml:space="preserve">TOTAL REVENUE</x:t>
  </x:si>
  <x:si>
    <x:t xml:space="preserve">History vs CapIQ / FY filing; estimate cross-foot</x:t>
  </x:si>
  <x:si>
    <x:t xml:space="preserve"> Revenue growth % Y/Y</x:t>
  </x:si>
  <x:si>
    <x:t xml:space="preserve"> Revenue growth % Q/Q</x:t>
  </x:si>
  <x:si>
    <x:t xml:space="preserve">Consolidated organic % Y/Y</x:t>
  </x:si>
  <x:si>
    <x:t xml:space="preserve">Consolidated M&amp;A % Y/Y</x:t>
  </x:si>
  <x:si>
    <x:t xml:space="preserve">Consolidated FX % Y/Y</x:t>
  </x:si>
  <x:si>
    <x:t xml:space="preserve">DISCLOSED PRODUCT DRIVERS — CONSOLIDATED</x:t>
  </x:si>
  <x:si>
    <x:t xml:space="preserve">DRAM product revenue change Q/Q</x:t>
  </x:si>
  <x:si>
    <x:t xml:space="preserve"> DRAM ASP change Q/Q</x:t>
  </x:si>
  <x:si>
    <x:t xml:space="preserve">low-60%</x:t>
  </x:si>
  <x:si>
    <x:t xml:space="preserve"> DRAM bit shipments change Q/Q</x:t>
  </x:si>
  <x:si>
    <x:t xml:space="preserve">low single</x:t>
  </x:si>
  <x:si>
    <x:t xml:space="preserve">NAND product revenue change Q/Q</x:t>
  </x:si>
  <x:si>
    <x:t xml:space="preserve"> NAND ASP change Q/Q</x:t>
  </x:si>
  <x:si>
    <x:t xml:space="preserve">mid-80%</x:t>
  </x:si>
  <x:si>
    <x:t xml:space="preserve"> NAND bit shipments change Q/Q</x:t>
  </x:si>
  <x:si>
    <x:t xml:space="preserve">mid single</x:t>
  </x:si>
  <x:si>
    <x:t xml:space="preserve">DRAM product revenue change Y/Y</x:t>
  </x:si>
  <x:si>
    <x:t xml:space="preserve">NAND product revenue change Y/Y</x:t>
  </x:si>
  <x:si>
    <x:t xml:space="preserve"> DRAM ASP change Y/Y</x:t>
  </x:si>
  <x:si>
    <x:t xml:space="preserve">low-260%</x:t>
  </x:si>
  <x:si>
    <x:t xml:space="preserve"> NAND ASP change Y/Y</x:t>
  </x:si>
  <x:si>
    <x:t xml:space="preserve">mid-310%</x:t>
  </x:si>
  <x:si>
    <x:t xml:space="preserve"> DRAM bit shipments change Y/Y</x:t>
  </x:si>
  <x:si>
    <x:t xml:space="preserve">low-20%</x:t>
  </x:si>
  <x:si>
    <x:t xml:space="preserve"> NAND bit shipments change Y/Y</x:t>
  </x:si>
  <x:si>
    <x:t xml:space="preserve">low double</x:t>
  </x:si>
  <x:si>
    <x:t xml:space="preserve">Segment - Cloud Memory</x:t>
  </x:si>
  <x:si>
    <x:t xml:space="preserve">REVENUE DRIVERS — indexed bit shipments and realized pricing</x:t>
  </x:si>
  <x:si>
    <x:t xml:space="preserve">Previous quarter revenue</x:t>
  </x:si>
  <x:si>
    <x:t xml:space="preserve">Calendar-adjusted volume proxy index</x:t>
  </x:si>
  <x:si>
    <x:t xml:space="preserve">Realized revenue / volume proxy index</x:t>
  </x:si>
  <x:si>
    <x:t xml:space="preserve"> Index sequential change (index points)</x:t>
  </x:si>
  <x:si>
    <x:t xml:space="preserve">Previous revenue per fiscal day</x:t>
  </x:si>
  <x:si>
    <x:t xml:space="preserve">Expected realized revenue per day</x:t>
  </x:si>
  <x:si>
    <x:t xml:space="preserve">Volume-scaled baseline revenue</x:t>
  </x:si>
  <x:si>
    <x:t xml:space="preserve">Incremental price / mix revenue</x:t>
  </x:si>
  <x:si>
    <x:t xml:space="preserve">Gross margin %</x:t>
  </x:si>
  <x:si>
    <x:t xml:space="preserve"> Gross margin change (bp)</x:t>
  </x:si>
  <x:si>
    <x:t xml:space="preserve">GROSS PROFIT</x:t>
  </x:si>
  <x:si>
    <x:t xml:space="preserve">Operating margin %</x:t>
  </x:si>
  <x:si>
    <x:t xml:space="preserve">OPERATING PROFIT</x:t>
  </x:si>
  <x:si>
    <x:t xml:space="preserve"> Operating margin change (bp)</x:t>
  </x:si>
  <x:si>
    <x:t xml:space="preserve">Cost of goods sold</x:t>
  </x:si>
  <x:si>
    <x:t xml:space="preserve">Operating expenses</x:t>
  </x:si>
  <x:si>
    <x:t xml:space="preserve"> Reported segment revenue sequential change</x:t>
  </x:si>
  <x:si>
    <x:t xml:space="preserve"> Realized-price proxy index seq change</x:t>
  </x:si>
  <x:si>
    <x:t xml:space="preserve"> Volume proxy index seq change</x:t>
  </x:si>
  <x:si>
    <x:t xml:space="preserve">Absolute physical bit shipments unavailable</x:t>
  </x:si>
  <x:si>
    <x:t xml:space="preserve">Customer balance/additions/churn not applicable</x:t>
  </x:si>
  <x:si>
    <x:t xml:space="preserve">Segment - Core Data Center</x:t>
  </x:si>
  <x:si>
    <x:t xml:space="preserve">Segment - Mobile and Client</x:t>
  </x:si>
  <x:si>
    <x:t xml:space="preserve">Segment - Automotive Embedded</x:t>
  </x:si>
  <x:si>
    <x:t xml:space="preserve">Income Statement</x:t>
  </x:si>
  <x:si>
    <x:t xml:space="preserve">GAAP STATEMENT OF OPERATIONS</x:t>
  </x:si>
  <x:si>
    <x:t xml:space="preserve">Revenue</x:t>
  </x:si>
  <x:si>
    <x:t xml:space="preserve">Gross profit</x:t>
  </x:si>
  <x:si>
    <x:t xml:space="preserve">Research and development</x:t>
  </x:si>
  <x:si>
    <x:t xml:space="preserve">Selling, general and administrative</x:t>
  </x:si>
  <x:si>
    <x:t xml:space="preserve">Restructuring and impairment</x:t>
  </x:si>
  <x:si>
    <x:t xml:space="preserve">Other operating expense / (income)</x:t>
  </x:si>
  <x:si>
    <x:t xml:space="preserve">Operating income</x:t>
  </x:si>
  <x:si>
    <x:t xml:space="preserve">Interest income</x:t>
  </x:si>
  <x:si>
    <x:t xml:space="preserve">Interest expense</x:t>
  </x:si>
  <x:si>
    <x:t xml:space="preserve">Other non-operating income / (expense)</x:t>
  </x:si>
  <x:si>
    <x:t xml:space="preserve">Pre-tax income</x:t>
  </x:si>
  <x:si>
    <x:t xml:space="preserve">Income tax provision</x:t>
  </x:si>
  <x:si>
    <x:t xml:space="preserve">Effective tax rate %</x:t>
  </x:si>
  <x:si>
    <x:t xml:space="preserve">Equity-method earnings</x:t>
  </x:si>
  <x:si>
    <x:t xml:space="preserve">GAAP net income</x:t>
  </x:si>
  <x:si>
    <x:t xml:space="preserve">Net margin %</x:t>
  </x:si>
  <x:si>
    <x:t xml:space="preserve">Basic weighted-average shares</x:t>
  </x:si>
  <x:si>
    <x:t xml:space="preserve">GAAP diluted weighted-average shares</x:t>
  </x:si>
  <x:si>
    <x:t xml:space="preserve">GAAP basic EPS</x:t>
  </x:si>
  <x:si>
    <x:t xml:space="preserve">GAAP diluted EPS</x:t>
  </x:si>
  <x:si>
    <x:t xml:space="preserve">CapIQ GAAP EPS actual / check</x:t>
  </x:si>
  <x:si>
    <x:t xml:space="preserve">BRIDGE TO NORMALIZED DILUTED EPS</x:t>
  </x:si>
  <x:si>
    <x:t xml:space="preserve">SBC – COGS (historical: total SBC)</x:t>
  </x:si>
  <x:si>
    <x:t xml:space="preserve">SBC – R&amp;D</x:t>
  </x:si>
  <x:si>
    <x:t xml:space="preserve">SBC – SG&amp;A</x:t>
  </x:si>
  <x:si>
    <x:t xml:space="preserve">Loss on debt prepayments</x:t>
  </x:si>
  <x:si>
    <x:t xml:space="preserve">Restructuring and impairment addback</x:t>
  </x:si>
  <x:si>
    <x:t xml:space="preserve">Patent license adjustment</x:t>
  </x:si>
  <x:si>
    <x:t xml:space="preserve">Other non-GAAP adjustments</x:t>
  </x:si>
  <x:si>
    <x:t xml:space="preserve">Tax effects of adjustments</x:t>
  </x:si>
  <x:si>
    <x:t xml:space="preserve">Normalized net income</x:t>
  </x:si>
  <x:si>
    <x:t xml:space="preserve">Non-GAAP additional diluted shares</x:t>
  </x:si>
  <x:si>
    <x:t xml:space="preserve">Normalized diluted shares</x:t>
  </x:si>
  <x:si>
    <x:t xml:space="preserve">Normalized diluted EPS</x:t>
  </x:si>
  <x:si>
    <x:t xml:space="preserve">CapIQ normalized EPS actual / check</x:t>
  </x:si>
  <x:si>
    <x:t xml:space="preserve">GAAP EPS reconciliation check</x:t>
  </x:si>
  <x:si>
    <x:t xml:space="preserve">Normalized NI bridge check</x:t>
  </x:si>
  <x:si>
    <x:t xml:space="preserve"> Gross profit growth % Y/Y</x:t>
  </x:si>
  <x:si>
    <x:t xml:space="preserve"> Normalized EPS growth % Y/Y</x:t>
  </x:si>
  <x:si>
    <x:t xml:space="preserve"> Operating margin sequential change (bp)</x:t>
  </x:si>
  <x:si>
    <x:t xml:space="preserve"> Effective tax rate sequential change (bp)</x:t>
  </x:si>
  <x:si>
    <x:t xml:space="preserve"> Net margin sequential change (bp)</x:t>
  </x:si>
  <x:si>
    <x:t xml:space="preserve">Balance Sheet</x:t>
  </x:si>
  <x:si>
    <x:t xml:space="preserve">BALANCE SHEET / CASH ($m)</x:t>
  </x:si>
  <x:si>
    <x:t xml:space="preserve">Cash and equivalents</x:t>
  </x:si>
  <x:si>
    <x:t xml:space="preserve">Memo: restricted cash (excluded from BS cash)</x:t>
  </x:si>
  <x:si>
    <x:t xml:space="preserve">Short-term investments</x:t>
  </x:si>
  <x:si>
    <x:t xml:space="preserve">Receivables</x:t>
  </x:si>
  <x:si>
    <x:t xml:space="preserve">Inventories</x:t>
  </x:si>
  <x:si>
    <x:t xml:space="preserve">Other current assets</x:t>
  </x:si>
  <x:si>
    <x:t xml:space="preserve">CURRENT ASSETS</x:t>
  </x:si>
  <x:si>
    <x:t xml:space="preserve">Long-term marketable investments</x:t>
  </x:si>
  <x:si>
    <x:t xml:space="preserve">Property, plant, and equipment</x:t>
  </x:si>
  <x:si>
    <x:t xml:space="preserve">Operating lease right-of-use assets</x:t>
  </x:si>
  <x:si>
    <x:t xml:space="preserve">Intangible assets</x:t>
  </x:si>
  <x:si>
    <x:t xml:space="preserve">Deferred tax assets</x:t>
  </x:si>
  <x:si>
    <x:t xml:space="preserve">Goodwill</x:t>
  </x:si>
  <x:si>
    <x:t xml:space="preserve">Other noncurrent assets</x:t>
  </x:si>
  <x:si>
    <x:t xml:space="preserve">TOTAL ASSETS</x:t>
  </x:si>
  <x:si>
    <x:t xml:space="preserve">Accounts payable and accrued expenses</x:t>
  </x:si>
  <x:si>
    <x:t xml:space="preserve">Current debt</x:t>
  </x:si>
  <x:si>
    <x:t xml:space="preserve">Other current liabilities</x:t>
  </x:si>
  <x:si>
    <x:t xml:space="preserve">CURRENT LIABILITIES</x:t>
  </x:si>
  <x:si>
    <x:t xml:space="preserve">Long-term debt</x:t>
  </x:si>
  <x:si>
    <x:t xml:space="preserve">Noncurrent operating lease liabilities</x:t>
  </x:si>
  <x:si>
    <x:t xml:space="preserve">Noncurrent unearned government incentives</x:t>
  </x:si>
  <x:si>
    <x:t xml:space="preserve">Other noncurrent liabilities</x:t>
  </x:si>
  <x:si>
    <x:t xml:space="preserve">TOTAL LIABILITIES</x:t>
  </x:si>
  <x:si>
    <x:t xml:space="preserve">Common stock</x:t>
  </x:si>
  <x:si>
    <x:t xml:space="preserve">Additional capital</x:t>
  </x:si>
  <x:si>
    <x:t xml:space="preserve">Retained earnings</x:t>
  </x:si>
  <x:si>
    <x:t xml:space="preserve">Treasury stock</x:t>
  </x:si>
  <x:si>
    <x:t xml:space="preserve">Accumulated other comprehensive income (loss)</x:t>
  </x:si>
  <x:si>
    <x:t xml:space="preserve">TOTAL EQUITY</x:t>
  </x:si>
  <x:si>
    <x:t xml:space="preserve">TOTAL LIABILITIES &amp; EQUITY</x:t>
  </x:si>
  <x:si>
    <x:t xml:space="preserve">Assets less liabilities less equity</x:t>
  </x:si>
  <x:si>
    <x:t xml:space="preserve">Q4 other-liabilities reconciliation change</x:t>
  </x:si>
  <x:si>
    <x:t xml:space="preserve">Cash Flow Statement</x:t>
  </x:si>
  <x:si>
    <x:t xml:space="preserve">STATEMENT OF CASH FLOWS</x:t>
  </x:si>
  <x:si>
    <x:t xml:space="preserve">Net cash from operating activities</x:t>
  </x:si>
  <x:si>
    <x:t xml:space="preserve">Capital expenditure, gross</x:t>
  </x:si>
  <x:si>
    <x:t xml:space="preserve">Other investing / grants / securities</x:t>
  </x:si>
  <x:si>
    <x:t xml:space="preserve">Depreciation and amortization (memo)</x:t>
  </x:si>
  <x:si>
    <x:t xml:space="preserve">Net cash used in investing</x:t>
  </x:si>
  <x:si>
    <x:t xml:space="preserve">Net cash from financing</x:t>
  </x:si>
  <x:si>
    <x:t xml:space="preserve">Currency impact on restricted cash</x:t>
  </x:si>
  <x:si>
    <x:t xml:space="preserve">Net change in cash incl restricted</x:t>
  </x:si>
  <x:si>
    <x:t xml:space="preserve">Beginning cash incl restricted</x:t>
  </x:si>
  <x:si>
    <x:t xml:space="preserve">Ending cash incl restricted</x:t>
  </x:si>
  <x:si>
    <x:t xml:space="preserve">Cash movement vs BS + restricted</x:t>
  </x:si>
  <x:si>
    <x:t xml:space="preserve">Operating + investing + financing + FX vs movement</x:t>
  </x:si>
  <x:si>
    <x:t xml:space="preserve">Stock-based compensation (memo)</x:t>
  </x:si>
  <x:si>
    <x:t xml:space="preserve">Geo</x:t>
  </x:si>
  <x:si>
    <x:t xml:space="preserve">Customer headquarters (FY25 10-K Note 29)</x:t>
  </x:si>
  <x:si>
    <x:t xml:space="preserve">United States</x:t>
  </x:si>
  <x:si>
    <x:t xml:space="preserve">Taiwan</x:t>
  </x:si>
  <x:si>
    <x:t xml:space="preserve">Mainland China</x:t>
  </x:si>
  <x:si>
    <x:t xml:space="preserve">Other Asia Pacific</x:t>
  </x:si>
  <x:si>
    <x:t xml:space="preserve">Hong Kong</x:t>
  </x:si>
  <x:si>
    <x:t xml:space="preserve">Japan</x:t>
  </x:si>
  <x:si>
    <x:t xml:space="preserve">Europe</x:t>
  </x:si>
  <x:si>
    <x:t xml:space="preserve">Other</x:t>
  </x:si>
  <x:si>
    <x:t xml:space="preserve">TOTAL REVENUE BY GEOGRAPHY</x:t>
  </x:si>
  <x:si>
    <x:t xml:space="preserve">Geo less reported consolidated revenue</x:t>
  </x:si>
  <x:si>
    <x:t xml:space="preserve">Share Count</x:t>
  </x:si>
  <x:si>
    <x:t xml:space="preserve">WEIGHTED-AVERAGE SHARES AND ISSUANCE</x:t>
  </x:si>
  <x:si>
    <x:t xml:space="preserve">Incremental GAAP dilutive shares</x:t>
  </x:si>
  <x:si>
    <x:t xml:space="preserve">GAAP diluted shares</x:t>
  </x:si>
  <x:si>
    <x:t xml:space="preserve">Stock-compensation denominator adjustment</x:t>
  </x:si>
  <x:si>
    <x:t xml:space="preserve">Repurchase program ($ cash)</x:t>
  </x:si>
  <x:si>
    <x:t xml:space="preserve">Employee award tax withholding ($ cash)</x:t>
  </x:si>
  <x:si>
    <x:t xml:space="preserve">Gross new shares issued (not separately disclosed)</x:t>
  </x:si>
  <x:si>
    <x:t xml:space="preserve">EPS denominator — GAAP check</x:t>
  </x:si>
  <x:si>
    <x:t xml:space="preserve">EPS denominator — normalized check</x:t>
  </x:si>
  <x:si>
    <x:t xml:space="preserve">Prior-quarter basic shares movement</x:t>
  </x:si>
  <x:si>
    <x:t xml:space="preserve">Guidance</x:t>
  </x:si>
  <x:si>
    <x:t xml:space="preserve">Issued</x:t>
  </x:si>
  <x:si>
    <x:t xml:space="preserve">For quarter</x:t>
  </x:si>
  <x:si>
    <x:t xml:space="preserve">Metric</x:t>
  </x:si>
  <x:si>
    <x:t xml:space="preserve">Low</x:t>
  </x:si>
  <x:si>
    <x:t xml:space="preserve">High</x:t>
  </x:si>
  <x:si>
    <x:t xml:space="preserve">Midpoint</x:t>
  </x:si>
  <x:si>
    <x:t xml:space="preserve">Actual</x:t>
  </x:si>
  <x:si>
    <x:t xml:space="preserve">Beat/(miss)</x:t>
  </x:si>
  <x:si>
    <x:t xml:space="preserve">GAAP gross margin</x:t>
  </x:si>
  <x:si>
    <x:t xml:space="preserve">Adjusted gross margin</x:t>
  </x:si>
  <x:si>
    <x:t xml:space="preserve">GAAP operating expenses</x:t>
  </x:si>
  <x:si>
    <x:t xml:space="preserve">Adjusted operating expenses</x:t>
  </x:si>
  <x:si>
    <x:t xml:space="preserve">Sources</x:t>
  </x:si>
  <x:si>
    <x:t xml:space="preserve">ID</x:t>
  </x:si>
  <x:si>
    <x:t xml:space="preserve">Publication date</x:t>
  </x:si>
  <x:si>
    <x:t xml:space="preserve">Publisher</x:t>
  </x:si>
  <x:si>
    <x:t xml:space="preserve">URL / attached file</x:t>
  </x:si>
  <x:si>
    <x:t xml:space="preserve">Model use</x:t>
  </x:si>
  <x:si>
    <x:t xml:space="preserve">Notes / source limitations</x:t>
  </x:si>
  <x:si>
    <x:t xml:space="preserve">S01</x:t>
  </x:si>
  <x:si>
    <x:t xml:space="preserve">S&amp;P Capital IQ</x:t>
  </x:si>
  <x:si>
    <x:t xml:space="preserve">MU_consensus.json</x:t>
  </x:si>
  <x:si>
    <x:t xml:space="preserve">Headline Street snapshot; complete usable summary row; n=33 normalized</x:t>
  </x:si>
  <x:si>
    <x:t xml:space="preserve">S02</x:t>
  </x:si>
  <x:si>
    <x:t xml:space="preserve">MU_history.csv</x:t>
  </x:si>
  <x:si>
    <x:t xml:space="preserve">Six historical normalized and GAAP EPS and revenue actual/mean pairs</x:t>
  </x:si>
  <x:si>
    <x:t xml:space="preserve">S03</x:t>
  </x:si>
  <x:si>
    <x:t xml:space="preserve">SEC / Micron</x:t>
  </x:si>
  <x:si>
    <x:t xml:space="preserve">https://www.sec.gov/Archives/edgar/data/723125/000072312525000024/a2025q4ex991-pressrelease.htm</x:t>
  </x:si>
  <x:si>
    <x:t xml:space="preserve">FY25 and 4Q25 reported revenue, income, shares, cash flows</x:t>
  </x:si>
  <x:si>
    <x:t xml:space="preserve">S04</x:t>
  </x:si>
  <x:si>
    <x:t xml:space="preserve">https://www.sec.gov/Archives/edgar/data/723125/000072312525000028/mu-20250828.htm</x:t>
  </x:si>
  <x:si>
    <x:t xml:space="preserve">Audited FY25 report; segments and fiscal calendar</x:t>
  </x:si>
  <x:si>
    <x:t xml:space="preserve">S05</x:t>
  </x:si>
  <x:si>
    <x:t xml:space="preserve">https://www.sec.gov/Archives/edgar/data/723125/000072312525000044/a2026q1ex991-pressrelease.htm</x:t>
  </x:si>
  <x:si>
    <x:t xml:space="preserve">1Q26 income, guidance, reconciliation</x:t>
  </x:si>
  <x:si>
    <x:t xml:space="preserve">S06</x:t>
  </x:si>
  <x:si>
    <x:t xml:space="preserve">https://www.sec.gov/Archives/edgar/data/723125/000072312525000046/mu-20251127.htm</x:t>
  </x:si>
  <x:si>
    <x:t xml:space="preserve">1Q26 segment-level results</x:t>
  </x:si>
  <x:si>
    <x:t xml:space="preserve">S07</x:t>
  </x:si>
  <x:si>
    <x:t xml:space="preserve">https://www.sec.gov/Archives/edgar/data/723125/000072312526000004/a2026q2ex991-pressrelease.htm</x:t>
  </x:si>
  <x:si>
    <x:t xml:space="preserve">2Q26 income and 3Q26 guidance</x:t>
  </x:si>
  <x:si>
    <x:t xml:space="preserve">S08</x:t>
  </x:si>
  <x:si>
    <x:t xml:space="preserve">https://www.sec.gov/Archives/edgar/data/723125/000072312526000006/mu-20260226.htm</x:t>
  </x:si>
  <x:si>
    <x:t xml:space="preserve">2Q26 business-unit segment results</x:t>
  </x:si>
  <x:si>
    <x:t xml:space="preserve">S09</x:t>
  </x:si>
  <x:si>
    <x:t xml:space="preserve">https://www.sec.gov/Archives/edgar/data/723125/000072312526000013/a2026q3ex991-pressrelease.htm</x:t>
  </x:si>
  <x:si>
    <x:t xml:space="preserve">3Q26 income, GAAP bridge, 4Q26 guidance</x:t>
  </x:si>
  <x:si>
    <x:t xml:space="preserve">S10</x:t>
  </x:si>
  <x:si>
    <x:t xml:space="preserve">https://www.sec.gov/Archives/edgar/data/723125/000072312526000015/mu-20260528.htm</x:t>
  </x:si>
  <x:si>
    <x:t xml:space="preserve">3Q26 segments; FY26 has 53 weeks; Q4 14 weeks</x:t>
  </x:si>
  <x:si>
    <x:t xml:space="preserve">S11</x:t>
  </x:si>
  <x:si>
    <x:t xml:space="preserve">https://www.sec.gov/Archives/edgar/data/723125/000072312525000028/R63.htm</x:t>
  </x:si>
  <x:si>
    <x:t xml:space="preserve">FY25 eight geographic markets; quarterly geography unavailable</x:t>
  </x:si>
  <x:si>
    <x:t xml:space="preserve">S12</x:t>
  </x:si>
  <x:si>
    <x:t xml:space="preserve">Micron IR</x:t>
  </x:si>
  <x:si>
    <x:t xml:space="preserve">https://investors.micron.com/news/press-release/2026/Micron-Technology-to-Report-Fiscal-Fourth-Quarter-Results-on-September-30-2026/default.aspx</x:t>
  </x:si>
  <x:si>
    <x:t xml:space="preserve">Expected release date Sep30; no results as of cutoff</x:t>
  </x:si>
  <x:si>
    <x:t xml:space="preserve">S13</x:t>
  </x:si>
  <x:si>
    <x:t xml:space="preserve">Pip Theory</x:t>
  </x:si>
  <x:si>
    <x:t xml:space="preserve">https://piptheory.com/research/micron-q4-fy2026-earnings-preview-14-week-quarter</x:t>
  </x:si>
  <x:si>
    <x:t xml:space="preserve">Newer LSEG $50.9bn and $31.49; contextual not frozen baseline</x:t>
  </x:si>
  <x:si>
    <x:t xml:space="preserve">S14</x:t>
  </x:si>
  <x:si>
    <x:t xml:space="preserve">TrendForce</x:t>
  </x:si>
  <x:si>
    <x:t xml:space="preserve">https://www.trendforce.com/news/2026/09/16/insights-memory-spot-price-update-dram-spot-cools-as-ddr5-inquiries-slow-2gx8-ddr4-prices-retreat/</x:t>
  </x:si>
  <x:si>
    <x:t xml:space="preserve">Downside: DDR5 spot cooling, NAND spot -0.31%</x:t>
  </x:si>
  <x:si>
    <x:t xml:space="preserve">S15</x:t>
  </x:si>
  <x:si>
    <x:t xml:space="preserve">SK hynix</x:t>
  </x:si>
  <x:si>
    <x:t xml:space="preserve">https://news.skhynix.com/en/q2-2026-business-results/</x:t>
  </x:si>
  <x:si>
    <x:t xml:space="preserve">Peer evidence: DRAM and NAND ASPs rose sequentially</x:t>
  </x:si>
  <x:si>
    <x:t xml:space="preserve">S16</x:t>
  </x:si>
  <x:si>
    <x:t xml:space="preserve">StockAnalysis</x:t>
  </x:si>
  <x:si>
    <x:t xml:space="preserve">https://stockanalysis.com/stocks/mu/market-cap/</x:t>
  </x:si>
  <x:si>
    <x:t xml:space="preserve">Market capitalization $1.19T</x:t>
  </x:si>
  <x:si>
    <x:t xml:space="preserve">S17</x:t>
  </x:si>
  <x:si>
    <x:t xml:space="preserve">ChartRow</x:t>
  </x:si>
  <x:si>
    <x:t xml:space="preserve">https://chartrow.com/sp500/companies</x:t>
  </x:si>
  <x:si>
    <x:t xml:space="preserve">MU appears as S&amp;P 500 constituent Sep 11</x:t>
  </x:si>
  <x:si>
    <x:t xml:space="preserve">S18</x:t>
  </x:si>
  <x:si>
    <x:t xml:space="preserve">Model convention</x:t>
  </x:si>
  <x:si>
    <x:t xml:space="preserve">local forecast assumption</x:t>
  </x:si>
  <x:si>
    <x:t xml:space="preserve">Issuer fiscal year ends 2026-09-03; vendor nominal target 2026-08-31</x:t>
  </x:si>
  <x:si>
    <x:t xml:space="preserve">Attached MU_history.csv SHA256</x:t>
  </x:si>
  <x:si>
    <x:t xml:space="preserve">Attached MU_consensus.json SHA256</x:t>
  </x:si>
  <x:si>
    <x:t xml:space="preserve">Consensus date (not Sep 26)</x:t>
  </x:si>
  <x:si>
    <x:t xml:space="preserve">FY25 revenue: 9mo + fourth minus annual</x:t>
  </x:si>
  <x:si>
    <x:t xml:space="preserve">FY25 COGS: 9mo + fourth minus annual</x:t>
  </x:si>
  <x:si>
    <x:t xml:space="preserve">FY25 GP: 9mo + fourth minus annual</x:t>
  </x:si>
  <x:si>
    <x:t xml:space="preserve">No customer / bit shipment count ladder</x:t>
  </x:si>
  <x:si>
    <x:t xml:space="preserve">10-Q May28: segment physical unit counts / ASP levels unavailable</x:t>
  </x:si>
  <x:si>
    <x:t xml:space="preserve">No quarterly geography</x:t>
  </x:si>
  <x:si>
    <x:t xml:space="preserve">FY25 10-K Note29 discloses annual geographic revenue only</x:t>
  </x:si>
  <x:si>
    <x:t xml:space="preserve">No annual segment asset allocation</x:t>
  </x:si>
  <x:si>
    <x:t xml:space="preserve">10-Q May28 explicitly does not assign segment assets</x:t>
  </x:si>
  <x:si>
    <x:t xml:space="preserve">Product breakdown limitation</x:t>
  </x:si>
  <x:si>
    <x:t xml:space="preserve">May 2026 10-Q DRAM/NAND directional growth and ASP/bit ranges preserved at Revenue summary!H57:H68; no absolute product sales by business unit published.</x:t>
  </x:si>
  <x:si>
    <x:t xml:space="preserve">FX / M&amp;A assumption</x:t>
  </x:si>
  <x:si>
    <x:t xml:space="preserve">Zero: issuer does not quantify quarter-specific impacts</x:t>
  </x:si>
  <x:si>
    <x:t xml:space="preserve">Q4 balance-sheet accruals forecast</x:t>
  </x:si>
  <x:si>
    <x:t xml:space="preserve">Forecast Geo caveat</x:t>
  </x:si>
  <x:si>
    <x:t xml:space="preserve">FY25 mix mechanically allocated to forecast; annual FY25 and consolidated projection check only.</x:t>
  </x:si>
  <x:si>
    <x:t xml:space="preserve">Physical-volume caveat</x:t>
  </x:si>
  <x:si>
    <x:t xml:space="preserve">Issuer does not publish physical bit shipment levels / customer-add and churn ladder by segment.</x:t>
  </x:si>
  <x:si>
    <x:t xml:space="preserve">Inputs</x:t>
  </x:si>
  <x:si>
    <x:t xml:space="preserve">CAPITAL IQ — HISTORICAL EPS &amp; REVENUE</x:t>
  </x:si>
  <x:si>
    <x:t xml:space="preserve">period_end_date</x:t>
  </x:si>
  <x:si>
    <x:t xml:space="preserve">eps_normalized_consensus</x:t>
  </x:si>
  <x:si>
    <x:t xml:space="preserve">eps_normalized_actual</x:t>
  </x:si>
  <x:si>
    <x:t xml:space="preserve">eps_gaap_consensus</x:t>
  </x:si>
  <x:si>
    <x:t xml:space="preserve">eps_gaap_actual</x:t>
  </x:si>
  <x:si>
    <x:t xml:space="preserve">revenue_m_consensus</x:t>
  </x:si>
  <x:si>
    <x:t xml:space="preserve">revenue_m_actual</x:t>
  </x:si>
  <x:si>
    <x:t xml:space="preserve">report_date</x:t>
  </x:si>
  <x:si>
    <x:t xml:space="preserve">CAPITAL IQ — COMPLETE SUMMARY ROW (excluding malformed target price data)</x:t>
  </x:si>
  <x:si>
    <x:t xml:space="preserve">ticker</x:t>
  </x:si>
  <x:si>
    <x:t xml:space="preserve">MU</x:t>
  </x:si>
  <x:si>
    <x:t xml:space="preserve">company</x:t>
  </x:si>
  <x:si>
    <x:t xml:space="preserve">exchange_ticker</x:t>
  </x:si>
  <x:si>
    <x:t xml:space="preserve">NasdaqGS:MU</x:t>
  </x:si>
  <x:si>
    <x:t xml:space="preserve">capiq_company_id</x:t>
  </x:si>
  <x:si>
    <x:t xml:space="preserve">analyst_count</x:t>
  </x:si>
  <x:si>
    <x:t xml:space="preserve">fiscal_year_end</x:t>
  </x:si>
  <x:si>
    <x:t xml:space="preserve">Aug-31</x:t>
  </x:si>
  <x:si>
    <x:t xml:space="preserve">forward_quarter_label</x:t>
  </x:si>
  <x:si>
    <x:t xml:space="preserve">FQ4 2026 - Aug 2026</x:t>
  </x:si>
  <x:si>
    <x:t xml:space="preserve">expected_report_date</x:t>
  </x:si>
  <x:si>
    <x:t xml:space="preserve">eps_normalized_mean</x:t>
  </x:si>
  <x:si>
    <x:t xml:space="preserve">eps_normalized_median</x:t>
  </x:si>
  <x:si>
    <x:t xml:space="preserve">eps_normalized_high</x:t>
  </x:si>
  <x:si>
    <x:t xml:space="preserve">eps_normalized_low</x:t>
  </x:si>
  <x:si>
    <x:t xml:space="preserve">eps_normalized_std_dev</x:t>
  </x:si>
  <x:si>
    <x:t xml:space="preserve">eps_normalized_n_est</x:t>
  </x:si>
  <x:si>
    <x:t xml:space="preserve">eps_normalized_guidance</x:t>
  </x:si>
  <x:si>
    <x:t xml:space="preserve">eps_normalized_guidance_low</x:t>
  </x:si>
  <x:si>
    <x:t xml:space="preserve">eps_normalized_guidance_high</x:t>
  </x:si>
  <x:si>
    <x:t xml:space="preserve">eps_gaap_mean</x:t>
  </x:si>
  <x:si>
    <x:t xml:space="preserve">eps_gaap_median</x:t>
  </x:si>
  <x:si>
    <x:t xml:space="preserve">eps_gaap_high</x:t>
  </x:si>
  <x:si>
    <x:t xml:space="preserve">eps_gaap_low</x:t>
  </x:si>
  <x:si>
    <x:t xml:space="preserve">eps_gaap_std_dev</x:t>
  </x:si>
  <x:si>
    <x:t xml:space="preserve">eps_gaap_n_est</x:t>
  </x:si>
  <x:si>
    <x:t xml:space="preserve">eps_gaap_guidance_low</x:t>
  </x:si>
  <x:si>
    <x:t xml:space="preserve">eps_gaap_guidance_high</x:t>
  </x:si>
  <x:si>
    <x:t xml:space="preserve">revenue_m_mean</x:t>
  </x:si>
  <x:si>
    <x:t xml:space="preserve">revenue_m_median</x:t>
  </x:si>
  <x:si>
    <x:t xml:space="preserve">revenue_m_high</x:t>
  </x:si>
  <x:si>
    <x:t xml:space="preserve">revenue_m_low</x:t>
  </x:si>
  <x:si>
    <x:t xml:space="preserve">revenue_m_std_dev</x:t>
  </x:si>
  <x:si>
    <x:t xml:space="preserve">revenue_m_n_est</x:t>
  </x:si>
  <x:si>
    <x:t xml:space="preserve">revenue_m_guidance_low</x:t>
  </x:si>
  <x:si>
    <x:t xml:space="preserve">revenue_m_guidance_high</x:t>
  </x:si>
  <x:si>
    <x:t xml:space="preserve">ebitda_m_mean</x:t>
  </x:si>
  <x:si>
    <x:t xml:space="preserve">ebit_m_mean</x:t>
  </x:si>
  <x:si>
    <x:t xml:space="preserve">net_income_excl_excep_m_mean</x:t>
  </x:si>
  <x:si>
    <x:t xml:space="preserve">net_income_gaap_m_mean</x:t>
  </x:si>
  <x:si>
    <x:t xml:space="preserve">gross_margin_pct_mean</x:t>
  </x:si>
  <x:si>
    <x:t xml:space="preserve">effective_tax_rate_pct_mean</x:t>
  </x:si>
  <x:si>
    <x:t xml:space="preserve">capex_m_mean</x:t>
  </x:si>
  <x:si>
    <x:t xml:space="preserve">fcf_m_mean</x:t>
  </x:si>
  <x:si>
    <x:t xml:space="preserve">cfo_m_mean</x:t>
  </x:si>
  <x:si>
    <x:t xml:space="preserve">d_and_a_m_mean</x:t>
  </x:si>
  <x:si>
    <x:t xml:space="preserve">recommendation</x:t>
  </x:si>
  <x:si>
    <x:t xml:space="preserve">Buy</x:t>
  </x:si>
  <x:si>
    <x:t xml:space="preserve">recommendation_score</x:t>
  </x:si>
  <x:si>
    <x:t xml:space="preserve">last_close_price</x:t>
  </x:si>
  <x:si>
    <x:t xml:space="preserve">notes</x:t>
  </x:si>
  <x:si>
    <x:t xml:space="preserve">Call scheduled 4:30 p.m. Sep 30. 52wk range 1255.00/154.65.</x:t>
  </x:si>
  <x:si>
    <x:t xml:space="preserve">MU_history.csv SHA256</x:t>
  </x:si>
  <x:si>
    <x:t xml:space="preserve">ccd35d98107c541b694c774102d13befc5f4462c6a9354e00f9c6654fa45d223</x:t>
  </x:si>
  <x:si>
    <x:t xml:space="preserve">MU_consensus.json SHA256</x:t>
  </x:si>
  <x:si>
    <x:t xml:space="preserve">dd7ba50acc461d0c4f35159e99baa611723ccde23ba911acd968fee451c3bb46</x:t>
  </x:si>
  <x:si>
    <x:t xml:space="preserve">Consensus captured</x:t>
  </x:si>
  <x:si>
    <x:t xml:space="preserve">Source provider</x:t>
  </x:si>
  <x:si>
    <x:t xml:space="preserve">FY26 Q4 weeks</x:t>
  </x:si>
  <x:si>
    <x:t xml:space="preserve">Regular fiscal-quarter weeks</x:t>
  </x:si>
  <x:si>
    <x:t xml:space="preserve">CMBU price/mix index</x:t>
  </x:si>
  <x:si>
    <x:t xml:space="preserve">CDBU price/mix index</x:t>
  </x:si>
  <x:si>
    <x:t xml:space="preserve">MCBU price/mix index</x:t>
  </x:si>
  <x:si>
    <x:t xml:space="preserve">AEBU price/mix index</x:t>
  </x:si>
  <x:si>
    <x:t xml:space="preserve">All Other price/mix index</x:t>
  </x:si>
  <x:si>
    <x:t xml:space="preserve">Forecast GAAP gross margin</x:t>
  </x:si>
  <x:si>
    <x:t xml:space="preserve">Forecast R&amp;D</x:t>
  </x:si>
  <x:si>
    <x:t xml:space="preserve">Forecast SG&amp;A</x:t>
  </x:si>
  <x:si>
    <x:t xml:space="preserve">Forecast other operating expense</x:t>
  </x:si>
  <x:si>
    <x:t xml:space="preserve">Forecast interest income</x:t>
  </x:si>
  <x:si>
    <x:t xml:space="preserve">Forecast interest expense</x:t>
  </x:si>
  <x:si>
    <x:t xml:space="preserve">Forecast other non-operating</x:t>
  </x:si>
  <x:si>
    <x:t xml:space="preserve">Forecast effective GAAP tax rate</x:t>
  </x:si>
  <x:si>
    <x:t xml:space="preserve">Forecast equity-method income</x:t>
  </x:si>
  <x:si>
    <x:t xml:space="preserve">Forecast basic shares</x:t>
  </x:si>
  <x:si>
    <x:t xml:space="preserve">Forecast GAAP diluted shares</x:t>
  </x:si>
  <x:si>
    <x:t xml:space="preserve">Forecast non-GAAP share adjustment</x:t>
  </x:si>
  <x:si>
    <x:t xml:space="preserve">Stock comp — COGS adjustment</x:t>
  </x:si>
  <x:si>
    <x:t xml:space="preserve">Stock comp — R&amp;D adjustment</x:t>
  </x:si>
  <x:si>
    <x:t xml:space="preserve">Stock comp — SG&amp;A adjustment</x:t>
  </x:si>
  <x:si>
    <x:t xml:space="preserve">Adjustment tax effects</x:t>
  </x:si>
  <x:si>
    <x:t xml:space="preserve">Forecast capital expenditures</x:t>
  </x:si>
  <x:si>
    <x:t xml:space="preserve">Forecast other investing cash flow</x:t>
  </x:si>
  <x:si>
    <x:t xml:space="preserve">Forecast financing cash flow</x:t>
  </x:si>
  <x:si>
    <x:t xml:space="preserve">Forecast operating cash flow</x:t>
  </x:si>
  <x:si>
    <x:t xml:space="preserve">Forecast currency impact on cash</x:t>
  </x:si>
  <x:si>
    <x:t xml:space="preserve">Forecast restricted cash</x:t>
  </x:si>
  <x:si>
    <x:t xml:space="preserve">FY25 Q3 ending cash incl restricted</x:t>
  </x:si>
  <x:si>
    <x:t xml:space="preserve">FY25 opening cash incl restricted</x:t>
  </x:si>
  <x:si>
    <x:t xml:space="preserve">FY25 opening cash excl restricted</x:t>
  </x:si>
  <x:si>
    <x:t xml:space="preserve">Cohort beat prior</x:t>
  </x:si>
  <x:si>
    <x:t xml:space="preserve">Beat pseudo-observations</x:t>
  </x:si>
  <x:si>
    <x:t xml:space="preserve">Historical strict beats</x:t>
  </x:si>
  <x:si>
    <x:t xml:space="preserve">Historical usable pairs</x:t>
  </x:si>
  <x:si>
    <x:t xml:space="preserve">Quarter-specific probability change</x:t>
  </x:si>
  <x:si>
    <x:t xml:space="preserve">Forecast confidence</x:t>
  </x:si>
  <x:si>
    <x:t xml:space="preserve">medium</x:t>
  </x:si>
  <x:si>
    <x:t xml:space="preserve">Quarterly dividends / equity cash debit</x:t>
  </x:si>
  <x:si>
    <x:t xml:space="preserve">Forecast inventory increment</x:t>
  </x:si>
  <x:si>
    <x:t xml:space="preserve">Forecast payable increase</x:t>
  </x:si>
  <x:si>
    <x:t xml:space="preserve">Forecast contributed-capital increase</x:t>
  </x:si>
  <x:si>
    <x:t xml:space="preserve">Forecast balancing liabilities / accruals</x:t>
  </x:si>
  <x:si>
    <x:t xml:space="preserve">not independently guided</x:t>
  </x:si>
  <x:si>
    <x:t xml:space="preserve">Projected repurchase-program spending</x:t>
  </x:si>
  <x:si>
    <x:t xml:space="preserve">FY25 first nine months reported revenue</x:t>
  </x:si>
  <x:si>
    <x:t xml:space="preserve">FY25 first nine months reported COGS</x:t>
  </x:si>
  <x:si>
    <x:t xml:space="preserve">FY25 first nine months reported gross profit</x:t>
  </x:si>
  <x:si>
    <x:t xml:space="preserve">Basis points per percentage point</x:t>
  </x:si>
  <x:si>
    <x:t xml:space="preserve">Non-recurring adjustment assumption (no issuer Q4 event)</x:t>
  </x:si>
  <x:si>
    <x:t xml:space="preserve">Unreported scope / FX growth assumption</x:t>
  </x:si>
  <x:si>
    <x:t xml:space="preserve">Arithmetic-check tolerance ($m)</x:t>
  </x:si>
</x:sst>
</file>

<file path=xl/styles.xml><?xml version="1.0" encoding="utf-8"?>
<x:styleSheet xmlns:x="http://schemas.openxmlformats.org/spreadsheetml/2006/main">
  <x:numFmts count="6">
    <x:numFmt numFmtId="164" formatCode="yyyy-mm-dd"/>
    <x:numFmt numFmtId="165" formatCode="#,##0.0_);(#,##0.0);–_)"/>
    <x:numFmt numFmtId="166" formatCode="$0.00"/>
    <x:numFmt numFmtId="167" formatCode="0.0%_);(0.0%);–_)"/>
    <x:numFmt numFmtId="168" formatCode="0.0&quot;x&quot;"/>
    <x:numFmt numFmtId="169" formatCode="0.00"/>
  </x:numFmts>
  <x:fonts count="11">
    <x:font>
      <x:sz val="11"/>
      <x:name val="Calibri"/>
    </x:font>
    <x:font>
      <x:b/>
      <x:sz val="11"/>
      <x:color rgb="FF000000"/>
      <x:name val="Calibri"/>
    </x:font>
    <x:font>
      <x:sz val="11"/>
      <x:color rgb="FF000000"/>
      <x:name val="Calibri"/>
    </x:font>
    <x:font>
      <x:b/>
      <x:sz val="11"/>
      <x:color rgb="FF006100"/>
      <x:name val="Calibri"/>
    </x:font>
    <x:font>
      <x:sz val="11"/>
      <x:color rgb="FF0000FF"/>
      <x:name val="Calibri"/>
    </x:font>
    <x:font>
      <x:b/>
      <x:sz val="11"/>
      <x:color rgb="FF182B41"/>
      <x:name val="Calibri"/>
    </x:font>
    <x:font>
      <x:sz val="11"/>
      <x:color rgb="FF006100"/>
      <x:name val="Calibri"/>
    </x:font>
    <x:font>
      <x:b/>
      <x:sz val="11"/>
      <x:color rgb="FF0000FF"/>
      <x:name val="Calibri"/>
    </x:font>
    <x:font>
      <x:i/>
      <x:sz val="11"/>
      <x:color rgb="FF000000"/>
      <x:name val="Calibri"/>
    </x:font>
    <x:font>
      <x:i/>
      <x:sz val="11"/>
      <x:color rgb="FF006100"/>
      <x:name val="Calibri"/>
    </x:font>
    <x:font>
      <x:i/>
      <x:sz val="11"/>
      <x:color rgb="FF0000FF"/>
      <x:name val="Calibri"/>
    </x:font>
  </x:fonts>
  <x:fills count="6">
    <x:fill>
      <x:patternFill patternType="none"/>
    </x:fill>
    <x:fill>
      <x:patternFill patternType="gray125"/>
    </x:fill>
    <x:fill>
      <x:patternFill patternType="solid">
        <x:fgColor rgb="FFF1F3F5"/>
      </x:patternFill>
    </x:fill>
    <x:fill>
      <x:patternFill patternType="solid">
        <x:fgColor rgb="FFF2F7FB"/>
      </x:patternFill>
    </x:fill>
    <x:fill>
      <x:patternFill patternType="solid">
        <x:fgColor rgb="FFE5EEF5"/>
      </x:patternFill>
    </x:fill>
    <x:fill>
      <x:patternFill patternType="solid">
        <x:fgColor rgb="FFE6EAED"/>
      </x:patternFill>
    </x:fill>
  </x:fills>
  <x:borders count="4">
    <x:border/>
    <x:border>
      <x:top style="thin">
        <x:color rgb="FFC9CDD2"/>
      </x:top>
      <x:bottom style="thin">
        <x:color rgb="FFC9CDD2"/>
      </x:bottom>
    </x:border>
    <x:border>
      <x:top style="thin">
        <x:color rgb="FFA8B1B9"/>
      </x:top>
    </x:border>
    <x:border>
      <x:top style="thin">
        <x:color rgb="FFA8B1B9"/>
      </x:top>
      <x:bottom style="thin">
        <x:color rgb="FFA8B1B9"/>
      </x:bottom>
    </x:border>
  </x:borders>
  <x:cellStyleXfs count="1">
    <x:xf numFmtId="0" fontId="0" fillId="0" borderId="0"/>
  </x:cellStyleXfs>
  <x:cellXfs count="82">
    <x:xf numFmtId="0" fontId="0" fillId="0" borderId="0" xfId="0"/>
    <x:xf numFmtId="164" fontId="1" fillId="2" borderId="1" xfId="0" applyNumberFormat="1" applyFont="1" applyFill="1" applyBorder="1" applyAlignment="1">
      <x:alignment horizontal="general" vertical="bottom"/>
    </x:xf>
    <x:xf numFmtId="165" fontId="2" fillId="0" borderId="0" xfId="0" applyNumberFormat="1" applyFont="1" applyFill="1" applyAlignment="1">
      <x:alignment horizontal="general" vertical="bottom"/>
    </x:xf>
    <x:xf numFmtId="0" fontId="2" fillId="0" borderId="0" xfId="0" applyFont="1" applyFill="1" applyAlignment="1">
      <x:alignment horizontal="general" vertical="bottom"/>
    </x:xf>
    <x:xf numFmtId="165" fontId="3" fillId="0" borderId="2" xfId="0" applyNumberFormat="1" applyFont="1" applyFill="1" applyBorder="1" applyAlignment="1">
      <x:alignment horizontal="general" vertical="bottom"/>
    </x:xf>
    <x:xf numFmtId="165" fontId="1" fillId="3" borderId="2" xfId="0" applyNumberFormat="1" applyFont="1" applyFill="1" applyBorder="1" applyAlignment="1">
      <x:alignment horizontal="general" vertical="bottom"/>
    </x:xf>
    <x:xf numFmtId="165" fontId="4" fillId="0" borderId="0" xfId="0" applyNumberFormat="1" applyFont="1" applyFill="1" applyAlignment="1">
      <x:alignment horizontal="general" vertical="bottom"/>
    </x:xf>
    <x:xf numFmtId="165" fontId="2" fillId="3" borderId="0" xfId="0" applyNumberFormat="1" applyFont="1" applyFill="1" applyAlignment="1">
      <x:alignment horizontal="general" vertical="bottom"/>
    </x:xf>
    <x:xf numFmtId="0" fontId="1" fillId="4" borderId="1" xfId="0" applyFont="1" applyFill="1" applyBorder="1" applyAlignment="1">
      <x:alignment horizontal="general" vertical="bottom"/>
    </x:xf>
    <x:xf numFmtId="0" fontId="5" fillId="2" borderId="0" xfId="0" applyFont="1" applyFill="1" applyAlignment="1">
      <x:alignment horizontal="general" vertical="bottom"/>
    </x:xf>
    <x:xf numFmtId="0" fontId="1" fillId="0" borderId="2" xfId="0" applyFont="1" applyFill="1" applyBorder="1" applyAlignment="1">
      <x:alignment horizontal="general" vertical="bottom"/>
    </x:xf>
    <x:xf numFmtId="0" fontId="1" fillId="2" borderId="1" xfId="0" applyFont="1" applyFill="1" applyBorder="1" applyAlignment="1">
      <x:alignment horizontal="general" vertical="bottom"/>
    </x:xf>
    <x:xf numFmtId="165" fontId="6" fillId="0" borderId="0" xfId="0" applyNumberFormat="1" applyFont="1" applyFill="1" applyAlignment="1">
      <x:alignment horizontal="general" vertical="bottom"/>
    </x:xf>
    <x:xf numFmtId="165" fontId="3" fillId="3" borderId="2" xfId="0" applyNumberFormat="1" applyFont="1" applyFill="1" applyBorder="1" applyAlignment="1">
      <x:alignment horizontal="general" vertical="bottom"/>
    </x:xf>
    <x:xf numFmtId="165" fontId="6" fillId="3" borderId="0" xfId="0" applyNumberFormat="1" applyFont="1" applyFill="1" applyAlignment="1">
      <x:alignment horizontal="general" vertical="bottom"/>
    </x:xf>
    <x:xf numFmtId="165" fontId="7" fillId="0" borderId="2" xfId="0" applyNumberFormat="1" applyFont="1" applyFill="1" applyBorder="1" applyAlignment="1">
      <x:alignment horizontal="general" vertical="bottom"/>
    </x:xf>
    <x:xf numFmtId="165" fontId="1" fillId="0" borderId="2" xfId="0" applyNumberFormat="1" applyFont="1" applyFill="1" applyBorder="1" applyAlignment="1">
      <x:alignment horizontal="general" vertical="bottom"/>
    </x:xf>
    <x:xf numFmtId="166" fontId="6" fillId="0" borderId="0" xfId="0" applyNumberFormat="1" applyFont="1" applyFill="1" applyAlignment="1">
      <x:alignment horizontal="general" vertical="bottom"/>
    </x:xf>
    <x:xf numFmtId="0" fontId="2" fillId="0" borderId="0" xfId="0" applyFont="1" applyFill="1" applyAlignment="1">
      <x:alignment horizontal="general" vertical="bottom" wrapText="1"/>
    </x:xf>
    <x:xf numFmtId="165" fontId="1" fillId="5" borderId="3" xfId="0" applyNumberFormat="1" applyFont="1" applyFill="1" applyBorder="1" applyAlignment="1">
      <x:alignment horizontal="general" vertical="center" wrapText="1"/>
    </x:xf>
    <x:xf numFmtId="167" fontId="8" fillId="0" borderId="0" xfId="0" applyNumberFormat="1" applyFont="1" applyFill="1" applyAlignment="1">
      <x:alignment horizontal="general" vertical="bottom"/>
    </x:xf>
    <x:xf numFmtId="166" fontId="2" fillId="0" borderId="0" xfId="0" applyNumberFormat="1" applyFont="1" applyFill="1" applyAlignment="1">
      <x:alignment horizontal="general" vertical="bottom"/>
    </x:xf>
    <x:xf numFmtId="165" fontId="8" fillId="3" borderId="0" xfId="0" applyNumberFormat="1" applyFont="1" applyFill="1" applyAlignment="1">
      <x:alignment horizontal="general" vertical="bottom"/>
    </x:xf>
    <x:xf numFmtId="168" fontId="2" fillId="0" borderId="0" xfId="0" applyNumberFormat="1" applyFont="1" applyFill="1" applyAlignment="1">
      <x:alignment horizontal="general" vertical="bottom"/>
    </x:xf>
    <x:xf numFmtId="165" fontId="9" fillId="0" borderId="0" xfId="0" applyNumberFormat="1" applyFont="1" applyFill="1" applyAlignment="1">
      <x:alignment horizontal="general" vertical="bottom"/>
    </x:xf>
    <x:xf numFmtId="167" fontId="8" fillId="3" borderId="0" xfId="0" applyNumberFormat="1" applyFont="1" applyFill="1" applyAlignment="1">
      <x:alignment horizontal="general" vertical="bottom"/>
    </x:xf>
    <x:xf numFmtId="167" fontId="9" fillId="3" borderId="0" xfId="0" applyNumberFormat="1" applyFont="1" applyFill="1" applyAlignment="1">
      <x:alignment horizontal="general" vertical="bottom"/>
    </x:xf>
    <x:xf numFmtId="165" fontId="8" fillId="0" borderId="0" xfId="0" applyNumberFormat="1" applyFont="1" applyFill="1" applyAlignment="1">
      <x:alignment horizontal="general" vertical="bottom"/>
    </x:xf>
    <x:xf numFmtId="167" fontId="10" fillId="0" borderId="0" xfId="0" applyNumberFormat="1" applyFont="1" applyFill="1" applyAlignment="1">
      <x:alignment horizontal="general" vertical="bottom"/>
    </x:xf>
    <x:xf numFmtId="165" fontId="9" fillId="3" borderId="0" xfId="0" applyNumberFormat="1" applyFont="1" applyFill="1" applyAlignment="1">
      <x:alignment horizontal="general" vertical="bottom"/>
    </x:xf>
    <x:xf numFmtId="0" fontId="1" fillId="5" borderId="3" xfId="0" applyFont="1" applyFill="1" applyBorder="1" applyAlignment="1">
      <x:alignment horizontal="general" vertical="center" wrapText="1"/>
    </x:xf>
    <x:xf numFmtId="164" fontId="1" fillId="4" borderId="1" xfId="0" applyNumberFormat="1" applyFont="1" applyFill="1" applyBorder="1" applyAlignment="1">
      <x:alignment horizontal="general" vertical="bottom"/>
    </x:xf>
    <x:xf numFmtId="165" fontId="2" fillId="0" borderId="0" xfId="0" applyNumberFormat="1" applyFont="1" applyFill="1" applyAlignment="1">
      <x:alignment horizontal="general" vertical="center" wrapText="1"/>
    </x:xf>
    <x:xf numFmtId="165" fontId="2" fillId="0" borderId="0" xfId="0" applyNumberFormat="1" applyFont="1" applyFill="1" applyAlignment="1">
      <x:alignment horizontal="general" vertical="bottom" wrapText="1"/>
    </x:xf>
    <x:xf numFmtId="164" fontId="2" fillId="0" borderId="0" xfId="0" applyNumberFormat="1" applyFont="1" applyFill="1" applyAlignment="1">
      <x:alignment horizontal="general" vertical="bottom"/>
    </x:xf>
    <x:xf numFmtId="169" fontId="8" fillId="3" borderId="0" xfId="0" applyNumberFormat="1" applyFont="1" applyFill="1" applyAlignment="1">
      <x:alignment horizontal="general" vertical="bottom"/>
    </x:xf>
    <x:xf numFmtId="168" fontId="6" fillId="0" borderId="0" xfId="0" applyNumberFormat="1" applyFont="1" applyFill="1" applyAlignment="1">
      <x:alignment horizontal="general" vertical="bottom"/>
    </x:xf>
    <x:xf numFmtId="167" fontId="4" fillId="0" borderId="0" xfId="0" applyNumberFormat="1" applyFont="1" applyFill="1" applyAlignment="1">
      <x:alignment horizontal="general" vertical="bottom"/>
    </x:xf>
    <x:xf numFmtId="0" fontId="1" fillId="5" borderId="3" xfId="0" applyFont="1" applyFill="1" applyBorder="1" applyAlignment="1">
      <x:alignment horizontal="general" vertical="bottom"/>
    </x:xf>
    <x:xf numFmtId="166" fontId="4" fillId="0" borderId="0" xfId="0" applyNumberFormat="1" applyFont="1" applyFill="1" applyAlignment="1">
      <x:alignment horizontal="general" vertical="bottom"/>
    </x:xf>
    <x:xf numFmtId="167" fontId="2" fillId="0" borderId="0" xfId="0" applyNumberFormat="1" applyFont="1" applyFill="1" applyAlignment="1">
      <x:alignment horizontal="general" vertical="bottom"/>
    </x:xf>
    <x:xf numFmtId="168" fontId="6" fillId="3" borderId="0" xfId="0" applyNumberFormat="1" applyFont="1" applyFill="1" applyAlignment="1">
      <x:alignment horizontal="general" vertical="bottom"/>
    </x:xf>
    <x:xf numFmtId="0" fontId="6" fillId="0" borderId="0" xfId="0" applyFont="1" applyFill="1" applyAlignment="1">
      <x:alignment horizontal="general" vertical="bottom"/>
    </x:xf>
    <x:xf numFmtId="0" fontId="2" fillId="3" borderId="0" xfId="0" applyFont="1" applyFill="1" applyAlignment="1">
      <x:alignment horizontal="general" vertical="bottom"/>
    </x:xf>
    <x:xf numFmtId="0" fontId="4" fillId="0" borderId="0" xfId="0" applyFont="1" applyFill="1" applyAlignment="1">
      <x:alignment horizontal="general" vertical="bottom"/>
    </x:xf>
    <x:xf numFmtId="168" fontId="2" fillId="3" borderId="0" xfId="0" applyNumberFormat="1" applyFont="1" applyFill="1" applyAlignment="1">
      <x:alignment horizontal="general" vertical="bottom"/>
    </x:xf>
    <x:xf numFmtId="165" fontId="1" fillId="5" borderId="3" xfId="0" applyNumberFormat="1" applyFont="1" applyFill="1" applyBorder="1" applyAlignment="1">
      <x:alignment horizontal="general" vertical="bottom"/>
    </x:xf>
    <x:xf numFmtId="0" fontId="3" fillId="0" borderId="2" xfId="0" applyFont="1" applyFill="1" applyBorder="1" applyAlignment="1">
      <x:alignment horizontal="general" vertical="bottom"/>
    </x:xf>
    <x:xf numFmtId="167" fontId="3" fillId="0" borderId="0" xfId="0" applyNumberFormat="1" applyFont="1" applyFill="1" applyAlignment="1">
      <x:alignment horizontal="general" vertical="bottom"/>
    </x:xf>
    <x:xf numFmtId="166" fontId="1" fillId="0" borderId="2" xfId="0" applyNumberFormat="1" applyFont="1" applyFill="1" applyBorder="1" applyAlignment="1">
      <x:alignment horizontal="general" vertical="bottom"/>
    </x:xf>
    <x:xf numFmtId="167" fontId="6" fillId="0" borderId="0" xfId="0" applyNumberFormat="1" applyFont="1" applyFill="1" applyAlignment="1">
      <x:alignment horizontal="general" vertical="bottom"/>
    </x:xf>
    <x:xf numFmtId="166" fontId="1" fillId="3" borderId="2" xfId="0" applyNumberFormat="1" applyFont="1" applyFill="1" applyBorder="1" applyAlignment="1">
      <x:alignment horizontal="general" vertical="bottom"/>
    </x:xf>
    <x:xf numFmtId="166" fontId="2" fillId="3" borderId="0" xfId="0" applyNumberFormat="1" applyFont="1" applyFill="1" applyAlignment="1">
      <x:alignment horizontal="general" vertical="bottom"/>
    </x:xf>
    <x:xf numFmtId="164" fontId="4" fillId="0" borderId="0" xfId="0" applyNumberFormat="1" applyFont="1" applyFill="1" applyAlignment="1">
      <x:alignment horizontal="general" vertical="bottom" wrapText="1"/>
    </x:xf>
    <x:xf numFmtId="165" fontId="4" fillId="3" borderId="0" xfId="0" applyNumberFormat="1" applyFont="1" applyFill="1" applyAlignment="1">
      <x:alignment horizontal="general" vertical="bottom"/>
    </x:xf>
    <x:xf numFmtId="0" fontId="2" fillId="0" borderId="0" xfId="0" applyFont="1" applyFill="1" applyAlignment="1">
      <x:alignment horizontal="general" vertical="center" wrapText="1"/>
    </x:xf>
    <x:xf numFmtId="164" fontId="4" fillId="0" borderId="0" xfId="0" applyNumberFormat="1" applyFont="1" applyFill="1" applyAlignment="1">
      <x:alignment horizontal="general" vertical="bottom"/>
    </x:xf>
    <x:xf numFmtId="165" fontId="2" fillId="3" borderId="0" xfId="0" applyNumberFormat="1" applyFont="1" applyFill="1" applyAlignment="1">
      <x:alignment horizontal="general" vertical="center" wrapText="1"/>
    </x:xf>
    <x:xf numFmtId="0" fontId="1" fillId="2" borderId="1" xfId="0" applyNumberFormat="1" applyFont="1" applyFill="1" applyBorder="1" applyAlignment="1">
      <x:alignment horizontal="right" vertical="bottom"/>
    </x:xf>
    <x:xf numFmtId="0" fontId="1" fillId="4" borderId="1" xfId="0" applyNumberFormat="1" applyFont="1" applyFill="1" applyBorder="1" applyAlignment="1">
      <x:alignment horizontal="right" vertical="bottom"/>
    </x:xf>
    <x:xf numFmtId="0" fontId="1" fillId="5" borderId="3" xfId="0" applyNumberFormat="1" applyFont="1" applyFill="1" applyBorder="1" applyAlignment="1">
      <x:alignment horizontal="right" vertical="center" wrapText="1"/>
    </x:xf>
    <x:xf numFmtId="165" fontId="1" fillId="5" borderId="3" xfId="0" applyNumberFormat="1" applyFont="1" applyFill="1" applyBorder="1" applyAlignment="1">
      <x:alignment horizontal="right" vertical="center" wrapText="1"/>
    </x:xf>
    <x:xf numFmtId="165" fontId="2" fillId="0" borderId="0" xfId="0" applyNumberFormat="1" applyFont="1" applyFill="1" applyBorder="1" applyAlignment="1">
      <x:alignment horizontal="right" vertical="bottom"/>
    </x:xf>
    <x:xf numFmtId="166" fontId="6" fillId="0" borderId="0" xfId="0" applyNumberFormat="1" applyFont="1" applyFill="1" applyBorder="1" applyAlignment="1">
      <x:alignment horizontal="right" vertical="bottom"/>
    </x:xf>
    <x:xf numFmtId="165" fontId="1" fillId="0" borderId="2" xfId="0" applyNumberFormat="1" applyFont="1" applyFill="1" applyBorder="1" applyAlignment="1">
      <x:alignment horizontal="right" vertical="bottom"/>
    </x:xf>
    <x:xf numFmtId="165" fontId="4" fillId="0" borderId="0" xfId="0" applyNumberFormat="1" applyFont="1" applyFill="1" applyBorder="1" applyAlignment="1">
      <x:alignment horizontal="right" vertical="bottom"/>
    </x:xf>
    <x:xf numFmtId="165" fontId="2" fillId="3" borderId="0" xfId="0" applyNumberFormat="1" applyFont="1" applyFill="1" applyBorder="1" applyAlignment="1">
      <x:alignment horizontal="right" vertical="bottom"/>
    </x:xf>
    <x:xf numFmtId="165" fontId="1" fillId="5" borderId="3" xfId="0" applyNumberFormat="1" applyFont="1" applyFill="1" applyBorder="1" applyAlignment="1">
      <x:alignment horizontal="right" vertical="bottom"/>
    </x:xf>
    <x:xf numFmtId="167" fontId="2" fillId="0" borderId="0" xfId="0" applyNumberFormat="1" applyFont="1" applyFill="1" applyBorder="1" applyAlignment="1">
      <x:alignment horizontal="right" vertical="bottom"/>
    </x:xf>
    <x:xf numFmtId="166" fontId="2" fillId="0" borderId="0" xfId="0" applyNumberFormat="1" applyFont="1" applyFill="1" applyBorder="1" applyAlignment="1">
      <x:alignment horizontal="right" vertical="bottom"/>
    </x:xf>
    <x:xf numFmtId="167" fontId="10" fillId="0" borderId="0" xfId="0" applyNumberFormat="1" applyFont="1" applyFill="1" applyBorder="1" applyAlignment="1">
      <x:alignment horizontal="right" vertical="bottom"/>
    </x:xf>
    <x:xf numFmtId="0" fontId="2" fillId="3" borderId="0" xfId="0" applyNumberFormat="1" applyFont="1" applyFill="1" applyBorder="1" applyAlignment="1">
      <x:alignment horizontal="right" vertical="bottom"/>
    </x:xf>
    <x:xf numFmtId="0" fontId="4" fillId="0" borderId="0" xfId="0" applyNumberFormat="1" applyFont="1" applyFill="1" applyBorder="1" applyAlignment="1">
      <x:alignment horizontal="right" vertical="bottom"/>
    </x:xf>
    <x:xf numFmtId="0" fontId="1" fillId="5" borderId="3" xfId="0" applyNumberFormat="1" applyFont="1" applyFill="1" applyBorder="1" applyAlignment="1">
      <x:alignment horizontal="right" vertical="bottom"/>
    </x:xf>
    <x:xf numFmtId="0" fontId="2" fillId="0" borderId="0" xfId="0" applyNumberFormat="1" applyFont="1" applyFill="1" applyBorder="1" applyAlignment="1">
      <x:alignment horizontal="right" vertical="center" wrapText="1"/>
    </x:xf>
    <x:xf numFmtId="165" fontId="2" fillId="0" borderId="0" xfId="0" applyNumberFormat="1" applyFont="1" applyFill="1" applyBorder="1" applyAlignment="1">
      <x:alignment horizontal="right" vertical="center" wrapText="1"/>
    </x:xf>
    <x:xf numFmtId="165" fontId="2" fillId="3" borderId="0" xfId="0" applyNumberFormat="1" applyFont="1" applyFill="1" applyBorder="1" applyAlignment="1">
      <x:alignment horizontal="right" vertical="center" wrapText="1"/>
    </x:xf>
    <x:xf numFmtId="0" fontId="2" fillId="0" borderId="0" xfId="0" applyNumberFormat="1" applyFont="1" applyFill="1" applyBorder="1" applyAlignment="1">
      <x:alignment horizontal="right" vertical="bottom"/>
    </x:xf>
    <x:xf numFmtId="0" fontId="0" fillId="0" borderId="0" xfId="0" applyNumberFormat="1" applyFont="1" applyFill="1" applyBorder="1" applyAlignment="1">
      <x:alignment wrapText="1"/>
    </x:xf>
    <x:xf numFmtId="165" fontId="2" fillId="0" borderId="0" xfId="0" applyNumberFormat="1" applyFont="1" applyFill="1" applyBorder="1" applyAlignment="1">
      <x:alignment horizontal="general" vertical="bottom" wrapText="1"/>
    </x:xf>
    <x:xf numFmtId="169" fontId="4" fillId="0" borderId="0" xfId="0" applyNumberFormat="1" applyFont="1" applyFill="1" applyBorder="1" applyAlignment="1">
      <x:alignment horizontal="general" vertical="bottom"/>
    </x:xf>
    <x:xf numFmtId="164" fontId="4" fillId="3" borderId="0" xfId="0" applyNumberFormat="1" applyFont="1" applyFill="1" applyBorder="1" applyAlignment="1">
      <x:alignment horizontal="general" vertical="bottom"/>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fafa37ce262475d" /><Relationship Type="http://schemas.openxmlformats.org/officeDocument/2006/relationships/theme" Target="/xl/theme/theme1.xml" Id="R3b2b4b2629324bd7" /><Relationship Type="http://schemas.openxmlformats.org/officeDocument/2006/relationships/sharedStrings" Target="/xl/sharedStrings.xml" Id="R152b20d9f70545e5" /><Relationship Type="http://schemas.openxmlformats.org/officeDocument/2006/relationships/worksheet" Target="/xl/worksheets/sheet1.xml" Id="R883a22fad8314640" /><Relationship Type="http://schemas.openxmlformats.org/officeDocument/2006/relationships/worksheet" Target="/xl/worksheets/sheet2.xml" Id="R52a15a776bcd4ead" /><Relationship Type="http://schemas.openxmlformats.org/officeDocument/2006/relationships/worksheet" Target="/xl/worksheets/sheet3.xml" Id="R16713f69cc1f4e85" /><Relationship Type="http://schemas.openxmlformats.org/officeDocument/2006/relationships/worksheet" Target="/xl/worksheets/sheet4.xml" Id="Rd75286d0d3684f63" /><Relationship Type="http://schemas.openxmlformats.org/officeDocument/2006/relationships/worksheet" Target="/xl/worksheets/sheet5.xml" Id="R70a3e0870d304e30" /><Relationship Type="http://schemas.openxmlformats.org/officeDocument/2006/relationships/worksheet" Target="/xl/worksheets/sheet6.xml" Id="R06de1ca2f97e402c" /><Relationship Type="http://schemas.openxmlformats.org/officeDocument/2006/relationships/worksheet" Target="/xl/worksheets/sheet7.xml" Id="Rf8f3cffd18d64639" /><Relationship Type="http://schemas.openxmlformats.org/officeDocument/2006/relationships/worksheet" Target="/xl/worksheets/sheet8.xml" Id="R888177e0a91b4a7e" /><Relationship Type="http://schemas.openxmlformats.org/officeDocument/2006/relationships/worksheet" Target="/xl/worksheets/sheet9.xml" Id="Rada8f2b15e034393" /><Relationship Type="http://schemas.openxmlformats.org/officeDocument/2006/relationships/worksheet" Target="/xl/worksheets/sheet10.xml" Id="Rc9fa4e7f8fe24de6" /><Relationship Type="http://schemas.openxmlformats.org/officeDocument/2006/relationships/worksheet" Target="/xl/worksheets/sheet11.xml" Id="Rdc06114fe4744456" /><Relationship Type="http://schemas.openxmlformats.org/officeDocument/2006/relationships/worksheet" Target="/xl/worksheets/sheet12.xml" Id="R62819242666940c8" /><Relationship Type="http://schemas.openxmlformats.org/officeDocument/2006/relationships/worksheet" Target="/xl/worksheets/sheet13.xml" Id="R46188911853240fa" /><Relationship Type="http://schemas.openxmlformats.org/officeDocument/2006/relationships/worksheet" Target="/xl/worksheets/sheet14.xml" Id="Rbe37538d25f84e61" /></Relationships>
</file>

<file path=xl/drawings/_rels/drawing1.xml.rels>&#65279;<?xml version="1.0" encoding="utf-8"?><Relationships xmlns="http://schemas.openxmlformats.org/package/2006/relationships"><Relationship Type="http://schemas.openxmlformats.org/officeDocument/2006/relationships/image" Target="/xl/media/image.png" Id="R4d80041a8ed34ad2" /></Relationships>
</file>

<file path=xl/drawings/drawing1.xml><?xml version="1.0" encoding="utf-8"?>
<xdr:wsDr xmlns:xdr="http://schemas.openxmlformats.org/drawingml/2006/spreadsheetDrawing">
  <xdr:oneCellAnchor>
    <xdr:from>
      <xdr:col>0</xdr:col>
      <xdr:colOff>0</xdr:colOff>
      <xdr:row>1</xdr:row>
      <xdr:rowOff>0</xdr:rowOff>
    </xdr:from>
    <xdr:ext cx="571500" cy="571500"/>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4d80041a8ed34ad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1738efccafb4e40" /></Relationships>
</file>

<file path=xl/worksheets/sheet1.xml><?xml version="1.0" encoding="utf-8"?>
<x:worksheet xmlns:x="http://schemas.openxmlformats.org/spreadsheetml/2006/main">
  <x:sheetViews>
    <x:sheetView showGridLines="0" workbookViewId="0"/>
  </x:sheetViews>
  <x:sheetFormatPr defaultRowHeight="15"/>
  <x:cols>
    <x:col min="1" max="1" width="3" customWidth="1"/>
    <x:col min="2" max="3" width="35" customWidth="1"/>
    <x:col min="4" max="4" width="20" customWidth="1"/>
    <x:col min="5" max="5" width="22" customWidth="1"/>
    <x:col min="6" max="7" width="17" customWidth="1"/>
    <x:col min="8" max="9" width="13" customWidth="1"/>
    <x:col min="10" max="10" width="65" hidden="0" customWidth="1"/>
  </x:cols>
  <x:sheetData>
    <x:row r="2">
      <x:c r="B2" s="9" t="s">
        <x:v>0</x:v>
      </x:c>
      <x:c r="C2" s="9"/>
      <x:c r="D2" s="9"/>
      <x:c r="E2" s="9"/>
      <x:c r="F2" s="9"/>
      <x:c r="G2" s="9"/>
      <x:c r="H2" s="9"/>
      <x:c r="I2" s="9"/>
    </x:row>
    <x:row r="3">
      <x:c r="B3" s="9" t="s">
        <x:v>1</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ht="26.25">
      <x:c r="B10" s="3" t="s">
        <x:v>12</x:v>
      </x:c>
      <x:c r="C10" s="18" t="s">
        <x:v>13</x:v>
      </x:c>
      <x:c r="D10" s="2"/>
      <x:c r="E10" s="2"/>
      <x:c r="F10" s="2"/>
      <x:c r="G10" s="2"/>
      <x:c r="H10" s="2"/>
      <x:c r="I10" s="7"/>
    </x:row>
    <x:row r="11" ht="26.25">
      <x:c r="B11" s="3" t="s">
        <x:v>14</x:v>
      </x:c>
      <x:c r="C11" s="18" t="s">
        <x:v>15</x:v>
      </x:c>
      <x:c r="D11" s="2"/>
      <x:c r="E11" s="2"/>
      <x:c r="F11" s="2"/>
      <x:c r="G11" s="2"/>
      <x:c r="H11" s="2"/>
      <x:c r="I11" s="7"/>
    </x:row>
    <x:row r="12" ht="26.25">
      <x:c r="B12" s="3" t="s">
        <x:v>16</x:v>
      </x:c>
      <x:c r="C12" s="18" t="s">
        <x:v>17</x:v>
      </x:c>
      <x:c r="D12" s="2"/>
      <x:c r="E12" s="2"/>
      <x:c r="F12" s="2"/>
      <x:c r="G12" s="2"/>
      <x:c r="H12" s="2"/>
      <x:c r="I12" s="7"/>
    </x:row>
    <x:row r="13" ht="26.25">
      <x:c r="B13" s="3" t="s">
        <x:v>18</x:v>
      </x:c>
      <x:c r="C13" s="18" t="s">
        <x:v>19</x:v>
      </x:c>
      <x:c r="D13" s="2"/>
      <x:c r="E13" s="2"/>
      <x:c r="F13" s="2"/>
      <x:c r="G13" s="2"/>
      <x:c r="H13" s="2"/>
      <x:c r="I13" s="7"/>
    </x:row>
    <x:row r="14" ht="26.25">
      <x:c r="B14" s="3" t="s">
        <x:v>20</x:v>
      </x:c>
      <x:c r="C14" s="18" t="s">
        <x:v>21</x:v>
      </x:c>
      <x:c r="D14" s="2"/>
      <x:c r="E14" s="2"/>
      <x:c r="F14" s="2"/>
      <x:c r="G14" s="2"/>
      <x:c r="H14" s="2"/>
      <x:c r="I14" s="7"/>
    </x:row>
    <x:row r="15" ht="24.75">
      <x:c r="B15" s="30" t="s">
        <x:v>22</x:v>
      </x:c>
      <x:c r="C15" s="60" t="s">
        <x:v>23</x:v>
      </x:c>
      <x:c r="D15" s="61" t="s">
        <x:v>24</x:v>
      </x:c>
      <x:c r="E15" s="61" t="s">
        <x:v>25</x:v>
      </x:c>
      <x:c r="F15" s="61" t="s">
        <x:v>26</x:v>
      </x:c>
      <x:c r="G15" s="61" t="s">
        <x:v>27</x:v>
      </x:c>
      <x:c r="H15" s="2"/>
      <x:c r="I15" s="7"/>
    </x:row>
    <x:row r="16">
      <x:c r="B16" s="3" t="s">
        <x:v>28</x:v>
      </x:c>
      <x:c r="C16" s="12" t="n">
        <x:f>'Income Statement'!I11</x:f>
        <x:v>51557.83984615384</x:v>
      </x:c>
      <x:c r="D16" s="12" t="n">
        <x:f>Inputs!C48</x:f>
        <x:v>51250.26</x:v>
      </x:c>
      <x:c r="E16" s="12" t="n">
        <x:f>Guidance!G32</x:f>
        <x:v>50000</x:v>
      </x:c>
      <x:c r="F16" s="2" t="n">
        <x:f>C16-D16</x:f>
        <x:v>307.5798461538361</x:v>
      </x:c>
      <x:c r="G16" s="2" t="n">
        <x:f>C16-E16</x:f>
        <x:v>1557.8398461538382</x:v>
      </x:c>
      <x:c r="H16" s="2"/>
      <x:c r="I16" s="7"/>
    </x:row>
    <x:row r="17">
      <x:c r="B17" s="3" t="s">
        <x:v>29</x:v>
      </x:c>
      <x:c r="C17" s="12" t="n">
        <x:f>'Income Statement'!I48</x:f>
        <x:v>36682.82758301538</x:v>
      </x:c>
      <x:c r="D17" s="12" t="n">
        <x:f>Inputs!C58</x:f>
        <x:v>35951.27</x:v>
      </x:c>
      <x:c r="E17" s="62" t="s">
        <x:v>30</x:v>
      </x:c>
      <x:c r="F17" s="2" t="n">
        <x:f>C17-D17</x:f>
        <x:v>731.557583015383</x:v>
      </x:c>
      <x:c r="G17" s="2"/>
      <x:c r="H17" s="2"/>
      <x:c r="I17" s="7"/>
    </x:row>
    <x:row r="18">
      <x:c r="B18" s="3" t="s">
        <x:v>31</x:v>
      </x:c>
      <x:c r="C18" s="17" t="n">
        <x:f>'Income Statement'!I51</x:f>
        <x:v>31.842732276923073</x:v>
      </x:c>
      <x:c r="D18" s="17" t="n">
        <x:f>Inputs!C31</x:f>
        <x:v>31.6</x:v>
      </x:c>
      <x:c r="E18" s="63" t="n">
        <x:f>Guidance!G38</x:f>
        <x:v>31</x:v>
      </x:c>
      <x:c r="F18" s="21" t="n">
        <x:f>C18-D18</x:f>
        <x:v>0.2427322769230713</x:v>
      </x:c>
      <x:c r="G18" s="21" t="n">
        <x:f>C18-E18</x:f>
        <x:v>0.8427322769230727</x:v>
      </x:c>
      <x:c r="H18" s="2"/>
      <x:c r="I18" s="7"/>
    </x:row>
    <x:row r="19">
      <x:c r="B19" s="3" t="s">
        <x:v>32</x:v>
      </x:c>
      <x:c r="C19" s="12" t="n">
        <x:f>'Income Statement'!I32</x:f>
        <x:v>36373.82758301538</x:v>
      </x:c>
      <x:c r="D19" s="12" t="n">
        <x:f>Inputs!C59</x:f>
        <x:v>36026.28</x:v>
      </x:c>
      <x:c r="E19" s="62" t="s">
        <x:v>30</x:v>
      </x:c>
      <x:c r="F19" s="2" t="n">
        <x:f>C19-D19</x:f>
        <x:v>347.54758301538095</x:v>
      </x:c>
      <x:c r="G19" s="2"/>
      <x:c r="H19" s="2"/>
      <x:c r="I19" s="7"/>
    </x:row>
    <x:row r="20">
      <x:c r="B20" s="3" t="s">
        <x:v>33</x:v>
      </x:c>
      <x:c r="C20" s="17" t="n">
        <x:f>'Income Statement'!I37</x:f>
        <x:v>31.684518800536043</x:v>
      </x:c>
      <x:c r="D20" s="17" t="n">
        <x:f>Inputs!C40</x:f>
        <x:v>31.58</x:v>
      </x:c>
      <x:c r="E20" s="17" t="n">
        <x:f>Guidance!G37</x:f>
        <x:v>30.73</x:v>
      </x:c>
      <x:c r="F20" s="21" t="n">
        <x:f>C20-D20</x:f>
        <x:v>0.10451880053604512</x:v>
      </x:c>
      <x:c r="G20" s="21" t="n">
        <x:f>C20-E20</x:f>
        <x:v>0.954518800536043</x:v>
      </x:c>
      <x:c r="H20" s="2"/>
      <x:c r="I20" s="7"/>
    </x:row>
    <x:row r="21">
      <x:c r="B21" s="3" t="s">
        <x:v>34</x:v>
      </x:c>
      <x:c r="C21" s="48" t="n">
        <x:f>(Inputs!C107*Inputs!C108+Inputs!C109)/(Inputs!C108+Inputs!C110)+Inputs!C111</x:f>
        <x:v>0.75</x:v>
      </x:c>
      <x:c r="D21" s="2"/>
      <x:c r="E21" s="2"/>
      <x:c r="F21" s="2"/>
      <x:c r="G21" s="2"/>
      <x:c r="H21" s="2"/>
      <x:c r="I21" s="7"/>
    </x:row>
    <x:row r="22">
      <x:c r="B22" s="3" t="s">
        <x:v>35</x:v>
      </x:c>
      <x:c r="C22" s="42" t="str">
        <x:f>Inputs!C112</x:f>
        <x:v>medium</x:v>
      </x:c>
      <x:c r="D22" s="2"/>
      <x:c r="E22" s="2"/>
      <x:c r="F22" s="2"/>
      <x:c r="G22" s="2"/>
      <x:c r="H22" s="2"/>
      <x:c r="I22" s="7"/>
    </x:row>
    <x:row r="23">
      <x:c r="B23" s="3"/>
      <x:c r="C23" s="3"/>
      <x:c r="D23" s="2"/>
      <x:c r="E23" s="2"/>
      <x:c r="F23" s="2"/>
      <x:c r="G23" s="2"/>
      <x:c r="H23" s="2"/>
      <x:c r="I23" s="7"/>
    </x:row>
    <x:row r="24">
      <x:c r="B24" s="10" t="str">
        <x:v>Selected arithmetic checks</x:v>
      </x:c>
      <x:c r="C24" s="47" t="str">
        <x:f>IF(AND(ABS('Revenue summary'!I47)&lt;Inputs!C125,ABS('Balance Sheet'!I45)&lt;Inputs!C125,ABS('Cash Flow Statement'!I21)&lt;Inputs!C125,ABS(Geo!I23)&lt;Inputs!C125,ABS('Income Statement'!I53)&lt;Inputs!C125,C16='Income Statement'!I11,C17='Income Statement'!I48,C18='Income Statement'!I51),"Ties","Review")</x:f>
        <x:v>Ties</x:v>
      </x:c>
      <x:c r="D24" s="2"/>
      <x:c r="E24" s="2"/>
      <x:c r="F24" s="2"/>
      <x:c r="G24" s="2"/>
      <x:c r="H24" s="2"/>
      <x:c r="I24" s="7"/>
    </x:row>
    <x:row r="25">
      <x:c r="B25" s="3"/>
      <x:c r="C25" s="3"/>
      <x:c r="D25" s="2"/>
      <x:c r="E25" s="2"/>
      <x:c r="F25" s="2"/>
      <x:c r="G25" s="2"/>
      <x:c r="H25" s="2"/>
      <x:c r="I25" s="7"/>
    </x:row>
    <x:row r="26" ht="24.75">
      <x:c r="B26" s="3" t="s">
        <x:v>36</x:v>
      </x:c>
      <x:c r="C26" s="18" t="s">
        <x:v>37</x:v>
      </x:c>
      <x:c r="D26" s="2"/>
      <x:c r="E26" s="2"/>
      <x:c r="F26" s="2"/>
      <x:c r="G26" s="2"/>
      <x:c r="H26" s="2"/>
      <x:c r="I26" s="7"/>
    </x:row>
    <x:row r="27" ht="24.75">
      <x:c r="B27" s="3" t="s">
        <x:v>38</x:v>
      </x:c>
      <x:c r="C27" s="18" t="s">
        <x:v>39</x:v>
      </x:c>
      <x:c r="D27" s="2"/>
      <x:c r="E27" s="2"/>
      <x:c r="F27" s="2"/>
      <x:c r="G27" s="2"/>
      <x:c r="H27" s="2"/>
      <x:c r="I27" s="7"/>
    </x:row>
    <x:row r="28" ht="24.75">
      <x:c r="B28" s="3" t="s">
        <x:v>40</x:v>
      </x:c>
      <x:c r="C28" s="18" t="s">
        <x:v>41</x:v>
      </x:c>
      <x:c r="D28" s="2"/>
      <x:c r="E28" s="2"/>
      <x:c r="F28" s="2"/>
      <x:c r="G28" s="2"/>
      <x:c r="H28" s="2"/>
      <x:c r="I28" s="7"/>
    </x:row>
    <x:row r="29">
      <x:c r="B29" s="3"/>
      <x:c r="C29" s="3"/>
      <x:c r="D29" s="2"/>
      <x:c r="E29" s="2"/>
      <x:c r="F29" s="2"/>
      <x:c r="G29" s="2"/>
      <x:c r="H29" s="2"/>
      <x:c r="I29" s="7"/>
    </x:row>
    <x:row r="30">
      <x:c r="B30" s="3"/>
      <x:c r="C30" s="3"/>
      <x:c r="D30" s="2"/>
      <x:c r="E30" s="2"/>
      <x:c r="F30" s="2"/>
      <x:c r="G30" s="2"/>
      <x:c r="H30" s="2"/>
      <x:c r="I30" s="7"/>
    </x:row>
    <x:row r="38" ht="48" customHeight="1">
      <x:c r="J38" s="78" t="str">
        <x:v>EPS calculations reviewed and confirmed errors repaired. Supplemental statements and judgmental assumptions have limitations detailed in Sources. Arithmetic ties are not independent source verification.</x:v>
      </x:c>
    </x:row>
  </x:sheetData>
  <x:pageMargins left="0.7" right="0.7" top="0.75" bottom="0.75" header="0.3" footer="0.3"/>
  <x:drawing xmlns:r="http://schemas.openxmlformats.org/officeDocument/2006/relationships" r:id="R81738efccafb4e40"/>
</x:worksheet>
</file>

<file path=xl/worksheets/sheet2.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s>
  <x:sheetData>
    <x:row r="2">
      <x:c r="B2" s="9" t="s">
        <x:v>0</x:v>
      </x:c>
      <x:c r="C2" s="9"/>
      <x:c r="D2" s="9"/>
      <x:c r="E2" s="9"/>
      <x:c r="F2" s="9"/>
      <x:c r="G2" s="9"/>
      <x:c r="H2" s="9"/>
      <x:c r="I2" s="9"/>
    </x:row>
    <x:row r="3">
      <x:c r="B3" s="9" t="s">
        <x:v>42</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10" t="s">
        <x:v>43</x:v>
      </x:c>
      <x:c r="C10" s="10"/>
      <x:c r="D10" s="16"/>
      <x:c r="E10" s="16"/>
      <x:c r="F10" s="16"/>
      <x:c r="G10" s="16"/>
      <x:c r="H10" s="16"/>
      <x:c r="I10" s="5"/>
    </x:row>
    <x:row r="11">
      <x:c r="B11" s="10" t="s">
        <x:v>44</x:v>
      </x:c>
      <x:c r="C11" s="10"/>
      <x:c r="D11" s="4" t="n">
        <x:f>'Segment - Cloud Memory'!D20</x:f>
        <x:v>13524</x:v>
      </x:c>
      <x:c r="E11" s="4" t="n">
        <x:f>'Segment - Cloud Memory'!E20</x:f>
        <x:v>4543</x:v>
      </x:c>
      <x:c r="F11" s="4" t="n">
        <x:f>'Segment - Cloud Memory'!F20</x:f>
        <x:v>5284</x:v>
      </x:c>
      <x:c r="G11" s="4" t="n">
        <x:f>'Segment - Cloud Memory'!G20</x:f>
        <x:v>7749</x:v>
      </x:c>
      <x:c r="H11" s="4" t="n">
        <x:f>'Segment - Cloud Memory'!H20</x:f>
        <x:v>13769</x:v>
      </x:c>
      <x:c r="I11" s="13" t="n">
        <x:f>'Segment - Cloud Memory'!I20</x:f>
        <x:v>16993.064307692304</x:v>
      </x:c>
    </x:row>
    <x:row r="12">
      <x:c r="B12" s="3" t="s">
        <x:v>45</x:v>
      </x:c>
      <x:c r="C12" s="3"/>
      <x:c r="D12" s="20"/>
      <x:c r="E12" s="20"/>
      <x:c r="F12" s="20"/>
      <x:c r="G12" s="20"/>
      <x:c r="H12" s="20"/>
      <x:c r="I12" s="25" t="n">
        <x:f>I11/E11-1</x:f>
        <x:v>2.7404940144601153</x:v>
      </x:c>
    </x:row>
    <x:row r="13">
      <x:c r="B13" s="3" t="s">
        <x:v>46</x:v>
      </x:c>
      <x:c r="C13" s="3"/>
      <x:c r="D13" s="20"/>
      <x:c r="E13" s="20"/>
      <x:c r="F13" s="20" t="n">
        <x:f>F11/E11-1</x:f>
        <x:v>0.16310807836231556</x:v>
      </x:c>
      <x:c r="G13" s="20" t="n">
        <x:f>G11/F11-1</x:f>
        <x:v>0.4665026495079485</x:v>
      </x:c>
      <x:c r="H13" s="20" t="n">
        <x:f>H11/G11-1</x:f>
        <x:v>0.7768744354110209</x:v>
      </x:c>
      <x:c r="I13" s="25" t="n">
        <x:f>I11/H11-1</x:f>
        <x:v>0.23415384615384593</x:v>
      </x:c>
    </x:row>
    <x:row r="14">
      <x:c r="B14" s="3" t="s">
        <x:v>47</x:v>
      </x:c>
      <x:c r="C14" s="3"/>
      <x:c r="D14" s="20" t="n">
        <x:f>IFERROR(D11/D46,0)</x:f>
        <x:v>0.3618171116699663</x:v>
      </x:c>
      <x:c r="E14" s="20" t="n">
        <x:f>IFERROR(E11/E46,0)</x:f>
        <x:v>0.4015024304021211</x:v>
      </x:c>
      <x:c r="F14" s="20" t="n">
        <x:f>IFERROR(F11/F46,0)</x:f>
        <x:v>0.38730484497544526</x:v>
      </x:c>
      <x:c r="G14" s="20" t="n">
        <x:f>IFERROR(G11/G46,0)</x:f>
        <x:v>0.3247694886839899</x:v>
      </x:c>
      <x:c r="H14" s="20" t="n">
        <x:f>IFERROR(H11/H46,0)</x:f>
        <x:v>0.3321352759552296</x:v>
      </x:c>
      <x:c r="I14" s="25" t="n">
        <x:f>IFERROR(I11/I46,0)</x:f>
        <x:v>0.3295922474331509</x:v>
      </x:c>
    </x:row>
    <x:row r="15">
      <x:c r="B15" s="3" t="s">
        <x:v>48</x:v>
      </x:c>
      <x:c r="C15" s="3"/>
      <x:c r="D15" s="20"/>
      <x:c r="E15" s="20"/>
      <x:c r="F15" s="20"/>
      <x:c r="G15" s="20"/>
      <x:c r="H15" s="20"/>
      <x:c r="I15" s="25" t="n">
        <x:f>(1+I12)/((1+I16)*(1+I17))-1</x:f>
        <x:v>2.7404940144601153</x:v>
      </x:c>
    </x:row>
    <x:row r="16">
      <x:c r="B16" s="3" t="s">
        <x:v>49</x:v>
      </x:c>
      <x:c r="C16" s="3"/>
      <x:c r="D16" s="20"/>
      <x:c r="E16" s="20"/>
      <x:c r="F16" s="20"/>
      <x:c r="G16" s="20"/>
      <x:c r="H16" s="20"/>
      <x:c r="I16" s="26" t="n">
        <x:f>Inputs!C124</x:f>
        <x:v>0</x:v>
      </x:c>
    </x:row>
    <x:row r="17">
      <x:c r="B17" s="3" t="s">
        <x:v>50</x:v>
      </x:c>
      <x:c r="C17" s="3"/>
      <x:c r="D17" s="20"/>
      <x:c r="E17" s="20"/>
      <x:c r="F17" s="20"/>
      <x:c r="G17" s="20"/>
      <x:c r="H17" s="20"/>
      <x:c r="I17" s="26" t="n">
        <x:f>Inputs!C124</x:f>
        <x:v>0</x:v>
      </x:c>
    </x:row>
    <x:row r="18">
      <x:c r="B18" s="10" t="s">
        <x:v>51</x:v>
      </x:c>
      <x:c r="C18" s="10"/>
      <x:c r="D18" s="4" t="n">
        <x:f>'Segment - Core Data Center'!D20</x:f>
        <x:v>7229</x:v>
      </x:c>
      <x:c r="E18" s="4" t="n">
        <x:f>'Segment - Core Data Center'!E20</x:f>
        <x:v>1577</x:v>
      </x:c>
      <x:c r="F18" s="4" t="n">
        <x:f>'Segment - Core Data Center'!F20</x:f>
        <x:v>2379</x:v>
      </x:c>
      <x:c r="G18" s="4" t="n">
        <x:f>'Segment - Core Data Center'!G20</x:f>
        <x:v>5687</x:v>
      </x:c>
      <x:c r="H18" s="4" t="n">
        <x:f>'Segment - Core Data Center'!H20</x:f>
        <x:v>11524</x:v>
      </x:c>
      <x:c r="I18" s="13" t="n">
        <x:f>'Segment - Core Data Center'!I20</x:f>
        <x:v>14346.493538461536</x:v>
      </x:c>
    </x:row>
    <x:row r="19">
      <x:c r="B19" s="3" t="s">
        <x:v>45</x:v>
      </x:c>
      <x:c r="C19" s="3"/>
      <x:c r="D19" s="20"/>
      <x:c r="E19" s="20"/>
      <x:c r="F19" s="20"/>
      <x:c r="G19" s="20"/>
      <x:c r="H19" s="20"/>
      <x:c r="I19" s="25" t="n">
        <x:f>I18/E18-1</x:f>
        <x:v>8.097332617921076</x:v>
      </x:c>
    </x:row>
    <x:row r="20">
      <x:c r="B20" s="3" t="s">
        <x:v>46</x:v>
      </x:c>
      <x:c r="C20" s="3"/>
      <x:c r="D20" s="20"/>
      <x:c r="E20" s="20"/>
      <x:c r="F20" s="20" t="n">
        <x:f>F18/E18-1</x:f>
        <x:v>0.50856055802156</x:v>
      </x:c>
      <x:c r="G20" s="20" t="n">
        <x:f>G18/F18-1</x:f>
        <x:v>1.3905002101723412</x:v>
      </x:c>
      <x:c r="H20" s="20" t="n">
        <x:f>H18/G18-1</x:f>
        <x:v>1.0263759451380343</x:v>
      </x:c>
      <x:c r="I20" s="25" t="n">
        <x:f>I18/H18-1</x:f>
        <x:v>0.2449230769230768</x:v>
      </x:c>
    </x:row>
    <x:row r="21">
      <x:c r="B21" s="3" t="s">
        <x:v>47</x:v>
      </x:c>
      <x:c r="C21" s="3"/>
      <x:c r="D21" s="20" t="n">
        <x:f>IFERROR(D18/D46,0)</x:f>
        <x:v>0.1934025362512708</x:v>
      </x:c>
      <x:c r="E21" s="20" t="n">
        <x:f>IFERROR(E18/E46,0)</x:f>
        <x:v>0.13937251436146708</x:v>
      </x:c>
      <x:c r="F21" s="20" t="n">
        <x:f>IFERROR(F18/F46,0)</x:f>
        <x:v>0.1743751374331159</x:v>
      </x:c>
      <x:c r="G21" s="20" t="n">
        <x:f>IFERROR(G18/G46,0)</x:f>
        <x:v>0.23834870075440068</x:v>
      </x:c>
      <x:c r="H21" s="20" t="n">
        <x:f>IFERROR(H18/H46,0)</x:f>
        <x:v>0.27798147433423387</x:v>
      </x:c>
      <x:c r="I21" s="25" t="n">
        <x:f>IFERROR(I18/I46,0)</x:f>
        <x:v>0.2782601750048256</x:v>
      </x:c>
    </x:row>
    <x:row r="22">
      <x:c r="B22" s="3" t="s">
        <x:v>48</x:v>
      </x:c>
      <x:c r="C22" s="3"/>
      <x:c r="D22" s="20"/>
      <x:c r="E22" s="20"/>
      <x:c r="F22" s="20"/>
      <x:c r="G22" s="20"/>
      <x:c r="H22" s="20"/>
      <x:c r="I22" s="25" t="n">
        <x:f>(1+I19)/((1+I23)*(1+I24))-1</x:f>
        <x:v>8.097332617921076</x:v>
      </x:c>
    </x:row>
    <x:row r="23">
      <x:c r="B23" s="3" t="s">
        <x:v>49</x:v>
      </x:c>
      <x:c r="C23" s="3"/>
      <x:c r="D23" s="20"/>
      <x:c r="E23" s="20"/>
      <x:c r="F23" s="20"/>
      <x:c r="G23" s="20"/>
      <x:c r="H23" s="20"/>
      <x:c r="I23" s="26" t="n">
        <x:f>Inputs!C124</x:f>
        <x:v>0</x:v>
      </x:c>
    </x:row>
    <x:row r="24">
      <x:c r="B24" s="3" t="s">
        <x:v>50</x:v>
      </x:c>
      <x:c r="C24" s="3"/>
      <x:c r="D24" s="20"/>
      <x:c r="E24" s="20"/>
      <x:c r="F24" s="20"/>
      <x:c r="G24" s="20"/>
      <x:c r="H24" s="20"/>
      <x:c r="I24" s="26" t="n">
        <x:f>Inputs!C124</x:f>
        <x:v>0</x:v>
      </x:c>
    </x:row>
    <x:row r="25">
      <x:c r="B25" s="10" t="s">
        <x:v>52</x:v>
      </x:c>
      <x:c r="C25" s="10"/>
      <x:c r="D25" s="4" t="n">
        <x:f>'Segment - Mobile and Client'!D20</x:f>
        <x:v>11859</x:v>
      </x:c>
      <x:c r="E25" s="4" t="n">
        <x:f>'Segment - Mobile and Client'!E20</x:f>
        <x:v>3760</x:v>
      </x:c>
      <x:c r="F25" s="4" t="n">
        <x:f>'Segment - Mobile and Client'!F20</x:f>
        <x:v>4255</x:v>
      </x:c>
      <x:c r="G25" s="4" t="n">
        <x:f>'Segment - Mobile and Client'!G20</x:f>
        <x:v>7711</x:v>
      </x:c>
      <x:c r="H25" s="4" t="n">
        <x:f>'Segment - Mobile and Client'!H20</x:f>
        <x:v>11521</x:v>
      </x:c>
      <x:c r="I25" s="13" t="n">
        <x:f>'Segment - Mobile and Client'!I20</x:f>
        <x:v>14479.238307692309</x:v>
      </x:c>
    </x:row>
    <x:row r="26">
      <x:c r="B26" s="3" t="s">
        <x:v>45</x:v>
      </x:c>
      <x:c r="C26" s="3"/>
      <x:c r="D26" s="20"/>
      <x:c r="E26" s="20"/>
      <x:c r="F26" s="20"/>
      <x:c r="G26" s="20"/>
      <x:c r="H26" s="20"/>
      <x:c r="I26" s="25" t="n">
        <x:f>I25/E25-1</x:f>
        <x:v>2.850861252045827</x:v>
      </x:c>
    </x:row>
    <x:row r="27">
      <x:c r="B27" s="3" t="s">
        <x:v>46</x:v>
      </x:c>
      <x:c r="C27" s="3"/>
      <x:c r="D27" s="20"/>
      <x:c r="E27" s="20"/>
      <x:c r="F27" s="20" t="n">
        <x:f>F25/E25-1</x:f>
        <x:v>0.13164893617021267</x:v>
      </x:c>
      <x:c r="G27" s="20" t="n">
        <x:f>G25/F25-1</x:f>
        <x:v>0.8122209165687426</x:v>
      </x:c>
      <x:c r="H27" s="20" t="n">
        <x:f>H25/G25-1</x:f>
        <x:v>0.4940993386071846</x:v>
      </x:c>
      <x:c r="I27" s="25" t="n">
        <x:f>I25/H25-1</x:f>
        <x:v>0.25676923076923086</x:v>
      </x:c>
    </x:row>
    <x:row r="28">
      <x:c r="B28" s="3" t="s">
        <x:v>47</x:v>
      </x:c>
      <x:c r="C28" s="3"/>
      <x:c r="D28" s="20" t="n">
        <x:f>IFERROR(D25/D46,0)</x:f>
        <x:v>0.3172721921986195</x:v>
      </x:c>
      <x:c r="E28" s="20" t="n">
        <x:f>IFERROR(E25/E46,0)</x:f>
        <x:v>0.3323022536456032</x:v>
      </x:c>
      <x:c r="F28" s="20" t="n">
        <x:f>IFERROR(F25/F46,0)</x:f>
        <x:v>0.31188155097852377</x:v>
      </x:c>
      <x:c r="G28" s="20" t="n">
        <x:f>IFERROR(G25/G46,0)</x:f>
        <x:v>0.32317686504610227</x:v>
      </x:c>
      <x:c r="H28" s="20" t="n">
        <x:f>IFERROR(H25/H46,0)</x:f>
        <x:v>0.277909108452335</x:v>
      </x:c>
      <x:c r="I28" s="25" t="n">
        <x:f>IFERROR(I25/I46,0)</x:f>
        <x:v>0.2808348517101894</x:v>
      </x:c>
    </x:row>
    <x:row r="29">
      <x:c r="B29" s="3" t="s">
        <x:v>48</x:v>
      </x:c>
      <x:c r="C29" s="3"/>
      <x:c r="D29" s="20"/>
      <x:c r="E29" s="20"/>
      <x:c r="F29" s="20"/>
      <x:c r="G29" s="20"/>
      <x:c r="H29" s="20"/>
      <x:c r="I29" s="25" t="n">
        <x:f>(1+I26)/((1+I30)*(1+I31))-1</x:f>
        <x:v>2.850861252045827</x:v>
      </x:c>
    </x:row>
    <x:row r="30">
      <x:c r="B30" s="3" t="s">
        <x:v>49</x:v>
      </x:c>
      <x:c r="C30" s="3"/>
      <x:c r="D30" s="20"/>
      <x:c r="E30" s="20"/>
      <x:c r="F30" s="20"/>
      <x:c r="G30" s="20"/>
      <x:c r="H30" s="20"/>
      <x:c r="I30" s="26" t="n">
        <x:f>Inputs!C124</x:f>
        <x:v>0</x:v>
      </x:c>
    </x:row>
    <x:row r="31">
      <x:c r="B31" s="3" t="s">
        <x:v>50</x:v>
      </x:c>
      <x:c r="C31" s="3"/>
      <x:c r="D31" s="20"/>
      <x:c r="E31" s="20"/>
      <x:c r="F31" s="20"/>
      <x:c r="G31" s="20"/>
      <x:c r="H31" s="20"/>
      <x:c r="I31" s="26" t="n">
        <x:f>Inputs!C124</x:f>
        <x:v>0</x:v>
      </x:c>
    </x:row>
    <x:row r="32">
      <x:c r="B32" s="10" t="s">
        <x:v>53</x:v>
      </x:c>
      <x:c r="C32" s="10"/>
      <x:c r="D32" s="4" t="n">
        <x:f>'Segment - Automotive Embedded'!D20</x:f>
        <x:v>4753</x:v>
      </x:c>
      <x:c r="E32" s="4" t="n">
        <x:f>'Segment - Automotive Embedded'!E20</x:f>
        <x:v>1434</x:v>
      </x:c>
      <x:c r="F32" s="4" t="n">
        <x:f>'Segment - Automotive Embedded'!F20</x:f>
        <x:v>1720</x:v>
      </x:c>
      <x:c r="G32" s="4" t="n">
        <x:f>'Segment - Automotive Embedded'!G20</x:f>
        <x:v>2708</x:v>
      </x:c>
      <x:c r="H32" s="4" t="n">
        <x:f>'Segment - Automotive Embedded'!H20</x:f>
        <x:v>4634</x:v>
      </x:c>
      <x:c r="I32" s="13" t="n">
        <x:f>'Segment - Automotive Embedded'!I20</x:f>
        <x:v>5729.0498461538455</x:v>
      </x:c>
    </x:row>
    <x:row r="33">
      <x:c r="B33" s="3" t="s">
        <x:v>45</x:v>
      </x:c>
      <x:c r="C33" s="3"/>
      <x:c r="D33" s="20"/>
      <x:c r="E33" s="20"/>
      <x:c r="F33" s="20"/>
      <x:c r="G33" s="20"/>
      <x:c r="H33" s="20"/>
      <x:c r="I33" s="25" t="n">
        <x:f>I32/E32-1</x:f>
        <x:v>2.995153309730715</x:v>
      </x:c>
    </x:row>
    <x:row r="34">
      <x:c r="B34" s="3" t="s">
        <x:v>46</x:v>
      </x:c>
      <x:c r="C34" s="3"/>
      <x:c r="D34" s="20"/>
      <x:c r="E34" s="20"/>
      <x:c r="F34" s="20" t="n">
        <x:f>F32/E32-1</x:f>
        <x:v>0.19944211994421202</x:v>
      </x:c>
      <x:c r="G34" s="20" t="n">
        <x:f>G32/F32-1</x:f>
        <x:v>0.5744186046511628</x:v>
      </x:c>
      <x:c r="H34" s="20" t="n">
        <x:f>H32/G32-1</x:f>
        <x:v>0.7112259970457901</x:v>
      </x:c>
      <x:c r="I34" s="25" t="n">
        <x:f>I32/H32-1</x:f>
        <x:v>0.2363076923076921</x:v>
      </x:c>
    </x:row>
    <x:row r="35">
      <x:c r="B35" s="3" t="s">
        <x:v>47</x:v>
      </x:c>
      <x:c r="C35" s="3"/>
      <x:c r="D35" s="20" t="n">
        <x:f>IFERROR(D32/D46,0)</x:f>
        <x:v>0.12716036171009684</x:v>
      </x:c>
      <x:c r="E35" s="20" t="n">
        <x:f>IFERROR(E32/E46,0)</x:f>
        <x:v>0.12673442333186036</x:v>
      </x:c>
      <x:c r="F35" s="20" t="n">
        <x:f>IFERROR(F32/F46,0)</x:f>
        <x:v>0.1260719783038921</x:v>
      </x:c>
      <x:c r="G35" s="20" t="n">
        <x:f>IFERROR(G32/G46,0)</x:f>
        <x:v>0.1134953897736798</x:v>
      </x:c>
      <x:c r="H35" s="20" t="n">
        <x:f>IFERROR(H32/H46,0)</x:f>
        <x:v>0.11178116557313779</x:v>
      </x:c>
      <x:c r="I35" s="25" t="n">
        <x:f>IFERROR(I32/I46,0)</x:f>
        <x:v>0.1111188882864189</x:v>
      </x:c>
    </x:row>
    <x:row r="36">
      <x:c r="B36" s="3" t="s">
        <x:v>48</x:v>
      </x:c>
      <x:c r="C36" s="3"/>
      <x:c r="D36" s="20"/>
      <x:c r="E36" s="20"/>
      <x:c r="F36" s="20"/>
      <x:c r="G36" s="20"/>
      <x:c r="H36" s="20"/>
      <x:c r="I36" s="25" t="n">
        <x:f>(1+I33)/((1+I37)*(1+I38))-1</x:f>
        <x:v>2.995153309730715</x:v>
      </x:c>
    </x:row>
    <x:row r="37">
      <x:c r="B37" s="3" t="s">
        <x:v>49</x:v>
      </x:c>
      <x:c r="C37" s="3"/>
      <x:c r="D37" s="20"/>
      <x:c r="E37" s="20"/>
      <x:c r="F37" s="20"/>
      <x:c r="G37" s="20"/>
      <x:c r="H37" s="20"/>
      <x:c r="I37" s="26" t="n">
        <x:f>Inputs!C124</x:f>
        <x:v>0</x:v>
      </x:c>
    </x:row>
    <x:row r="38">
      <x:c r="B38" s="3" t="s">
        <x:v>50</x:v>
      </x:c>
      <x:c r="C38" s="3"/>
      <x:c r="D38" s="20"/>
      <x:c r="E38" s="20"/>
      <x:c r="F38" s="20"/>
      <x:c r="G38" s="20"/>
      <x:c r="H38" s="20"/>
      <x:c r="I38" s="26" t="n">
        <x:f>Inputs!C124</x:f>
        <x:v>0</x:v>
      </x:c>
    </x:row>
    <x:row r="39">
      <x:c r="B39" s="10" t="s">
        <x:v>54</x:v>
      </x:c>
      <x:c r="C39" s="10"/>
      <x:c r="D39" s="15">
        <x:v>13</x:v>
      </x:c>
      <x:c r="E39" s="15">
        <x:v>1</x:v>
      </x:c>
      <x:c r="F39" s="15">
        <x:v>5</x:v>
      </x:c>
      <x:c r="G39" s="15">
        <x:v>5</x:v>
      </x:c>
      <x:c r="H39" s="15">
        <x:v>8</x:v>
      </x:c>
      <x:c r="I39" s="13" t="n">
        <x:f>H39*(I8/H8)*Inputs!C81</x:f>
        <x:v>9.993846153846153</x:v>
      </x:c>
    </x:row>
    <x:row r="40">
      <x:c r="B40" s="3" t="s">
        <x:v>45</x:v>
      </x:c>
      <x:c r="C40" s="3"/>
      <x:c r="D40" s="20"/>
      <x:c r="E40" s="20"/>
      <x:c r="F40" s="20"/>
      <x:c r="G40" s="20"/>
      <x:c r="H40" s="20"/>
      <x:c r="I40" s="25" t="n">
        <x:f>I39/E39-1</x:f>
        <x:v>8.993846153846153</x:v>
      </x:c>
    </x:row>
    <x:row r="41">
      <x:c r="B41" s="3" t="s">
        <x:v>46</x:v>
      </x:c>
      <x:c r="C41" s="3"/>
      <x:c r="D41" s="20"/>
      <x:c r="E41" s="20"/>
      <x:c r="F41" s="20" t="n">
        <x:f>F39/E39-1</x:f>
        <x:v>4</x:v>
      </x:c>
      <x:c r="G41" s="20" t="n">
        <x:f>G39/F39-1</x:f>
        <x:v>0</x:v>
      </x:c>
      <x:c r="H41" s="20" t="n">
        <x:f>H39/G39-1</x:f>
        <x:v>0.6000000000000001</x:v>
      </x:c>
      <x:c r="I41" s="25" t="n">
        <x:f>I39/H39-1</x:f>
        <x:v>0.24923076923076914</x:v>
      </x:c>
    </x:row>
    <x:row r="42">
      <x:c r="B42" s="3" t="s">
        <x:v>47</x:v>
      </x:c>
      <x:c r="C42" s="3"/>
      <x:c r="D42" s="20" t="n">
        <x:f>IFERROR(D39/D46,0)</x:f>
        <x:v>0.00034779817004655146</x:v>
      </x:c>
      <x:c r="E42" s="20" t="n">
        <x:f>IFERROR(E39/E46,0)</x:f>
        <x:v>0.00008837825894829872</x:v>
      </x:c>
      <x:c r="F42" s="20" t="n">
        <x:f>IFERROR(F39/F46,0)</x:f>
        <x:v>0.00036648830902294216</x:v>
      </x:c>
      <x:c r="G42" s="20" t="n">
        <x:f>IFERROR(G39/G46,0)</x:f>
        <x:v>0.00020955574182732607</x:v>
      </x:c>
      <x:c r="H42" s="20" t="n">
        <x:f>IFERROR(H39/H46,0)</x:f>
        <x:v>0.00019297568506368199</x:v>
      </x:c>
      <x:c r="I42" s="25" t="n">
        <x:f>IFERROR(I39/I46,0)</x:f>
        <x:v>0.00019383756541521753</x:v>
      </x:c>
    </x:row>
    <x:row r="43">
      <x:c r="B43" s="3" t="s">
        <x:v>48</x:v>
      </x:c>
      <x:c r="C43" s="3"/>
      <x:c r="D43" s="20"/>
      <x:c r="E43" s="20"/>
      <x:c r="F43" s="20"/>
      <x:c r="G43" s="20"/>
      <x:c r="H43" s="20"/>
      <x:c r="I43" s="25" t="n">
        <x:f>(1+I40)/((1+I44)*(1+I45))-1</x:f>
        <x:v>8.993846153846153</x:v>
      </x:c>
    </x:row>
    <x:row r="44">
      <x:c r="B44" s="3" t="s">
        <x:v>49</x:v>
      </x:c>
      <x:c r="C44" s="3"/>
      <x:c r="D44" s="20"/>
      <x:c r="E44" s="20"/>
      <x:c r="F44" s="20"/>
      <x:c r="G44" s="20"/>
      <x:c r="H44" s="20"/>
      <x:c r="I44" s="26" t="n">
        <x:f>Inputs!C124</x:f>
        <x:v>0</x:v>
      </x:c>
    </x:row>
    <x:row r="45">
      <x:c r="B45" s="3" t="s">
        <x:v>50</x:v>
      </x:c>
      <x:c r="C45" s="3"/>
      <x:c r="D45" s="20"/>
      <x:c r="E45" s="20"/>
      <x:c r="F45" s="20"/>
      <x:c r="G45" s="20"/>
      <x:c r="H45" s="20"/>
      <x:c r="I45" s="26" t="n">
        <x:f>Inputs!C124</x:f>
        <x:v>0</x:v>
      </x:c>
    </x:row>
    <x:row r="46">
      <x:c r="B46" s="10" t="s">
        <x:v>55</x:v>
      </x:c>
      <x:c r="C46" s="10"/>
      <x:c r="D46" s="16" t="n">
        <x:f>SUM(D11,D18,D25,D32,D39)</x:f>
        <x:v>37378</x:v>
      </x:c>
      <x:c r="E46" s="16" t="n">
        <x:f>SUM(E11,E18,E25,E32,E39)</x:f>
        <x:v>11315</x:v>
      </x:c>
      <x:c r="F46" s="16" t="n">
        <x:f>SUM(F11,F18,F25,F32,F39)</x:f>
        <x:v>13643</x:v>
      </x:c>
      <x:c r="G46" s="16" t="n">
        <x:f>SUM(G11,G18,G25,G32,G39)</x:f>
        <x:v>23860</x:v>
      </x:c>
      <x:c r="H46" s="16" t="n">
        <x:f>SUM(H11,H18,H25,H32,H39)</x:f>
        <x:v>41456</x:v>
      </x:c>
      <x:c r="I46" s="5" t="n">
        <x:f>SUM(I11,I18,I25,I32,I39)</x:f>
        <x:v>51557.83984615384</x:v>
      </x:c>
    </x:row>
    <x:row r="47">
      <x:c r="B47" s="3" t="s">
        <x:v>56</x:v>
      </x:c>
      <x:c r="C47" s="3"/>
      <x:c r="D47" s="12" t="n">
        <x:f>D46-Inputs!C119-E46</x:f>
        <x:v>0</x:v>
      </x:c>
      <x:c r="E47" s="12" t="n">
        <x:f>E46-Inputs!H14</x:f>
        <x:v>0</x:v>
      </x:c>
      <x:c r="F47" s="12" t="n">
        <x:f>F46-Inputs!H15</x:f>
        <x:v>0</x:v>
      </x:c>
      <x:c r="G47" s="12" t="n">
        <x:f>G46-Inputs!H16</x:f>
        <x:v>0</x:v>
      </x:c>
      <x:c r="H47" s="12" t="n">
        <x:f>H46-Inputs!H17</x:f>
        <x:v>0</x:v>
      </x:c>
      <x:c r="I47" s="7" t="n">
        <x:f>I46-SUM(I11,I18,I25,I32,I39)</x:f>
        <x:v>0</x:v>
      </x:c>
    </x:row>
    <x:row r="48">
      <x:c r="B48" s="3" t="s">
        <x:v>57</x:v>
      </x:c>
      <x:c r="C48" s="3"/>
      <x:c r="D48" s="20"/>
      <x:c r="E48" s="20"/>
      <x:c r="F48" s="20"/>
      <x:c r="G48" s="20"/>
      <x:c r="H48" s="20"/>
      <x:c r="I48" s="25" t="n">
        <x:f>I46/E46-1</x:f>
        <x:v>3.556592120738298</x:v>
      </x:c>
    </x:row>
    <x:row r="49">
      <x:c r="B49" s="3" t="s">
        <x:v>58</x:v>
      </x:c>
      <x:c r="C49" s="3"/>
      <x:c r="D49" s="20"/>
      <x:c r="E49" s="20"/>
      <x:c r="F49" s="20"/>
      <x:c r="G49" s="20"/>
      <x:c r="H49" s="20"/>
      <x:c r="I49" s="25" t="n">
        <x:f>I46/H46-1</x:f>
        <x:v>0.2436761830893921</x:v>
      </x:c>
    </x:row>
    <x:row r="50">
      <x:c r="B50" s="3" t="s">
        <x:v>59</x:v>
      </x:c>
      <x:c r="C50" s="3"/>
      <x:c r="D50" s="20"/>
      <x:c r="E50" s="20"/>
      <x:c r="F50" s="20"/>
      <x:c r="G50" s="20"/>
      <x:c r="H50" s="20"/>
      <x:c r="I50" s="25" t="n">
        <x:f>(1+I48)/((1+I51)*(1+I52))-1</x:f>
        <x:v>3.556592120738298</x:v>
      </x:c>
    </x:row>
    <x:row r="51">
      <x:c r="B51" s="3" t="s">
        <x:v>60</x:v>
      </x:c>
      <x:c r="C51" s="3"/>
      <x:c r="D51" s="20"/>
      <x:c r="E51" s="20"/>
      <x:c r="F51" s="20"/>
      <x:c r="G51" s="20"/>
      <x:c r="H51" s="20"/>
      <x:c r="I51" s="26" t="n">
        <x:f>Inputs!C124</x:f>
        <x:v>0</x:v>
      </x:c>
    </x:row>
    <x:row r="52">
      <x:c r="B52" s="3" t="s">
        <x:v>61</x:v>
      </x:c>
      <x:c r="C52" s="3"/>
      <x:c r="D52" s="20"/>
      <x:c r="E52" s="20"/>
      <x:c r="F52" s="20"/>
      <x:c r="G52" s="20"/>
      <x:c r="H52" s="20"/>
      <x:c r="I52" s="26" t="n">
        <x:f>Inputs!C124</x:f>
        <x:v>0</x:v>
      </x:c>
    </x:row>
    <x:row r="53">
      <x:c r="B53" s="3"/>
      <x:c r="C53" s="3"/>
      <x:c r="D53" s="2"/>
      <x:c r="E53" s="2"/>
      <x:c r="F53" s="2"/>
      <x:c r="G53" s="2"/>
      <x:c r="H53" s="2"/>
      <x:c r="I53" s="7"/>
    </x:row>
    <x:row r="54">
      <x:c r="B54" s="3"/>
      <x:c r="C54" s="3"/>
      <x:c r="D54" s="2"/>
      <x:c r="E54" s="2"/>
      <x:c r="F54" s="2"/>
      <x:c r="G54" s="2"/>
      <x:c r="H54" s="2"/>
      <x:c r="I54" s="7"/>
    </x:row>
    <x:row r="55">
      <x:c r="B55" s="3"/>
      <x:c r="C55" s="3"/>
      <x:c r="D55" s="2"/>
      <x:c r="E55" s="2"/>
      <x:c r="F55" s="2"/>
      <x:c r="G55" s="2"/>
      <x:c r="H55" s="2"/>
      <x:c r="I55" s="7"/>
    </x:row>
    <x:row r="56">
      <x:c r="B56" s="38" t="s">
        <x:v>62</x:v>
      </x:c>
      <x:c r="C56" s="38"/>
      <x:c r="D56" s="38"/>
      <x:c r="E56" s="38"/>
      <x:c r="F56" s="38"/>
      <x:c r="G56" s="38"/>
      <x:c r="H56" s="38"/>
      <x:c r="I56" s="38"/>
    </x:row>
    <x:row r="57">
      <x:c r="B57" t="s">
        <x:v>63</x:v>
      </x:c>
      <x:c r="H57" s="70">
        <x:v>0.67</x:v>
      </x:c>
      <x:c r="I57" s="71" t="s">
        <x:v>30</x:v>
      </x:c>
    </x:row>
    <x:row r="58">
      <x:c r="B58" t="s">
        <x:v>64</x:v>
      </x:c>
      <x:c r="H58" s="72" t="s">
        <x:v>65</x:v>
      </x:c>
      <x:c r="I58" s="71" t="s">
        <x:v>30</x:v>
      </x:c>
    </x:row>
    <x:row r="59">
      <x:c r="B59" t="s">
        <x:v>66</x:v>
      </x:c>
      <x:c r="H59" s="72" t="s">
        <x:v>67</x:v>
      </x:c>
      <x:c r="I59" s="71" t="s">
        <x:v>30</x:v>
      </x:c>
    </x:row>
    <x:row r="60">
      <x:c r="B60" t="s">
        <x:v>68</x:v>
      </x:c>
      <x:c r="H60" s="70">
        <x:v>0.99</x:v>
      </x:c>
      <x:c r="I60" s="71" t="s">
        <x:v>30</x:v>
      </x:c>
    </x:row>
    <x:row r="61">
      <x:c r="B61" t="s">
        <x:v>69</x:v>
      </x:c>
      <x:c r="H61" s="72" t="s">
        <x:v>70</x:v>
      </x:c>
      <x:c r="I61" s="71" t="s">
        <x:v>30</x:v>
      </x:c>
    </x:row>
    <x:row r="62">
      <x:c r="B62" t="s">
        <x:v>71</x:v>
      </x:c>
      <x:c r="H62" s="72" t="s">
        <x:v>72</x:v>
      </x:c>
      <x:c r="I62" s="71" t="s">
        <x:v>30</x:v>
      </x:c>
    </x:row>
    <x:row r="63">
      <x:c r="B63" t="s">
        <x:v>73</x:v>
      </x:c>
      <x:c r="H63" s="70">
        <x:v>3.43</x:v>
      </x:c>
      <x:c r="I63" s="71" t="s">
        <x:v>30</x:v>
      </x:c>
    </x:row>
    <x:row r="64">
      <x:c r="B64" t="s">
        <x:v>74</x:v>
      </x:c>
      <x:c r="H64" s="70">
        <x:v>3.61</x:v>
      </x:c>
      <x:c r="I64" s="71" t="s">
        <x:v>30</x:v>
      </x:c>
    </x:row>
    <x:row r="65">
      <x:c r="B65" t="s">
        <x:v>75</x:v>
      </x:c>
      <x:c r="H65" s="72" t="s">
        <x:v>76</x:v>
      </x:c>
      <x:c r="I65" s="71" t="s">
        <x:v>30</x:v>
      </x:c>
    </x:row>
    <x:row r="66">
      <x:c r="B66" t="s">
        <x:v>77</x:v>
      </x:c>
      <x:c r="H66" s="72" t="s">
        <x:v>78</x:v>
      </x:c>
      <x:c r="I66" s="71" t="s">
        <x:v>30</x:v>
      </x:c>
    </x:row>
    <x:row r="67">
      <x:c r="B67" t="s">
        <x:v>79</x:v>
      </x:c>
      <x:c r="H67" s="72" t="s">
        <x:v>80</x:v>
      </x:c>
      <x:c r="I67" s="71" t="s">
        <x:v>30</x:v>
      </x:c>
    </x:row>
    <x:row r="68">
      <x:c r="B68" t="s">
        <x:v>81</x:v>
      </x:c>
      <x:c r="H68" s="72" t="s">
        <x:v>82</x:v>
      </x:c>
      <x:c r="I68" s="71" t="s">
        <x:v>30</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s>
  <x:sheetData>
    <x:row r="2">
      <x:c r="B2" s="9" t="s">
        <x:v>0</x:v>
      </x:c>
      <x:c r="C2" s="9"/>
      <x:c r="D2" s="9"/>
      <x:c r="E2" s="9"/>
      <x:c r="F2" s="9"/>
      <x:c r="G2" s="9"/>
      <x:c r="H2" s="9"/>
      <x:c r="I2" s="9"/>
    </x:row>
    <x:row r="3">
      <x:c r="B3" s="9" t="s">
        <x:v>83</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10" t="s">
        <x:v>84</x:v>
      </x:c>
      <x:c r="C10" s="10"/>
      <x:c r="D10" s="16"/>
      <x:c r="E10" s="16"/>
      <x:c r="F10" s="16"/>
      <x:c r="G10" s="16"/>
      <x:c r="H10" s="16"/>
      <x:c r="I10" s="5"/>
    </x:row>
    <x:row r="11">
      <x:c r="B11" s="3" t="s">
        <x:v>85</x:v>
      </x:c>
      <x:c r="C11" s="3"/>
      <x:c r="D11" s="2"/>
      <x:c r="E11" s="6">
        <x:v>3386</x:v>
      </x:c>
      <x:c r="F11" s="2" t="n">
        <x:f>E20</x:f>
        <x:v>4543</x:v>
      </x:c>
      <x:c r="G11" s="2" t="n">
        <x:f>F20</x:f>
        <x:v>5284</x:v>
      </x:c>
      <x:c r="H11" s="2" t="n">
        <x:f>G20</x:f>
        <x:v>7749</x:v>
      </x:c>
      <x:c r="I11" s="7" t="n">
        <x:f>H20</x:f>
        <x:v>13769</x:v>
      </x:c>
    </x:row>
    <x:row r="12">
      <x:c r="B12" s="3" t="s">
        <x:v>86</x:v>
      </x:c>
      <x:c r="C12" s="3"/>
      <x:c r="D12" s="23"/>
      <x:c r="E12" s="36" t="n">
        <x:f>E8/(Inputs!C76*7)</x:f>
        <x:v>1</x:v>
      </x:c>
      <x:c r="F12" s="23" t="n">
        <x:f>F8/E8</x:f>
        <x:v>1</x:v>
      </x:c>
      <x:c r="G12" s="23" t="n">
        <x:f>G8/F8</x:f>
        <x:v>1</x:v>
      </x:c>
      <x:c r="H12" s="23" t="n">
        <x:f>H8/G8</x:f>
        <x:v>1</x:v>
      </x:c>
      <x:c r="I12" s="45" t="n">
        <x:f>I8/H8</x:f>
        <x:v>1.0769230769230769</x:v>
      </x:c>
    </x:row>
    <x:row r="13">
      <x:c r="B13" s="3" t="s">
        <x:v>87</x:v>
      </x:c>
      <x:c r="C13" s="3"/>
      <x:c r="D13" s="23"/>
      <x:c r="E13" s="23" t="n">
        <x:f>E20/E17</x:f>
        <x:v>1.341701122268163</x:v>
      </x:c>
      <x:c r="F13" s="23" t="n">
        <x:f>F20/F17</x:f>
        <x:v>1.1631080783623156</x:v>
      </x:c>
      <x:c r="G13" s="23" t="n">
        <x:f>G20/G17</x:f>
        <x:v>1.4665026495079485</x:v>
      </x:c>
      <x:c r="H13" s="23" t="n">
        <x:f>H20/H17</x:f>
        <x:v>1.7768744354110209</x:v>
      </x:c>
      <x:c r="I13" s="41" t="n">
        <x:f>Inputs!C77</x:f>
        <x:v>1.146</x:v>
      </x:c>
    </x:row>
    <x:row r="14">
      <x:c r="B14" s="3" t="s">
        <x:v>88</x:v>
      </x:c>
      <x:c r="C14" s="3"/>
      <x:c r="D14" s="20"/>
      <x:c r="E14" s="20"/>
      <x:c r="F14" s="20"/>
      <x:c r="G14" s="20"/>
      <x:c r="H14" s="20"/>
      <x:c r="I14" s="35" t="n">
        <x:f>I13-H13</x:f>
        <x:v>-0.630874435411021</x:v>
      </x:c>
    </x:row>
    <x:row r="15">
      <x:c r="B15" s="3" t="s">
        <x:v>89</x:v>
      </x:c>
      <x:c r="C15" s="3"/>
      <x:c r="D15" s="2"/>
      <x:c r="E15" s="2" t="n">
        <x:f>E11/E8</x:f>
        <x:v>37.20879120879121</x:v>
      </x:c>
      <x:c r="F15" s="2" t="n">
        <x:f>E20/E8</x:f>
        <x:v>49.92307692307692</x:v>
      </x:c>
      <x:c r="G15" s="2" t="n">
        <x:f>F20/F8</x:f>
        <x:v>58.065934065934066</x:v>
      </x:c>
      <x:c r="H15" s="2" t="n">
        <x:f>G20/G8</x:f>
        <x:v>85.15384615384616</x:v>
      </x:c>
      <x:c r="I15" s="7" t="n">
        <x:f>H20/H8</x:f>
        <x:v>151.30769230769232</x:v>
      </x:c>
    </x:row>
    <x:row r="16">
      <x:c r="B16" s="3" t="s">
        <x:v>90</x:v>
      </x:c>
      <x:c r="C16" s="3"/>
      <x:c r="D16" s="2"/>
      <x:c r="E16" s="2" t="n">
        <x:f>E20/E8</x:f>
        <x:v>49.92307692307692</x:v>
      </x:c>
      <x:c r="F16" s="2"/>
      <x:c r="G16" s="2"/>
      <x:c r="H16" s="2"/>
      <x:c r="I16" s="7" t="n">
        <x:f>I15*I13</x:f>
        <x:v>173.3986153846154</x:v>
      </x:c>
    </x:row>
    <x:row r="17">
      <x:c r="B17" s="3" t="s">
        <x:v>91</x:v>
      </x:c>
      <x:c r="C17" s="3"/>
      <x:c r="D17" s="2"/>
      <x:c r="E17" s="2" t="n">
        <x:f>E11*E12</x:f>
        <x:v>3386</x:v>
      </x:c>
      <x:c r="F17" s="2" t="n">
        <x:f>F11*F12</x:f>
        <x:v>4543</x:v>
      </x:c>
      <x:c r="G17" s="2" t="n">
        <x:f>G11*G12</x:f>
        <x:v>5284</x:v>
      </x:c>
      <x:c r="H17" s="2" t="n">
        <x:f>H11*H12</x:f>
        <x:v>7749</x:v>
      </x:c>
      <x:c r="I17" s="7" t="n">
        <x:f>I11*I12</x:f>
        <x:v>14828.153846153846</x:v>
      </x:c>
    </x:row>
    <x:row r="18">
      <x:c r="B18" s="3" t="s">
        <x:v>92</x:v>
      </x:c>
      <x:c r="C18" s="3"/>
      <x:c r="D18" s="2"/>
      <x:c r="E18" s="2" t="n">
        <x:f>E20-E17</x:f>
        <x:v>1157</x:v>
      </x:c>
      <x:c r="F18" s="2" t="n">
        <x:f>F20-F17</x:f>
        <x:v>741</x:v>
      </x:c>
      <x:c r="G18" s="2" t="n">
        <x:f>G20-G17</x:f>
        <x:v>2465</x:v>
      </x:c>
      <x:c r="H18" s="2" t="n">
        <x:f>H20-H17</x:f>
        <x:v>6020</x:v>
      </x:c>
      <x:c r="I18" s="7" t="n">
        <x:f>I17*(I13-1)</x:f>
        <x:v>2164.91046153846</x:v>
      </x:c>
    </x:row>
    <x:row r="19">
      <x:c r="B19" s="3"/>
      <x:c r="C19" s="3"/>
      <x:c r="D19" s="2"/>
      <x:c r="E19" s="2"/>
      <x:c r="F19" s="2"/>
      <x:c r="G19" s="2"/>
      <x:c r="H19" s="2"/>
      <x:c r="I19" s="7"/>
    </x:row>
    <x:row r="20">
      <x:c r="B20" s="10" t="s">
        <x:v>43</x:v>
      </x:c>
      <x:c r="C20" s="10"/>
      <x:c r="D20" s="15">
        <x:v>13524</x:v>
      </x:c>
      <x:c r="E20" s="15">
        <x:v>4543</x:v>
      </x:c>
      <x:c r="F20" s="15">
        <x:v>5284</x:v>
      </x:c>
      <x:c r="G20" s="15">
        <x:v>7749</x:v>
      </x:c>
      <x:c r="H20" s="15">
        <x:v>13769</x:v>
      </x:c>
      <x:c r="I20" s="5" t="n">
        <x:f>I17+I18</x:f>
        <x:v>16993.064307692304</x:v>
      </x:c>
    </x:row>
    <x:row r="21">
      <x:c r="B21" s="3" t="s">
        <x:v>46</x:v>
      </x:c>
      <x:c r="C21" s="3"/>
      <x:c r="D21" s="20"/>
      <x:c r="E21" s="20" t="n">
        <x:f>E20/E11-1</x:f>
        <x:v>0.34170112226816296</x:v>
      </x:c>
      <x:c r="F21" s="20" t="n">
        <x:f>F20/E20-1</x:f>
        <x:v>0.16310807836231556</x:v>
      </x:c>
      <x:c r="G21" s="20" t="n">
        <x:f>G20/F20-1</x:f>
        <x:v>0.4665026495079485</x:v>
      </x:c>
      <x:c r="H21" s="20" t="n">
        <x:f>H20/G20-1</x:f>
        <x:v>0.7768744354110209</x:v>
      </x:c>
      <x:c r="I21" s="25" t="n">
        <x:f>I20/H20-1</x:f>
        <x:v>0.23415384615384593</x:v>
      </x:c>
    </x:row>
    <x:row r="22">
      <x:c r="B22" s="3" t="s">
        <x:v>45</x:v>
      </x:c>
      <x:c r="C22" s="3"/>
      <x:c r="D22" s="20"/>
      <x:c r="E22" s="20"/>
      <x:c r="F22" s="20"/>
      <x:c r="G22" s="20"/>
      <x:c r="H22" s="20"/>
      <x:c r="I22" s="25" t="n">
        <x:f>I20/E20-1</x:f>
        <x:v>2.7404940144601153</x:v>
      </x:c>
    </x:row>
    <x:row r="23">
      <x:c r="B23" s="3" t="s">
        <x:v>48</x:v>
      </x:c>
      <x:c r="C23" s="3"/>
      <x:c r="D23" s="20"/>
      <x:c r="E23" s="20"/>
      <x:c r="F23" s="20"/>
      <x:c r="G23" s="20"/>
      <x:c r="H23" s="20"/>
      <x:c r="I23" s="25" t="n">
        <x:f>(1+I22)/((1+I24)*(1+I25))-1</x:f>
        <x:v>2.7404940144601153</x:v>
      </x:c>
    </x:row>
    <x:row r="24">
      <x:c r="B24" s="3" t="s">
        <x:v>49</x:v>
      </x:c>
      <x:c r="C24" s="3"/>
      <x:c r="D24" s="20"/>
      <x:c r="E24" s="20"/>
      <x:c r="F24" s="28"/>
      <x:c r="G24" s="28"/>
      <x:c r="H24" s="28"/>
      <x:c r="I24" s="26" t="n">
        <x:f>Inputs!C124</x:f>
        <x:v>0</x:v>
      </x:c>
    </x:row>
    <x:row r="25">
      <x:c r="B25" s="3" t="s">
        <x:v>50</x:v>
      </x:c>
      <x:c r="C25" s="3"/>
      <x:c r="D25" s="20"/>
      <x:c r="E25" s="20"/>
      <x:c r="F25" s="28"/>
      <x:c r="G25" s="28"/>
      <x:c r="H25" s="28"/>
      <x:c r="I25" s="26" t="n">
        <x:f>Inputs!C124</x:f>
        <x:v>0</x:v>
      </x:c>
    </x:row>
    <x:row r="26">
      <x:c r="B26" s="3" t="s">
        <x:v>93</x:v>
      </x:c>
      <x:c r="C26" s="3"/>
      <x:c r="D26" s="20" t="n">
        <x:f>D28/D20</x:f>
        <x:v>0.566178645371192</x:v>
      </x:c>
      <x:c r="E26" s="20" t="n">
        <x:f>E28/E20</x:f>
        <x:v>0.5945410521681708</x:v>
      </x:c>
      <x:c r="F26" s="20" t="n">
        <x:f>F28/F20</x:f>
        <x:v>0.6561317183951552</x:v>
      </x:c>
      <x:c r="G26" s="20" t="n">
        <x:f>G28/G20</x:f>
        <x:v>0.7416440831074977</x:v>
      </x:c>
      <x:c r="H26" s="20" t="n">
        <x:f>H28/H20</x:f>
        <x:v>0.8345558864115041</x:v>
      </x:c>
      <x:c r="I26" s="26" t="n">
        <x:f>Inputs!C82</x:f>
        <x:v>0.864</x:v>
      </x:c>
    </x:row>
    <x:row r="27">
      <x:c r="B27" s="3" t="s">
        <x:v>94</x:v>
      </x:c>
      <x:c r="C27" s="3"/>
      <x:c r="D27" s="27"/>
      <x:c r="E27" s="27"/>
      <x:c r="F27" s="24" t="n">
        <x:f>(F26-E26)*Inputs!C122</x:f>
        <x:v>615.9066622698439</x:v>
      </x:c>
      <x:c r="G27" s="24" t="n">
        <x:f>(G26-F26)*Inputs!C122</x:f>
        <x:v>855.1236471234258</x:v>
      </x:c>
      <x:c r="H27" s="24" t="n">
        <x:f>(H26-G26)*Inputs!C122</x:f>
        <x:v>929.1180330400639</x:v>
      </x:c>
      <x:c r="I27" s="29" t="n">
        <x:f>(I26-H26)*Inputs!C122</x:f>
        <x:v>294.44113588495856</x:v>
      </x:c>
    </x:row>
    <x:row r="28">
      <x:c r="B28" s="10" t="s">
        <x:v>95</x:v>
      </x:c>
      <x:c r="C28" s="10"/>
      <x:c r="D28" s="15">
        <x:v>7657</x:v>
      </x:c>
      <x:c r="E28" s="15">
        <x:v>2701</x:v>
      </x:c>
      <x:c r="F28" s="15">
        <x:v>3467</x:v>
      </x:c>
      <x:c r="G28" s="15">
        <x:v>5747</x:v>
      </x:c>
      <x:c r="H28" s="15">
        <x:v>11491</x:v>
      </x:c>
      <x:c r="I28" s="5" t="n">
        <x:f>I20*I26</x:f>
        <x:v>14682.00756184615</x:v>
      </x:c>
    </x:row>
    <x:row r="29">
      <x:c r="B29" s="3" t="s">
        <x:v>96</x:v>
      </x:c>
      <x:c r="C29" s="3"/>
      <x:c r="D29" s="20"/>
      <x:c r="E29" s="20"/>
      <x:c r="F29" s="20" t="n">
        <x:f>F30/F20</x:f>
        <x:v>0.5457986373959122</x:v>
      </x:c>
      <x:c r="G29" s="20" t="n">
        <x:f>G30/G20</x:f>
        <x:v>0.6616337591947348</x:v>
      </x:c>
      <x:c r="H29" s="20" t="n">
        <x:f>H30/H20</x:f>
        <x:v>0.7838622993681459</x:v>
      </x:c>
      <x:c r="I29" s="25" t="n">
        <x:f>I26-H33/H20</x:f>
        <x:v>0.8133064129566417</x:v>
      </x:c>
    </x:row>
    <x:row r="30">
      <x:c r="B30" s="10" t="s">
        <x:v>97</x:v>
      </x:c>
      <x:c r="C30" s="10"/>
      <x:c r="D30" s="16"/>
      <x:c r="E30" s="16"/>
      <x:c r="F30" s="15">
        <x:v>2884</x:v>
      </x:c>
      <x:c r="G30" s="15">
        <x:v>5127</x:v>
      </x:c>
      <x:c r="H30" s="15">
        <x:v>10793</x:v>
      </x:c>
      <x:c r="I30" s="5" t="n">
        <x:f>I20*I29</x:f>
        <x:v>13820.568177230767</x:v>
      </x:c>
    </x:row>
    <x:row r="31">
      <x:c r="B31" s="3" t="s">
        <x:v>98</x:v>
      </x:c>
      <x:c r="C31" s="3"/>
      <x:c r="D31" s="27"/>
      <x:c r="E31" s="27"/>
      <x:c r="F31" s="27"/>
      <x:c r="G31" s="24" t="n">
        <x:f>(G29-F29)*Inputs!C122</x:f>
        <x:v>1158.3512179882262</x:v>
      </x:c>
      <x:c r="H31" s="24" t="n">
        <x:f>(H29-G29)*Inputs!C122</x:f>
        <x:v>1222.2854017341112</x:v>
      </x:c>
      <x:c r="I31" s="29" t="n">
        <x:f>(I29-H29)*Inputs!C122</x:f>
        <x:v>294.44113588495856</x:v>
      </x:c>
    </x:row>
    <x:row r="32">
      <x:c r="B32" s="3" t="s">
        <x:v>99</x:v>
      </x:c>
      <x:c r="C32" s="3"/>
      <x:c r="D32" s="2" t="n">
        <x:f>D20-D28</x:f>
        <x:v>5867</x:v>
      </x:c>
      <x:c r="E32" s="2" t="n">
        <x:f>E20-E28</x:f>
        <x:v>1842</x:v>
      </x:c>
      <x:c r="F32" s="2" t="n">
        <x:f>F20-F28</x:f>
        <x:v>1817</x:v>
      </x:c>
      <x:c r="G32" s="2" t="n">
        <x:f>G20-G28</x:f>
        <x:v>2002</x:v>
      </x:c>
      <x:c r="H32" s="2" t="n">
        <x:f>H20-H28</x:f>
        <x:v>2278</x:v>
      </x:c>
      <x:c r="I32" s="7" t="n">
        <x:f>I20-I28</x:f>
        <x:v>2311.0567458461537</x:v>
      </x:c>
    </x:row>
    <x:row r="33">
      <x:c r="B33" s="3" t="s">
        <x:v>100</x:v>
      </x:c>
      <x:c r="C33" s="3"/>
      <x:c r="D33" s="2"/>
      <x:c r="E33" s="2"/>
      <x:c r="F33" s="2" t="n">
        <x:f>F28-F30</x:f>
        <x:v>583</x:v>
      </x:c>
      <x:c r="G33" s="2" t="n">
        <x:f>G28-G30</x:f>
        <x:v>620</x:v>
      </x:c>
      <x:c r="H33" s="2" t="n">
        <x:f>H28-H30</x:f>
        <x:v>698</x:v>
      </x:c>
      <x:c r="I33" s="7" t="n">
        <x:f>I28-I30</x:f>
        <x:v>861.4393846153835</x:v>
      </x:c>
    </x:row>
    <x:row r="34">
      <x:c r="B34" s="3" t="s">
        <x:v>101</x:v>
      </x:c>
      <x:c r="C34" s="3"/>
      <x:c r="D34" s="2"/>
      <x:c r="E34" s="2"/>
      <x:c r="F34" s="2"/>
      <x:c r="G34" s="2"/>
      <x:c r="H34" s="2"/>
      <x:c r="I34" s="22" t="n">
        <x:f>I20-H20</x:f>
        <x:v>3224.0643076923043</x:v>
      </x:c>
    </x:row>
    <x:row r="35">
      <x:c r="B35" s="3" t="s">
        <x:v>102</x:v>
      </x:c>
      <x:c r="C35" s="3"/>
      <x:c r="D35" s="2"/>
      <x:c r="E35" s="2"/>
      <x:c r="F35" s="2"/>
      <x:c r="G35" s="2"/>
      <x:c r="H35" s="2"/>
      <x:c r="I35" s="22" t="n">
        <x:f>I13-H13</x:f>
        <x:v>-0.630874435411021</x:v>
      </x:c>
    </x:row>
    <x:row r="36">
      <x:c r="B36" t="s">
        <x:v>103</x:v>
      </x:c>
      <x:c r="I36" s="27" t="n">
        <x:f>I12-H12</x:f>
        <x:v>0.07692307692307687</x:v>
      </x:c>
    </x:row>
    <x:row r="37">
      <x:c r="B37" t="s">
        <x:v>104</x:v>
      </x:c>
    </x:row>
    <x:row r="38">
      <x:c r="B38" t="s">
        <x:v>105</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s>
  <x:sheetData>
    <x:row r="2">
      <x:c r="B2" s="9" t="s">
        <x:v>0</x:v>
      </x:c>
      <x:c r="C2" s="9"/>
      <x:c r="D2" s="9"/>
      <x:c r="E2" s="9"/>
      <x:c r="F2" s="9"/>
      <x:c r="G2" s="9"/>
      <x:c r="H2" s="9"/>
      <x:c r="I2" s="9"/>
    </x:row>
    <x:row r="3">
      <x:c r="B3" s="9" t="s">
        <x:v>106</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10" t="s">
        <x:v>84</x:v>
      </x:c>
      <x:c r="C10" s="10"/>
      <x:c r="D10" s="16"/>
      <x:c r="E10" s="16"/>
      <x:c r="F10" s="16"/>
      <x:c r="G10" s="16"/>
      <x:c r="H10" s="16"/>
      <x:c r="I10" s="5"/>
    </x:row>
    <x:row r="11">
      <x:c r="B11" s="3" t="s">
        <x:v>85</x:v>
      </x:c>
      <x:c r="C11" s="3"/>
      <x:c r="D11" s="2"/>
      <x:c r="E11" s="6">
        <x:v>1530</x:v>
      </x:c>
      <x:c r="F11" s="2" t="n">
        <x:f>E20</x:f>
        <x:v>1577</x:v>
      </x:c>
      <x:c r="G11" s="2" t="n">
        <x:f>F20</x:f>
        <x:v>2379</x:v>
      </x:c>
      <x:c r="H11" s="2" t="n">
        <x:f>G20</x:f>
        <x:v>5687</x:v>
      </x:c>
      <x:c r="I11" s="7" t="n">
        <x:f>H20</x:f>
        <x:v>11524</x:v>
      </x:c>
    </x:row>
    <x:row r="12">
      <x:c r="B12" s="3" t="s">
        <x:v>86</x:v>
      </x:c>
      <x:c r="C12" s="3"/>
      <x:c r="D12" s="23"/>
      <x:c r="E12" s="36" t="n">
        <x:f>E8/(Inputs!C76*7)</x:f>
        <x:v>1</x:v>
      </x:c>
      <x:c r="F12" s="23" t="n">
        <x:f>F8/E8</x:f>
        <x:v>1</x:v>
      </x:c>
      <x:c r="G12" s="23" t="n">
        <x:f>G8/F8</x:f>
        <x:v>1</x:v>
      </x:c>
      <x:c r="H12" s="23" t="n">
        <x:f>H8/G8</x:f>
        <x:v>1</x:v>
      </x:c>
      <x:c r="I12" s="45" t="n">
        <x:f>I8/H8</x:f>
        <x:v>1.0769230769230769</x:v>
      </x:c>
    </x:row>
    <x:row r="13">
      <x:c r="B13" s="3" t="s">
        <x:v>87</x:v>
      </x:c>
      <x:c r="C13" s="3"/>
      <x:c r="D13" s="23"/>
      <x:c r="E13" s="23" t="n">
        <x:f>E20/E17</x:f>
        <x:v>1.030718954248366</x:v>
      </x:c>
      <x:c r="F13" s="23" t="n">
        <x:f>F20/F17</x:f>
        <x:v>1.50856055802156</x:v>
      </x:c>
      <x:c r="G13" s="23" t="n">
        <x:f>G20/G17</x:f>
        <x:v>2.390500210172341</x:v>
      </x:c>
      <x:c r="H13" s="23" t="n">
        <x:f>H20/H17</x:f>
        <x:v>2.0263759451380343</x:v>
      </x:c>
      <x:c r="I13" s="41" t="n">
        <x:f>Inputs!C78</x:f>
        <x:v>1.156</x:v>
      </x:c>
    </x:row>
    <x:row r="14">
      <x:c r="B14" s="3" t="s">
        <x:v>88</x:v>
      </x:c>
      <x:c r="C14" s="3"/>
      <x:c r="D14" s="20"/>
      <x:c r="E14" s="20"/>
      <x:c r="F14" s="20"/>
      <x:c r="G14" s="20"/>
      <x:c r="H14" s="20"/>
      <x:c r="I14" s="35" t="n">
        <x:f>I13-H13</x:f>
        <x:v>-0.8703759451380344</x:v>
      </x:c>
    </x:row>
    <x:row r="15">
      <x:c r="B15" s="3" t="s">
        <x:v>89</x:v>
      </x:c>
      <x:c r="C15" s="3"/>
      <x:c r="D15" s="2"/>
      <x:c r="E15" s="2" t="n">
        <x:f>E11/E8</x:f>
        <x:v>16.813186813186814</x:v>
      </x:c>
      <x:c r="F15" s="2" t="n">
        <x:f>E20/E8</x:f>
        <x:v>17.32967032967033</x:v>
      </x:c>
      <x:c r="G15" s="2" t="n">
        <x:f>F20/F8</x:f>
        <x:v>26.142857142857142</x:v>
      </x:c>
      <x:c r="H15" s="2" t="n">
        <x:f>G20/G8</x:f>
        <x:v>62.494505494505496</x:v>
      </x:c>
      <x:c r="I15" s="7" t="n">
        <x:f>H20/H8</x:f>
        <x:v>126.63736263736264</x:v>
      </x:c>
    </x:row>
    <x:row r="16">
      <x:c r="B16" s="3" t="s">
        <x:v>90</x:v>
      </x:c>
      <x:c r="C16" s="3"/>
      <x:c r="D16" s="2"/>
      <x:c r="E16" s="2" t="n">
        <x:f>E20/E8</x:f>
        <x:v>17.32967032967033</x:v>
      </x:c>
      <x:c r="F16" s="2"/>
      <x:c r="G16" s="2"/>
      <x:c r="H16" s="2"/>
      <x:c r="I16" s="7" t="n">
        <x:f>I15*I13</x:f>
        <x:v>146.3927912087912</x:v>
      </x:c>
    </x:row>
    <x:row r="17">
      <x:c r="B17" s="3" t="s">
        <x:v>91</x:v>
      </x:c>
      <x:c r="C17" s="3"/>
      <x:c r="D17" s="2"/>
      <x:c r="E17" s="2" t="n">
        <x:f>E11*E12</x:f>
        <x:v>1530</x:v>
      </x:c>
      <x:c r="F17" s="2" t="n">
        <x:f>F11*F12</x:f>
        <x:v>1577</x:v>
      </x:c>
      <x:c r="G17" s="2" t="n">
        <x:f>G11*G12</x:f>
        <x:v>2379</x:v>
      </x:c>
      <x:c r="H17" s="2" t="n">
        <x:f>H11*H12</x:f>
        <x:v>5687</x:v>
      </x:c>
      <x:c r="I17" s="7" t="n">
        <x:f>I11*I12</x:f>
        <x:v>12410.461538461537</x:v>
      </x:c>
    </x:row>
    <x:row r="18">
      <x:c r="B18" s="3" t="s">
        <x:v>92</x:v>
      </x:c>
      <x:c r="C18" s="3"/>
      <x:c r="D18" s="2"/>
      <x:c r="E18" s="2" t="n">
        <x:f>E20-E17</x:f>
        <x:v>47</x:v>
      </x:c>
      <x:c r="F18" s="2" t="n">
        <x:f>F20-F17</x:f>
        <x:v>802</x:v>
      </x:c>
      <x:c r="G18" s="2" t="n">
        <x:f>G20-G17</x:f>
        <x:v>3308</x:v>
      </x:c>
      <x:c r="H18" s="2" t="n">
        <x:f>H20-H17</x:f>
        <x:v>5837</x:v>
      </x:c>
      <x:c r="I18" s="7" t="n">
        <x:f>I17*(I13-1)</x:f>
        <x:v>1936.0319999999988</x:v>
      </x:c>
    </x:row>
    <x:row r="19">
      <x:c r="B19" s="3"/>
      <x:c r="C19" s="3"/>
      <x:c r="D19" s="2"/>
      <x:c r="E19" s="2"/>
      <x:c r="F19" s="2"/>
      <x:c r="G19" s="2"/>
      <x:c r="H19" s="2"/>
      <x:c r="I19" s="7"/>
    </x:row>
    <x:row r="20">
      <x:c r="B20" s="10" t="s">
        <x:v>43</x:v>
      </x:c>
      <x:c r="C20" s="10"/>
      <x:c r="D20" s="15">
        <x:v>7229</x:v>
      </x:c>
      <x:c r="E20" s="15">
        <x:v>1577</x:v>
      </x:c>
      <x:c r="F20" s="15">
        <x:v>2379</x:v>
      </x:c>
      <x:c r="G20" s="15">
        <x:v>5687</x:v>
      </x:c>
      <x:c r="H20" s="15">
        <x:v>11524</x:v>
      </x:c>
      <x:c r="I20" s="5" t="n">
        <x:f>I17+I18</x:f>
        <x:v>14346.493538461536</x:v>
      </x:c>
    </x:row>
    <x:row r="21">
      <x:c r="B21" s="3" t="s">
        <x:v>46</x:v>
      </x:c>
      <x:c r="C21" s="3"/>
      <x:c r="D21" s="20"/>
      <x:c r="E21" s="20" t="n">
        <x:f>E20/E11-1</x:f>
        <x:v>0.030718954248365904</x:v>
      </x:c>
      <x:c r="F21" s="20" t="n">
        <x:f>F20/E20-1</x:f>
        <x:v>0.50856055802156</x:v>
      </x:c>
      <x:c r="G21" s="20" t="n">
        <x:f>G20/F20-1</x:f>
        <x:v>1.3905002101723412</x:v>
      </x:c>
      <x:c r="H21" s="20" t="n">
        <x:f>H20/G20-1</x:f>
        <x:v>1.0263759451380343</x:v>
      </x:c>
      <x:c r="I21" s="25" t="n">
        <x:f>I20/H20-1</x:f>
        <x:v>0.2449230769230768</x:v>
      </x:c>
    </x:row>
    <x:row r="22">
      <x:c r="B22" s="3" t="s">
        <x:v>45</x:v>
      </x:c>
      <x:c r="C22" s="3"/>
      <x:c r="D22" s="20"/>
      <x:c r="E22" s="20"/>
      <x:c r="F22" s="20"/>
      <x:c r="G22" s="20"/>
      <x:c r="H22" s="20"/>
      <x:c r="I22" s="25" t="n">
        <x:f>I20/E20-1</x:f>
        <x:v>8.097332617921076</x:v>
      </x:c>
    </x:row>
    <x:row r="23">
      <x:c r="B23" s="3" t="s">
        <x:v>48</x:v>
      </x:c>
      <x:c r="C23" s="3"/>
      <x:c r="D23" s="20"/>
      <x:c r="E23" s="20"/>
      <x:c r="F23" s="20"/>
      <x:c r="G23" s="20"/>
      <x:c r="H23" s="20"/>
      <x:c r="I23" s="25" t="n">
        <x:f>(1+I22)/((1+I24)*(1+I25))-1</x:f>
        <x:v>8.097332617921076</x:v>
      </x:c>
    </x:row>
    <x:row r="24">
      <x:c r="B24" s="3" t="s">
        <x:v>49</x:v>
      </x:c>
      <x:c r="C24" s="3"/>
      <x:c r="D24" s="20"/>
      <x:c r="E24" s="20"/>
      <x:c r="F24" s="28"/>
      <x:c r="G24" s="28"/>
      <x:c r="H24" s="28"/>
      <x:c r="I24" s="26" t="n">
        <x:f>Inputs!C124</x:f>
        <x:v>0</x:v>
      </x:c>
    </x:row>
    <x:row r="25">
      <x:c r="B25" s="3" t="s">
        <x:v>50</x:v>
      </x:c>
      <x:c r="C25" s="3"/>
      <x:c r="D25" s="20"/>
      <x:c r="E25" s="20"/>
      <x:c r="F25" s="28"/>
      <x:c r="G25" s="28"/>
      <x:c r="H25" s="28"/>
      <x:c r="I25" s="26" t="n">
        <x:f>Inputs!C124</x:f>
        <x:v>0</x:v>
      </x:c>
    </x:row>
    <x:row r="26">
      <x:c r="B26" s="3" t="s">
        <x:v>93</x:v>
      </x:c>
      <x:c r="C26" s="3"/>
      <x:c r="D26" s="20" t="n">
        <x:f>D28/D20</x:f>
        <x:v>0.44736478074422464</x:v>
      </x:c>
      <x:c r="E26" s="20" t="n">
        <x:f>E28/E20</x:f>
        <x:v>0.41471147748890297</x:v>
      </x:c>
      <x:c r="F26" s="20" t="n">
        <x:f>F28/F20</x:f>
        <x:v>0.5136612021857924</x:v>
      </x:c>
      <x:c r="G26" s="20" t="n">
        <x:f>G28/G20</x:f>
        <x:v>0.7430982943555478</x:v>
      </x:c>
      <x:c r="H26" s="20" t="n">
        <x:f>H28/H20</x:f>
        <x:v>0.8666261714682402</x:v>
      </x:c>
      <x:c r="I26" s="26" t="n">
        <x:f>Inputs!C82</x:f>
        <x:v>0.864</x:v>
      </x:c>
    </x:row>
    <x:row r="27">
      <x:c r="B27" s="3" t="s">
        <x:v>94</x:v>
      </x:c>
      <x:c r="C27" s="3"/>
      <x:c r="D27" s="27"/>
      <x:c r="E27" s="27"/>
      <x:c r="F27" s="24" t="n">
        <x:f>(F26-E26)*Inputs!C122</x:f>
        <x:v>989.4972469688939</x:v>
      </x:c>
      <x:c r="G27" s="24" t="n">
        <x:f>(G26-F26)*Inputs!C122</x:f>
        <x:v>2294.370921697554</x:v>
      </x:c>
      <x:c r="H27" s="24" t="n">
        <x:f>(H26-G26)*Inputs!C122</x:f>
        <x:v>1235.278771126924</x:v>
      </x:c>
      <x:c r="I27" s="29" t="n">
        <x:f>(I26-H26)*Inputs!C122</x:f>
        <x:v>-26.261714682401795</x:v>
      </x:c>
    </x:row>
    <x:row r="28">
      <x:c r="B28" s="10" t="s">
        <x:v>95</x:v>
      </x:c>
      <x:c r="C28" s="10"/>
      <x:c r="D28" s="15">
        <x:v>3234</x:v>
      </x:c>
      <x:c r="E28" s="15">
        <x:v>654</x:v>
      </x:c>
      <x:c r="F28" s="15">
        <x:v>1222</x:v>
      </x:c>
      <x:c r="G28" s="15">
        <x:v>4226</x:v>
      </x:c>
      <x:c r="H28" s="15">
        <x:v>9987</x:v>
      </x:c>
      <x:c r="I28" s="5" t="n">
        <x:f>I20*I26</x:f>
        <x:v>12395.370417230768</x:v>
      </x:c>
    </x:row>
    <x:row r="29">
      <x:c r="B29" s="3" t="s">
        <x:v>96</x:v>
      </x:c>
      <x:c r="C29" s="3"/>
      <x:c r="D29" s="20"/>
      <x:c r="E29" s="20"/>
      <x:c r="F29" s="20" t="n">
        <x:f>F30/F20</x:f>
        <x:v>0.3741067675493905</x:v>
      </x:c>
      <x:c r="G29" s="20" t="n">
        <x:f>G30/G20</x:f>
        <x:v>0.6697731668718129</x:v>
      </x:c>
      <x:c r="H29" s="20" t="n">
        <x:f>H30/H20</x:f>
        <x:v>0.8260152724748351</x:v>
      </x:c>
      <x:c r="I29" s="25" t="n">
        <x:f>I26-H33/H20</x:f>
        <x:v>0.8233891010065949</x:v>
      </x:c>
    </x:row>
    <x:row r="30">
      <x:c r="B30" s="10" t="s">
        <x:v>97</x:v>
      </x:c>
      <x:c r="C30" s="10"/>
      <x:c r="D30" s="16"/>
      <x:c r="E30" s="16"/>
      <x:c r="F30" s="15">
        <x:v>890</x:v>
      </x:c>
      <x:c r="G30" s="15">
        <x:v>3809</x:v>
      </x:c>
      <x:c r="H30" s="15">
        <x:v>9519</x:v>
      </x:c>
      <x:c r="I30" s="5" t="n">
        <x:f>I20*I29</x:f>
        <x:v>11812.746417230766</x:v>
      </x:c>
    </x:row>
    <x:row r="31">
      <x:c r="B31" s="3" t="s">
        <x:v>98</x:v>
      </x:c>
      <x:c r="C31" s="3"/>
      <x:c r="D31" s="27"/>
      <x:c r="E31" s="27"/>
      <x:c r="F31" s="27"/>
      <x:c r="G31" s="24" t="n">
        <x:f>(G29-F29)*Inputs!C122</x:f>
        <x:v>2956.6639932242238</x:v>
      </x:c>
      <x:c r="H31" s="24" t="n">
        <x:f>(H29-G29)*Inputs!C122</x:f>
        <x:v>1562.4210560302222</x:v>
      </x:c>
      <x:c r="I31" s="29" t="n">
        <x:f>(I29-H29)*Inputs!C122</x:f>
        <x:v>-26.261714682401795</x:v>
      </x:c>
    </x:row>
    <x:row r="32">
      <x:c r="B32" s="3" t="s">
        <x:v>99</x:v>
      </x:c>
      <x:c r="C32" s="3"/>
      <x:c r="D32" s="2" t="n">
        <x:f>D20-D28</x:f>
        <x:v>3995</x:v>
      </x:c>
      <x:c r="E32" s="2" t="n">
        <x:f>E20-E28</x:f>
        <x:v>923</x:v>
      </x:c>
      <x:c r="F32" s="2" t="n">
        <x:f>F20-F28</x:f>
        <x:v>1157</x:v>
      </x:c>
      <x:c r="G32" s="2" t="n">
        <x:f>G20-G28</x:f>
        <x:v>1461</x:v>
      </x:c>
      <x:c r="H32" s="2" t="n">
        <x:f>H20-H28</x:f>
        <x:v>1537</x:v>
      </x:c>
      <x:c r="I32" s="7" t="n">
        <x:f>I20-I28</x:f>
        <x:v>1951.1231212307684</x:v>
      </x:c>
    </x:row>
    <x:row r="33">
      <x:c r="B33" s="3" t="s">
        <x:v>100</x:v>
      </x:c>
      <x:c r="C33" s="3"/>
      <x:c r="D33" s="2"/>
      <x:c r="E33" s="2"/>
      <x:c r="F33" s="2" t="n">
        <x:f>F28-F30</x:f>
        <x:v>332</x:v>
      </x:c>
      <x:c r="G33" s="2" t="n">
        <x:f>G28-G30</x:f>
        <x:v>417</x:v>
      </x:c>
      <x:c r="H33" s="2" t="n">
        <x:f>H28-H30</x:f>
        <x:v>468</x:v>
      </x:c>
      <x:c r="I33" s="7" t="n">
        <x:f>I28-I30</x:f>
        <x:v>582.6240000000016</x:v>
      </x:c>
    </x:row>
    <x:row r="34">
      <x:c r="B34" s="3" t="s">
        <x:v>101</x:v>
      </x:c>
      <x:c r="C34" s="3"/>
      <x:c r="D34" s="2"/>
      <x:c r="E34" s="2"/>
      <x:c r="F34" s="2"/>
      <x:c r="G34" s="2"/>
      <x:c r="H34" s="2"/>
      <x:c r="I34" s="22" t="n">
        <x:f>I20-H20</x:f>
        <x:v>2822.4935384615364</x:v>
      </x:c>
    </x:row>
    <x:row r="35">
      <x:c r="B35" s="3" t="s">
        <x:v>102</x:v>
      </x:c>
      <x:c r="C35" s="3"/>
      <x:c r="D35" s="2"/>
      <x:c r="E35" s="2"/>
      <x:c r="F35" s="2"/>
      <x:c r="G35" s="2"/>
      <x:c r="H35" s="2"/>
      <x:c r="I35" s="22" t="n">
        <x:f>I13-H13</x:f>
        <x:v>-0.8703759451380344</x:v>
      </x:c>
    </x:row>
    <x:row r="36">
      <x:c r="B36" t="s">
        <x:v>103</x:v>
      </x:c>
      <x:c r="I36" s="27" t="n">
        <x:f>I12-H12</x:f>
        <x:v>0.07692307692307687</x:v>
      </x:c>
    </x:row>
    <x:row r="37">
      <x:c r="B37" t="s">
        <x:v>104</x:v>
      </x:c>
    </x:row>
    <x:row r="38">
      <x:c r="B38" t="s">
        <x:v>105</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s>
  <x:sheetData>
    <x:row r="2">
      <x:c r="B2" s="9" t="s">
        <x:v>0</x:v>
      </x:c>
      <x:c r="C2" s="9"/>
      <x:c r="D2" s="9"/>
      <x:c r="E2" s="9"/>
      <x:c r="F2" s="9"/>
      <x:c r="G2" s="9"/>
      <x:c r="H2" s="9"/>
      <x:c r="I2" s="9"/>
    </x:row>
    <x:row r="3">
      <x:c r="B3" s="9" t="s">
        <x:v>107</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10" t="s">
        <x:v>84</x:v>
      </x:c>
      <x:c r="C10" s="10"/>
      <x:c r="D10" s="16"/>
      <x:c r="E10" s="16"/>
      <x:c r="F10" s="16"/>
      <x:c r="G10" s="16"/>
      <x:c r="H10" s="16"/>
      <x:c r="I10" s="5"/>
    </x:row>
    <x:row r="11">
      <x:c r="B11" s="3" t="s">
        <x:v>85</x:v>
      </x:c>
      <x:c r="C11" s="3"/>
      <x:c r="D11" s="2"/>
      <x:c r="E11" s="6">
        <x:v>3255</x:v>
      </x:c>
      <x:c r="F11" s="2" t="n">
        <x:f>E20</x:f>
        <x:v>3760</x:v>
      </x:c>
      <x:c r="G11" s="2" t="n">
        <x:f>F20</x:f>
        <x:v>4255</x:v>
      </x:c>
      <x:c r="H11" s="2" t="n">
        <x:f>G20</x:f>
        <x:v>7711</x:v>
      </x:c>
      <x:c r="I11" s="7" t="n">
        <x:f>H20</x:f>
        <x:v>11521</x:v>
      </x:c>
    </x:row>
    <x:row r="12">
      <x:c r="B12" s="3" t="s">
        <x:v>86</x:v>
      </x:c>
      <x:c r="C12" s="3"/>
      <x:c r="D12" s="23"/>
      <x:c r="E12" s="36" t="n">
        <x:f>E8/(Inputs!C76*7)</x:f>
        <x:v>1</x:v>
      </x:c>
      <x:c r="F12" s="23" t="n">
        <x:f>F8/E8</x:f>
        <x:v>1</x:v>
      </x:c>
      <x:c r="G12" s="23" t="n">
        <x:f>G8/F8</x:f>
        <x:v>1</x:v>
      </x:c>
      <x:c r="H12" s="23" t="n">
        <x:f>H8/G8</x:f>
        <x:v>1</x:v>
      </x:c>
      <x:c r="I12" s="45" t="n">
        <x:f>I8/H8</x:f>
        <x:v>1.0769230769230769</x:v>
      </x:c>
    </x:row>
    <x:row r="13">
      <x:c r="B13" s="3" t="s">
        <x:v>87</x:v>
      </x:c>
      <x:c r="C13" s="3"/>
      <x:c r="D13" s="23"/>
      <x:c r="E13" s="23" t="n">
        <x:f>E20/E17</x:f>
        <x:v>1.1551459293394777</x:v>
      </x:c>
      <x:c r="F13" s="23" t="n">
        <x:f>F20/F17</x:f>
        <x:v>1.1316489361702127</x:v>
      </x:c>
      <x:c r="G13" s="23" t="n">
        <x:f>G20/G17</x:f>
        <x:v>1.8122209165687426</x:v>
      </x:c>
      <x:c r="H13" s="23" t="n">
        <x:f>H20/H17</x:f>
        <x:v>1.4940993386071846</x:v>
      </x:c>
      <x:c r="I13" s="41" t="n">
        <x:f>Inputs!C79</x:f>
        <x:v>1.167</x:v>
      </x:c>
    </x:row>
    <x:row r="14">
      <x:c r="B14" s="3" t="s">
        <x:v>88</x:v>
      </x:c>
      <x:c r="C14" s="3"/>
      <x:c r="D14" s="20"/>
      <x:c r="E14" s="20"/>
      <x:c r="F14" s="20"/>
      <x:c r="G14" s="20"/>
      <x:c r="H14" s="20"/>
      <x:c r="I14" s="35" t="n">
        <x:f>I13-H13</x:f>
        <x:v>-0.32709933860718454</x:v>
      </x:c>
    </x:row>
    <x:row r="15">
      <x:c r="B15" s="3" t="s">
        <x:v>89</x:v>
      </x:c>
      <x:c r="C15" s="3"/>
      <x:c r="D15" s="2"/>
      <x:c r="E15" s="2" t="n">
        <x:f>E11/E8</x:f>
        <x:v>35.76923076923077</x:v>
      </x:c>
      <x:c r="F15" s="2" t="n">
        <x:f>E20/E8</x:f>
        <x:v>41.31868131868132</x:v>
      </x:c>
      <x:c r="G15" s="2" t="n">
        <x:f>F20/F8</x:f>
        <x:v>46.75824175824176</x:v>
      </x:c>
      <x:c r="H15" s="2" t="n">
        <x:f>G20/G8</x:f>
        <x:v>84.73626373626374</x:v>
      </x:c>
      <x:c r="I15" s="7" t="n">
        <x:f>H20/H8</x:f>
        <x:v>126.6043956043956</x:v>
      </x:c>
    </x:row>
    <x:row r="16">
      <x:c r="B16" s="3" t="s">
        <x:v>90</x:v>
      </x:c>
      <x:c r="C16" s="3"/>
      <x:c r="D16" s="2"/>
      <x:c r="E16" s="2" t="n">
        <x:f>E20/E8</x:f>
        <x:v>41.31868131868132</x:v>
      </x:c>
      <x:c r="F16" s="2"/>
      <x:c r="G16" s="2"/>
      <x:c r="H16" s="2"/>
      <x:c r="I16" s="7" t="n">
        <x:f>I15*I13</x:f>
        <x:v>147.74732967032966</x:v>
      </x:c>
    </x:row>
    <x:row r="17">
      <x:c r="B17" s="3" t="s">
        <x:v>91</x:v>
      </x:c>
      <x:c r="C17" s="3"/>
      <x:c r="D17" s="2"/>
      <x:c r="E17" s="2" t="n">
        <x:f>E11*E12</x:f>
        <x:v>3255</x:v>
      </x:c>
      <x:c r="F17" s="2" t="n">
        <x:f>F11*F12</x:f>
        <x:v>3760</x:v>
      </x:c>
      <x:c r="G17" s="2" t="n">
        <x:f>G11*G12</x:f>
        <x:v>4255</x:v>
      </x:c>
      <x:c r="H17" s="2" t="n">
        <x:f>H11*H12</x:f>
        <x:v>7711</x:v>
      </x:c>
      <x:c r="I17" s="7" t="n">
        <x:f>I11*I12</x:f>
        <x:v>12407.23076923077</x:v>
      </x:c>
    </x:row>
    <x:row r="18">
      <x:c r="B18" s="3" t="s">
        <x:v>92</x:v>
      </x:c>
      <x:c r="C18" s="3"/>
      <x:c r="D18" s="2"/>
      <x:c r="E18" s="2" t="n">
        <x:f>E20-E17</x:f>
        <x:v>505</x:v>
      </x:c>
      <x:c r="F18" s="2" t="n">
        <x:f>F20-F17</x:f>
        <x:v>495</x:v>
      </x:c>
      <x:c r="G18" s="2" t="n">
        <x:f>G20-G17</x:f>
        <x:v>3456</x:v>
      </x:c>
      <x:c r="H18" s="2" t="n">
        <x:f>H20-H17</x:f>
        <x:v>3810</x:v>
      </x:c>
      <x:c r="I18" s="7" t="n">
        <x:f>I17*(I13-1)</x:f>
        <x:v>2072.007538461539</x:v>
      </x:c>
    </x:row>
    <x:row r="19">
      <x:c r="B19" s="3"/>
      <x:c r="C19" s="3"/>
      <x:c r="D19" s="2"/>
      <x:c r="E19" s="2"/>
      <x:c r="F19" s="2"/>
      <x:c r="G19" s="2"/>
      <x:c r="H19" s="2"/>
      <x:c r="I19" s="7"/>
    </x:row>
    <x:row r="20">
      <x:c r="B20" s="10" t="s">
        <x:v>43</x:v>
      </x:c>
      <x:c r="C20" s="10"/>
      <x:c r="D20" s="15">
        <x:v>11859</x:v>
      </x:c>
      <x:c r="E20" s="15">
        <x:v>3760</x:v>
      </x:c>
      <x:c r="F20" s="15">
        <x:v>4255</x:v>
      </x:c>
      <x:c r="G20" s="15">
        <x:v>7711</x:v>
      </x:c>
      <x:c r="H20" s="15">
        <x:v>11521</x:v>
      </x:c>
      <x:c r="I20" s="5" t="n">
        <x:f>I17+I18</x:f>
        <x:v>14479.238307692309</x:v>
      </x:c>
    </x:row>
    <x:row r="21">
      <x:c r="B21" s="3" t="s">
        <x:v>46</x:v>
      </x:c>
      <x:c r="C21" s="3"/>
      <x:c r="D21" s="20"/>
      <x:c r="E21" s="20" t="n">
        <x:f>E20/E11-1</x:f>
        <x:v>0.15514592933947768</x:v>
      </x:c>
      <x:c r="F21" s="20" t="n">
        <x:f>F20/E20-1</x:f>
        <x:v>0.13164893617021267</x:v>
      </x:c>
      <x:c r="G21" s="20" t="n">
        <x:f>G20/F20-1</x:f>
        <x:v>0.8122209165687426</x:v>
      </x:c>
      <x:c r="H21" s="20" t="n">
        <x:f>H20/G20-1</x:f>
        <x:v>0.4940993386071846</x:v>
      </x:c>
      <x:c r="I21" s="25" t="n">
        <x:f>I20/H20-1</x:f>
        <x:v>0.25676923076923086</x:v>
      </x:c>
    </x:row>
    <x:row r="22">
      <x:c r="B22" s="3" t="s">
        <x:v>45</x:v>
      </x:c>
      <x:c r="C22" s="3"/>
      <x:c r="D22" s="20"/>
      <x:c r="E22" s="20"/>
      <x:c r="F22" s="20"/>
      <x:c r="G22" s="20"/>
      <x:c r="H22" s="20"/>
      <x:c r="I22" s="25" t="n">
        <x:f>I20/E20-1</x:f>
        <x:v>2.850861252045827</x:v>
      </x:c>
    </x:row>
    <x:row r="23">
      <x:c r="B23" s="3" t="s">
        <x:v>48</x:v>
      </x:c>
      <x:c r="C23" s="3"/>
      <x:c r="D23" s="20"/>
      <x:c r="E23" s="20"/>
      <x:c r="F23" s="20"/>
      <x:c r="G23" s="20"/>
      <x:c r="H23" s="20"/>
      <x:c r="I23" s="25" t="n">
        <x:f>(1+I22)/((1+I24)*(1+I25))-1</x:f>
        <x:v>2.850861252045827</x:v>
      </x:c>
    </x:row>
    <x:row r="24">
      <x:c r="B24" s="3" t="s">
        <x:v>49</x:v>
      </x:c>
      <x:c r="C24" s="3"/>
      <x:c r="D24" s="20"/>
      <x:c r="E24" s="20"/>
      <x:c r="F24" s="28"/>
      <x:c r="G24" s="28"/>
      <x:c r="H24" s="28"/>
      <x:c r="I24" s="26" t="n">
        <x:f>Inputs!C124</x:f>
        <x:v>0</x:v>
      </x:c>
    </x:row>
    <x:row r="25">
      <x:c r="B25" s="3" t="s">
        <x:v>50</x:v>
      </x:c>
      <x:c r="C25" s="3"/>
      <x:c r="D25" s="20"/>
      <x:c r="E25" s="20"/>
      <x:c r="F25" s="28"/>
      <x:c r="G25" s="28"/>
      <x:c r="H25" s="28"/>
      <x:c r="I25" s="26" t="n">
        <x:f>Inputs!C124</x:f>
        <x:v>0</x:v>
      </x:c>
    </x:row>
    <x:row r="26">
      <x:c r="B26" s="3" t="s">
        <x:v>93</x:v>
      </x:c>
      <x:c r="C26" s="3"/>
      <x:c r="D26" s="20" t="n">
        <x:f>D28/D20</x:f>
        <x:v>0.2705961716839531</x:v>
      </x:c>
      <x:c r="E26" s="20" t="n">
        <x:f>E28/E20</x:f>
        <x:v>0.36436170212765956</x:v>
      </x:c>
      <x:c r="F26" s="20" t="n">
        <x:f>F28/F20</x:f>
        <x:v>0.5370152761457109</x:v>
      </x:c>
      <x:c r="G26" s="20" t="n">
        <x:f>G28/G20</x:f>
        <x:v>0.7851121774088964</x:v>
      </x:c>
      <x:c r="H26" s="20" t="n">
        <x:f>H28/H20</x:f>
        <x:v>0.8730144952695078</x:v>
      </x:c>
      <x:c r="I26" s="26" t="n">
        <x:f>Inputs!C82</x:f>
        <x:v>0.864</x:v>
      </x:c>
    </x:row>
    <x:row r="27">
      <x:c r="B27" s="3" t="s">
        <x:v>94</x:v>
      </x:c>
      <x:c r="C27" s="3"/>
      <x:c r="D27" s="27"/>
      <x:c r="E27" s="27"/>
      <x:c r="F27" s="24" t="n">
        <x:f>(F26-E26)*Inputs!C122</x:f>
        <x:v>1726.5357401805131</x:v>
      </x:c>
      <x:c r="G27" s="24" t="n">
        <x:f>(G26-F26)*Inputs!C122</x:f>
        <x:v>2480.969012631855</x:v>
      </x:c>
      <x:c r="H27" s="24" t="n">
        <x:f>(H26-G26)*Inputs!C122</x:f>
        <x:v>879.0231786061142</x:v>
      </x:c>
      <x:c r="I27" s="29" t="n">
        <x:f>(I26-H26)*Inputs!C122</x:f>
        <x:v>-90.14495269507816</x:v>
      </x:c>
    </x:row>
    <x:row r="28">
      <x:c r="B28" s="10" t="s">
        <x:v>95</x:v>
      </x:c>
      <x:c r="C28" s="10"/>
      <x:c r="D28" s="15">
        <x:v>3209</x:v>
      </x:c>
      <x:c r="E28" s="15">
        <x:v>1370</x:v>
      </x:c>
      <x:c r="F28" s="15">
        <x:v>2285</x:v>
      </x:c>
      <x:c r="G28" s="15">
        <x:v>6054</x:v>
      </x:c>
      <x:c r="H28" s="15">
        <x:v>10058</x:v>
      </x:c>
      <x:c r="I28" s="5" t="n">
        <x:f>I20*I26</x:f>
        <x:v>12510.061897846155</x:v>
      </x:c>
    </x:row>
    <x:row r="29">
      <x:c r="B29" s="3" t="s">
        <x:v>96</x:v>
      </x:c>
      <x:c r="C29" s="3"/>
      <x:c r="D29" s="20"/>
      <x:c r="E29" s="20"/>
      <x:c r="F29" s="20" t="n">
        <x:f>F30/F20</x:f>
        <x:v>0.4740305522914219</x:v>
      </x:c>
      <x:c r="G29" s="20" t="n">
        <x:f>G30/G20</x:f>
        <x:v>0.7568408766696927</x:v>
      </x:c>
      <x:c r="H29" s="20" t="n">
        <x:f>H30/H20</x:f>
        <x:v>0.8569568613835604</x:v>
      </x:c>
      <x:c r="I29" s="25" t="n">
        <x:f>I26-H33/H20</x:f>
        <x:v>0.8479423661140526</x:v>
      </x:c>
    </x:row>
    <x:row r="30">
      <x:c r="B30" s="10" t="s">
        <x:v>97</x:v>
      </x:c>
      <x:c r="C30" s="10"/>
      <x:c r="D30" s="16"/>
      <x:c r="E30" s="16"/>
      <x:c r="F30" s="15">
        <x:v>2017</x:v>
      </x:c>
      <x:c r="G30" s="15">
        <x:v>5836</x:v>
      </x:c>
      <x:c r="H30" s="15">
        <x:v>9873</x:v>
      </x:c>
      <x:c r="I30" s="5" t="n">
        <x:f>I20*I29</x:f>
        <x:v>12277.559590153847</x:v>
      </x:c>
    </x:row>
    <x:row r="31">
      <x:c r="B31" s="3" t="s">
        <x:v>98</x:v>
      </x:c>
      <x:c r="C31" s="3"/>
      <x:c r="D31" s="27"/>
      <x:c r="E31" s="27"/>
      <x:c r="F31" s="27"/>
      <x:c r="G31" s="24" t="n">
        <x:f>(G29-F29)*Inputs!C122</x:f>
        <x:v>2828.103243782708</x:v>
      </x:c>
      <x:c r="H31" s="24" t="n">
        <x:f>(H29-G29)*Inputs!C122</x:f>
        <x:v>1001.1598471386774</x:v>
      </x:c>
      <x:c r="I31" s="29" t="n">
        <x:f>(I29-H29)*Inputs!C122</x:f>
        <x:v>-90.14495269507816</x:v>
      </x:c>
    </x:row>
    <x:row r="32">
      <x:c r="B32" s="3" t="s">
        <x:v>99</x:v>
      </x:c>
      <x:c r="C32" s="3"/>
      <x:c r="D32" s="2" t="n">
        <x:f>D20-D28</x:f>
        <x:v>8650</x:v>
      </x:c>
      <x:c r="E32" s="2" t="n">
        <x:f>E20-E28</x:f>
        <x:v>2390</x:v>
      </x:c>
      <x:c r="F32" s="2" t="n">
        <x:f>F20-F28</x:f>
        <x:v>1970</x:v>
      </x:c>
      <x:c r="G32" s="2" t="n">
        <x:f>G20-G28</x:f>
        <x:v>1657</x:v>
      </x:c>
      <x:c r="H32" s="2" t="n">
        <x:f>H20-H28</x:f>
        <x:v>1463</x:v>
      </x:c>
      <x:c r="I32" s="7" t="n">
        <x:f>I20-I28</x:f>
        <x:v>1969.1764098461535</x:v>
      </x:c>
    </x:row>
    <x:row r="33">
      <x:c r="B33" s="3" t="s">
        <x:v>100</x:v>
      </x:c>
      <x:c r="C33" s="3"/>
      <x:c r="D33" s="2"/>
      <x:c r="E33" s="2"/>
      <x:c r="F33" s="2" t="n">
        <x:f>F28-F30</x:f>
        <x:v>268</x:v>
      </x:c>
      <x:c r="G33" s="2" t="n">
        <x:f>G28-G30</x:f>
        <x:v>218</x:v>
      </x:c>
      <x:c r="H33" s="2" t="n">
        <x:f>H28-H30</x:f>
        <x:v>185</x:v>
      </x:c>
      <x:c r="I33" s="7" t="n">
        <x:f>I28-I30</x:f>
        <x:v>232.50230769230802</x:v>
      </x:c>
    </x:row>
    <x:row r="34">
      <x:c r="B34" s="3" t="s">
        <x:v>101</x:v>
      </x:c>
      <x:c r="C34" s="3"/>
      <x:c r="D34" s="2"/>
      <x:c r="E34" s="2"/>
      <x:c r="F34" s="2"/>
      <x:c r="G34" s="2"/>
      <x:c r="H34" s="2"/>
      <x:c r="I34" s="22" t="n">
        <x:f>I20-H20</x:f>
        <x:v>2958.238307692309</x:v>
      </x:c>
    </x:row>
    <x:row r="35">
      <x:c r="B35" s="3" t="s">
        <x:v>102</x:v>
      </x:c>
      <x:c r="C35" s="3"/>
      <x:c r="D35" s="2"/>
      <x:c r="E35" s="2"/>
      <x:c r="F35" s="2"/>
      <x:c r="G35" s="2"/>
      <x:c r="H35" s="2"/>
      <x:c r="I35" s="22" t="n">
        <x:f>I13-H13</x:f>
        <x:v>-0.32709933860718454</x:v>
      </x:c>
    </x:row>
    <x:row r="36">
      <x:c r="B36" t="s">
        <x:v>103</x:v>
      </x:c>
      <x:c r="I36" s="27" t="n">
        <x:f>I12-H12</x:f>
        <x:v>0.07692307692307687</x:v>
      </x:c>
    </x:row>
    <x:row r="37">
      <x:c r="B37" t="s">
        <x:v>104</x:v>
      </x:c>
    </x:row>
    <x:row r="38">
      <x:c r="B38" t="s">
        <x:v>105</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s>
  <x:sheetData>
    <x:row r="2">
      <x:c r="B2" s="9" t="s">
        <x:v>0</x:v>
      </x:c>
      <x:c r="C2" s="9"/>
      <x:c r="D2" s="9"/>
      <x:c r="E2" s="9"/>
      <x:c r="F2" s="9"/>
      <x:c r="G2" s="9"/>
      <x:c r="H2" s="9"/>
      <x:c r="I2" s="9"/>
    </x:row>
    <x:row r="3">
      <x:c r="B3" s="9" t="s">
        <x:v>108</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10" t="s">
        <x:v>84</x:v>
      </x:c>
      <x:c r="C10" s="10"/>
      <x:c r="D10" s="16"/>
      <x:c r="E10" s="16"/>
      <x:c r="F10" s="16"/>
      <x:c r="G10" s="16"/>
      <x:c r="H10" s="16"/>
      <x:c r="I10" s="5"/>
    </x:row>
    <x:row r="11">
      <x:c r="B11" s="3" t="s">
        <x:v>85</x:v>
      </x:c>
      <x:c r="C11" s="3"/>
      <x:c r="D11" s="2"/>
      <x:c r="E11" s="6">
        <x:v>1127</x:v>
      </x:c>
      <x:c r="F11" s="2" t="n">
        <x:f>E20</x:f>
        <x:v>1434</x:v>
      </x:c>
      <x:c r="G11" s="2" t="n">
        <x:f>F20</x:f>
        <x:v>1720</x:v>
      </x:c>
      <x:c r="H11" s="2" t="n">
        <x:f>G20</x:f>
        <x:v>2708</x:v>
      </x:c>
      <x:c r="I11" s="7" t="n">
        <x:f>H20</x:f>
        <x:v>4634</x:v>
      </x:c>
    </x:row>
    <x:row r="12">
      <x:c r="B12" s="3" t="s">
        <x:v>86</x:v>
      </x:c>
      <x:c r="C12" s="3"/>
      <x:c r="D12" s="23"/>
      <x:c r="E12" s="36" t="n">
        <x:f>E8/(Inputs!C76*7)</x:f>
        <x:v>1</x:v>
      </x:c>
      <x:c r="F12" s="23" t="n">
        <x:f>F8/E8</x:f>
        <x:v>1</x:v>
      </x:c>
      <x:c r="G12" s="23" t="n">
        <x:f>G8/F8</x:f>
        <x:v>1</x:v>
      </x:c>
      <x:c r="H12" s="23" t="n">
        <x:f>H8/G8</x:f>
        <x:v>1</x:v>
      </x:c>
      <x:c r="I12" s="45" t="n">
        <x:f>I8/H8</x:f>
        <x:v>1.0769230769230769</x:v>
      </x:c>
    </x:row>
    <x:row r="13">
      <x:c r="B13" s="3" t="s">
        <x:v>87</x:v>
      </x:c>
      <x:c r="C13" s="3"/>
      <x:c r="D13" s="23"/>
      <x:c r="E13" s="23" t="n">
        <x:f>E20/E17</x:f>
        <x:v>1.2724046140195209</x:v>
      </x:c>
      <x:c r="F13" s="23" t="n">
        <x:f>F20/F17</x:f>
        <x:v>1.199442119944212</x:v>
      </x:c>
      <x:c r="G13" s="23" t="n">
        <x:f>G20/G17</x:f>
        <x:v>1.5744186046511628</x:v>
      </x:c>
      <x:c r="H13" s="23" t="n">
        <x:f>H20/H17</x:f>
        <x:v>1.7112259970457901</x:v>
      </x:c>
      <x:c r="I13" s="41" t="n">
        <x:f>Inputs!C80</x:f>
        <x:v>1.148</x:v>
      </x:c>
    </x:row>
    <x:row r="14">
      <x:c r="B14" s="3" t="s">
        <x:v>88</x:v>
      </x:c>
      <x:c r="C14" s="3"/>
      <x:c r="D14" s="20"/>
      <x:c r="E14" s="20"/>
      <x:c r="F14" s="20"/>
      <x:c r="G14" s="20"/>
      <x:c r="H14" s="20"/>
      <x:c r="I14" s="35" t="n">
        <x:f>I13-H13</x:f>
        <x:v>-0.5632259970457902</x:v>
      </x:c>
    </x:row>
    <x:row r="15">
      <x:c r="B15" s="3" t="s">
        <x:v>89</x:v>
      </x:c>
      <x:c r="C15" s="3"/>
      <x:c r="D15" s="2"/>
      <x:c r="E15" s="2" t="n">
        <x:f>E11/E8</x:f>
        <x:v>12.384615384615385</x:v>
      </x:c>
      <x:c r="F15" s="2" t="n">
        <x:f>E20/E8</x:f>
        <x:v>15.758241758241759</x:v>
      </x:c>
      <x:c r="G15" s="2" t="n">
        <x:f>F20/F8</x:f>
        <x:v>18.9010989010989</x:v>
      </x:c>
      <x:c r="H15" s="2" t="n">
        <x:f>G20/G8</x:f>
        <x:v>29.75824175824176</x:v>
      </x:c>
      <x:c r="I15" s="7" t="n">
        <x:f>H20/H8</x:f>
        <x:v>50.92307692307692</x:v>
      </x:c>
    </x:row>
    <x:row r="16">
      <x:c r="B16" s="3" t="s">
        <x:v>90</x:v>
      </x:c>
      <x:c r="C16" s="3"/>
      <x:c r="D16" s="2"/>
      <x:c r="E16" s="2" t="n">
        <x:f>E20/E8</x:f>
        <x:v>15.758241758241759</x:v>
      </x:c>
      <x:c r="F16" s="2"/>
      <x:c r="G16" s="2"/>
      <x:c r="H16" s="2"/>
      <x:c r="I16" s="7" t="n">
        <x:f>I15*I13</x:f>
        <x:v>58.4596923076923</x:v>
      </x:c>
    </x:row>
    <x:row r="17">
      <x:c r="B17" s="3" t="s">
        <x:v>91</x:v>
      </x:c>
      <x:c r="C17" s="3"/>
      <x:c r="D17" s="2"/>
      <x:c r="E17" s="2" t="n">
        <x:f>E11*E12</x:f>
        <x:v>1127</x:v>
      </x:c>
      <x:c r="F17" s="2" t="n">
        <x:f>F11*F12</x:f>
        <x:v>1434</x:v>
      </x:c>
      <x:c r="G17" s="2" t="n">
        <x:f>G11*G12</x:f>
        <x:v>1720</x:v>
      </x:c>
      <x:c r="H17" s="2" t="n">
        <x:f>H11*H12</x:f>
        <x:v>2708</x:v>
      </x:c>
      <x:c r="I17" s="7" t="n">
        <x:f>I11*I12</x:f>
        <x:v>4990.461538461538</x:v>
      </x:c>
    </x:row>
    <x:row r="18">
      <x:c r="B18" s="3" t="s">
        <x:v>92</x:v>
      </x:c>
      <x:c r="C18" s="3"/>
      <x:c r="D18" s="2"/>
      <x:c r="E18" s="2" t="n">
        <x:f>E20-E17</x:f>
        <x:v>307</x:v>
      </x:c>
      <x:c r="F18" s="2" t="n">
        <x:f>F20-F17</x:f>
        <x:v>286</x:v>
      </x:c>
      <x:c r="G18" s="2" t="n">
        <x:f>G20-G17</x:f>
        <x:v>988</x:v>
      </x:c>
      <x:c r="H18" s="2" t="n">
        <x:f>H20-H17</x:f>
        <x:v>1926</x:v>
      </x:c>
      <x:c r="I18" s="7" t="n">
        <x:f>I17*(I13-1)</x:f>
        <x:v>738.5883076923072</x:v>
      </x:c>
    </x:row>
    <x:row r="19">
      <x:c r="B19" s="3"/>
      <x:c r="C19" s="3"/>
      <x:c r="D19" s="2"/>
      <x:c r="E19" s="2"/>
      <x:c r="F19" s="2"/>
      <x:c r="G19" s="2"/>
      <x:c r="H19" s="2"/>
      <x:c r="I19" s="7"/>
    </x:row>
    <x:row r="20">
      <x:c r="B20" s="10" t="s">
        <x:v>43</x:v>
      </x:c>
      <x:c r="C20" s="10"/>
      <x:c r="D20" s="15">
        <x:v>4753</x:v>
      </x:c>
      <x:c r="E20" s="15">
        <x:v>1434</x:v>
      </x:c>
      <x:c r="F20" s="15">
        <x:v>1720</x:v>
      </x:c>
      <x:c r="G20" s="15">
        <x:v>2708</x:v>
      </x:c>
      <x:c r="H20" s="15">
        <x:v>4634</x:v>
      </x:c>
      <x:c r="I20" s="5" t="n">
        <x:f>I17+I18</x:f>
        <x:v>5729.0498461538455</x:v>
      </x:c>
    </x:row>
    <x:row r="21">
      <x:c r="B21" s="3" t="s">
        <x:v>46</x:v>
      </x:c>
      <x:c r="C21" s="3"/>
      <x:c r="D21" s="20"/>
      <x:c r="E21" s="20" t="n">
        <x:f>E20/E11-1</x:f>
        <x:v>0.2724046140195209</x:v>
      </x:c>
      <x:c r="F21" s="20" t="n">
        <x:f>F20/E20-1</x:f>
        <x:v>0.19944211994421202</x:v>
      </x:c>
      <x:c r="G21" s="20" t="n">
        <x:f>G20/F20-1</x:f>
        <x:v>0.5744186046511628</x:v>
      </x:c>
      <x:c r="H21" s="20" t="n">
        <x:f>H20/G20-1</x:f>
        <x:v>0.7112259970457901</x:v>
      </x:c>
      <x:c r="I21" s="25" t="n">
        <x:f>I20/H20-1</x:f>
        <x:v>0.2363076923076921</x:v>
      </x:c>
    </x:row>
    <x:row r="22">
      <x:c r="B22" s="3" t="s">
        <x:v>45</x:v>
      </x:c>
      <x:c r="C22" s="3"/>
      <x:c r="D22" s="20"/>
      <x:c r="E22" s="20"/>
      <x:c r="F22" s="20"/>
      <x:c r="G22" s="20"/>
      <x:c r="H22" s="20"/>
      <x:c r="I22" s="25" t="n">
        <x:f>I20/E20-1</x:f>
        <x:v>2.995153309730715</x:v>
      </x:c>
    </x:row>
    <x:row r="23">
      <x:c r="B23" s="3" t="s">
        <x:v>48</x:v>
      </x:c>
      <x:c r="C23" s="3"/>
      <x:c r="D23" s="20"/>
      <x:c r="E23" s="20"/>
      <x:c r="F23" s="20"/>
      <x:c r="G23" s="20"/>
      <x:c r="H23" s="20"/>
      <x:c r="I23" s="25" t="n">
        <x:f>(1+I22)/((1+I24)*(1+I25))-1</x:f>
        <x:v>2.995153309730715</x:v>
      </x:c>
    </x:row>
    <x:row r="24">
      <x:c r="B24" s="3" t="s">
        <x:v>49</x:v>
      </x:c>
      <x:c r="C24" s="3"/>
      <x:c r="D24" s="20"/>
      <x:c r="E24" s="20"/>
      <x:c r="F24" s="28"/>
      <x:c r="G24" s="28"/>
      <x:c r="H24" s="28"/>
      <x:c r="I24" s="26" t="n">
        <x:f>Inputs!C124</x:f>
        <x:v>0</x:v>
      </x:c>
    </x:row>
    <x:row r="25">
      <x:c r="B25" s="3" t="s">
        <x:v>50</x:v>
      </x:c>
      <x:c r="C25" s="3"/>
      <x:c r="D25" s="20"/>
      <x:c r="E25" s="20"/>
      <x:c r="F25" s="28"/>
      <x:c r="G25" s="28"/>
      <x:c r="H25" s="28"/>
      <x:c r="I25" s="26" t="n">
        <x:f>Inputs!C124</x:f>
        <x:v>0</x:v>
      </x:c>
    </x:row>
    <x:row r="26">
      <x:c r="B26" s="3" t="s">
        <x:v>93</x:v>
      </x:c>
      <x:c r="C26" s="3"/>
      <x:c r="D26" s="20" t="n">
        <x:f>D28/D20</x:f>
        <x:v>0.249737008205344</x:v>
      </x:c>
      <x:c r="E26" s="20" t="n">
        <x:f>E28/E20</x:f>
        <x:v>0.3117154811715481</x:v>
      </x:c>
      <x:c r="F26" s="20" t="n">
        <x:f>F28/F20</x:f>
        <x:v>0.45232558139534884</x:v>
      </x:c>
      <x:c r="G26" s="20" t="n">
        <x:f>G28/G20</x:f>
        <x:v>0.6827917282127031</x:v>
      </x:c>
      <x:c r="H26" s="20" t="n">
        <x:f>H28/H20</x:f>
        <x:v>0.7895986189037548</x:v>
      </x:c>
      <x:c r="I26" s="26" t="n">
        <x:f>Inputs!C82</x:f>
        <x:v>0.864</x:v>
      </x:c>
    </x:row>
    <x:row r="27">
      <x:c r="B27" s="3" t="s">
        <x:v>94</x:v>
      </x:c>
      <x:c r="C27" s="3"/>
      <x:c r="D27" s="27"/>
      <x:c r="E27" s="27"/>
      <x:c r="F27" s="24" t="n">
        <x:f>(F26-E26)*Inputs!C122</x:f>
        <x:v>1406.1010022380071</x:v>
      </x:c>
      <x:c r="G27" s="24" t="n">
        <x:f>(G26-F26)*Inputs!C122</x:f>
        <x:v>2304.6614681735423</x:v>
      </x:c>
      <x:c r="H27" s="24" t="n">
        <x:f>(H26-G26)*Inputs!C122</x:f>
        <x:v>1068.0689069105176</x:v>
      </x:c>
      <x:c r="I27" s="29" t="n">
        <x:f>(I26-H26)*Inputs!C122</x:f>
        <x:v>744.0138109624517</x:v>
      </x:c>
    </x:row>
    <x:row r="28">
      <x:c r="B28" s="10" t="s">
        <x:v>95</x:v>
      </x:c>
      <x:c r="C28" s="10"/>
      <x:c r="D28" s="15">
        <x:v>1187</x:v>
      </x:c>
      <x:c r="E28" s="15">
        <x:v>447</x:v>
      </x:c>
      <x:c r="F28" s="15">
        <x:v>778</x:v>
      </x:c>
      <x:c r="G28" s="15">
        <x:v>1849</x:v>
      </x:c>
      <x:c r="H28" s="15">
        <x:v>3659</x:v>
      </x:c>
      <x:c r="I28" s="5" t="n">
        <x:f>I20*I26</x:f>
        <x:v>4949.899067076923</x:v>
      </x:c>
    </x:row>
    <x:row r="29">
      <x:c r="B29" s="3" t="s">
        <x:v>96</x:v>
      </x:c>
      <x:c r="C29" s="3"/>
      <x:c r="D29" s="20"/>
      <x:c r="E29" s="20"/>
      <x:c r="F29" s="20" t="n">
        <x:f>F30/F20</x:f>
        <x:v>0.36453488372093024</x:v>
      </x:c>
      <x:c r="G29" s="20" t="n">
        <x:f>G30/G20</x:f>
        <x:v>0.6211225997045791</x:v>
      </x:c>
      <x:c r="H29" s="20" t="n">
        <x:f>H30/H20</x:f>
        <x:v>0.7537764350453172</x:v>
      </x:c>
      <x:c r="I29" s="25" t="n">
        <x:f>I26-H33/H20</x:f>
        <x:v>0.8281778161415624</x:v>
      </x:c>
    </x:row>
    <x:row r="30">
      <x:c r="B30" s="10" t="s">
        <x:v>97</x:v>
      </x:c>
      <x:c r="C30" s="10"/>
      <x:c r="D30" s="16"/>
      <x:c r="E30" s="16"/>
      <x:c r="F30" s="15">
        <x:v>627</x:v>
      </x:c>
      <x:c r="G30" s="15">
        <x:v>1682</x:v>
      </x:c>
      <x:c r="H30" s="15">
        <x:v>3493</x:v>
      </x:c>
      <x:c r="I30" s="5" t="n">
        <x:f>I20*I29</x:f>
        <x:v>4744.671990153845</x:v>
      </x:c>
    </x:row>
    <x:row r="31">
      <x:c r="B31" s="3" t="s">
        <x:v>98</x:v>
      </x:c>
      <x:c r="C31" s="3"/>
      <x:c r="D31" s="27"/>
      <x:c r="E31" s="27"/>
      <x:c r="F31" s="27"/>
      <x:c r="G31" s="24" t="n">
        <x:f>(G29-F29)*Inputs!C122</x:f>
        <x:v>2565.8771598364883</x:v>
      </x:c>
      <x:c r="H31" s="24" t="n">
        <x:f>(H29-G29)*Inputs!C122</x:f>
        <x:v>1326.5383534073815</x:v>
      </x:c>
      <x:c r="I31" s="29" t="n">
        <x:f>(I29-H29)*Inputs!C122</x:f>
        <x:v>744.0138109624517</x:v>
      </x:c>
    </x:row>
    <x:row r="32">
      <x:c r="B32" s="3" t="s">
        <x:v>99</x:v>
      </x:c>
      <x:c r="C32" s="3"/>
      <x:c r="D32" s="2" t="n">
        <x:f>D20-D28</x:f>
        <x:v>3566</x:v>
      </x:c>
      <x:c r="E32" s="2" t="n">
        <x:f>E20-E28</x:f>
        <x:v>987</x:v>
      </x:c>
      <x:c r="F32" s="2" t="n">
        <x:f>F20-F28</x:f>
        <x:v>942</x:v>
      </x:c>
      <x:c r="G32" s="2" t="n">
        <x:f>G20-G28</x:f>
        <x:v>859</x:v>
      </x:c>
      <x:c r="H32" s="2" t="n">
        <x:f>H20-H28</x:f>
        <x:v>975</x:v>
      </x:c>
      <x:c r="I32" s="7" t="n">
        <x:f>I20-I28</x:f>
        <x:v>779.1507790769228</x:v>
      </x:c>
    </x:row>
    <x:row r="33">
      <x:c r="B33" s="3" t="s">
        <x:v>100</x:v>
      </x:c>
      <x:c r="C33" s="3"/>
      <x:c r="D33" s="2"/>
      <x:c r="E33" s="2"/>
      <x:c r="F33" s="2" t="n">
        <x:f>F28-F30</x:f>
        <x:v>151</x:v>
      </x:c>
      <x:c r="G33" s="2" t="n">
        <x:f>G28-G30</x:f>
        <x:v>167</x:v>
      </x:c>
      <x:c r="H33" s="2" t="n">
        <x:f>H28-H30</x:f>
        <x:v>166</x:v>
      </x:c>
      <x:c r="I33" s="7" t="n">
        <x:f>I28-I30</x:f>
        <x:v>205.22707692307722</x:v>
      </x:c>
    </x:row>
    <x:row r="34">
      <x:c r="B34" s="3" t="s">
        <x:v>101</x:v>
      </x:c>
      <x:c r="C34" s="3"/>
      <x:c r="D34" s="2"/>
      <x:c r="E34" s="2"/>
      <x:c r="F34" s="2"/>
      <x:c r="G34" s="2"/>
      <x:c r="H34" s="2"/>
      <x:c r="I34" s="22" t="n">
        <x:f>I20-H20</x:f>
        <x:v>1095.0498461538455</x:v>
      </x:c>
    </x:row>
    <x:row r="35">
      <x:c r="B35" s="3" t="s">
        <x:v>102</x:v>
      </x:c>
      <x:c r="C35" s="3"/>
      <x:c r="D35" s="2"/>
      <x:c r="E35" s="2"/>
      <x:c r="F35" s="2"/>
      <x:c r="G35" s="2"/>
      <x:c r="H35" s="2"/>
      <x:c r="I35" s="22" t="n">
        <x:f>I13-H13</x:f>
        <x:v>-0.5632259970457902</x:v>
      </x:c>
    </x:row>
    <x:row r="36">
      <x:c r="B36" t="s">
        <x:v>103</x:v>
      </x:c>
      <x:c r="I36" s="27" t="n">
        <x:f>I12-H12</x:f>
        <x:v>0.07692307692307687</x:v>
      </x:c>
    </x:row>
    <x:row r="37">
      <x:c r="B37" t="s">
        <x:v>104</x:v>
      </x:c>
    </x:row>
    <x:row r="38">
      <x:c r="B38" t="s">
        <x:v>105</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 min="10" max="10" width="65" hidden="0" customWidth="1"/>
  </x:cols>
  <x:sheetData>
    <x:row r="2">
      <x:c r="B2" s="9" t="s">
        <x:v>0</x:v>
      </x:c>
      <x:c r="C2" s="9"/>
      <x:c r="D2" s="9"/>
      <x:c r="E2" s="9"/>
      <x:c r="F2" s="9"/>
      <x:c r="G2" s="9"/>
      <x:c r="H2" s="9"/>
      <x:c r="I2" s="9"/>
    </x:row>
    <x:row r="3">
      <x:c r="B3" s="9" t="s">
        <x:v>109</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10" t="s">
        <x:v>110</x:v>
      </x:c>
      <x:c r="C10" s="10"/>
      <x:c r="D10" s="16"/>
      <x:c r="E10" s="16"/>
      <x:c r="F10" s="16"/>
      <x:c r="G10" s="16"/>
      <x:c r="H10" s="16"/>
      <x:c r="I10" s="5"/>
    </x:row>
    <x:row r="11">
      <x:c r="B11" s="10" t="s">
        <x:v>111</x:v>
      </x:c>
      <x:c r="C11" s="10"/>
      <x:c r="D11" s="4" t="n">
        <x:f>'Revenue summary'!D46</x:f>
        <x:v>37378</x:v>
      </x:c>
      <x:c r="E11" s="4" t="n">
        <x:f>'Revenue summary'!E46</x:f>
        <x:v>11315</x:v>
      </x:c>
      <x:c r="F11" s="4" t="n">
        <x:f>'Revenue summary'!F46</x:f>
        <x:v>13643</x:v>
      </x:c>
      <x:c r="G11" s="4" t="n">
        <x:f>'Revenue summary'!G46</x:f>
        <x:v>23860</x:v>
      </x:c>
      <x:c r="H11" s="4" t="n">
        <x:f>'Revenue summary'!H46</x:f>
        <x:v>41456</x:v>
      </x:c>
      <x:c r="I11" s="13" t="n">
        <x:f>'Revenue summary'!I46</x:f>
        <x:v>51557.83984615384</x:v>
      </x:c>
    </x:row>
    <x:row r="12">
      <x:c r="B12" s="3" t="s">
        <x:v>57</x:v>
      </x:c>
      <x:c r="C12" s="3"/>
      <x:c r="D12" s="20"/>
      <x:c r="E12" s="20"/>
      <x:c r="F12" s="20"/>
      <x:c r="G12" s="20"/>
      <x:c r="H12" s="20"/>
      <x:c r="I12" s="25" t="n">
        <x:f>I11/E11-1</x:f>
        <x:v>3.556592120738298</x:v>
      </x:c>
    </x:row>
    <x:row r="13">
      <x:c r="B13" s="3" t="s">
        <x:v>58</x:v>
      </x:c>
      <x:c r="C13" s="3"/>
      <x:c r="D13" s="20"/>
      <x:c r="E13" s="20"/>
      <x:c r="F13" s="20"/>
      <x:c r="G13" s="20"/>
      <x:c r="H13" s="20"/>
      <x:c r="I13" s="25" t="n">
        <x:f>I11/H11-1</x:f>
        <x:v>0.2436761830893921</x:v>
      </x:c>
    </x:row>
    <x:row r="14">
      <x:c r="B14" s="3" t="s">
        <x:v>99</x:v>
      </x:c>
      <x:c r="C14" s="3"/>
      <x:c r="D14" s="6">
        <x:v>22505</x:v>
      </x:c>
      <x:c r="E14" s="6">
        <x:v>6261</x:v>
      </x:c>
      <x:c r="F14" s="6">
        <x:v>5997</x:v>
      </x:c>
      <x:c r="G14" s="6">
        <x:v>6105</x:v>
      </x:c>
      <x:c r="H14" s="6">
        <x:v>6400</x:v>
      </x:c>
      <x:c r="I14" s="14" t="n">
        <x:f>I11*(1-Inputs!C82)</x:f>
        <x:v>7011.866219076923</x:v>
      </x:c>
    </x:row>
    <x:row r="15">
      <x:c r="B15" s="10" t="s">
        <x:v>112</x:v>
      </x:c>
      <x:c r="C15" s="10"/>
      <x:c r="D15" s="16" t="n">
        <x:f>D11-D14</x:f>
        <x:v>14873</x:v>
      </x:c>
      <x:c r="E15" s="16" t="n">
        <x:f>E11-E14</x:f>
        <x:v>5054</x:v>
      </x:c>
      <x:c r="F15" s="16" t="n">
        <x:f>F11-F14</x:f>
        <x:v>7646</x:v>
      </x:c>
      <x:c r="G15" s="16" t="n">
        <x:f>G11-G14</x:f>
        <x:v>17755</x:v>
      </x:c>
      <x:c r="H15" s="16" t="n">
        <x:f>H11-H14</x:f>
        <x:v>35056</x:v>
      </x:c>
      <x:c r="I15" s="5" t="n">
        <x:f>I11-I14</x:f>
        <x:v>44545.97362707691</x:v>
      </x:c>
    </x:row>
    <x:row r="16">
      <x:c r="B16" s="3" t="s">
        <x:v>93</x:v>
      </x:c>
      <x:c r="C16" s="3"/>
      <x:c r="D16" s="20" t="n">
        <x:f>D15/D11</x:f>
        <x:v>0.39790786023864305</x:v>
      </x:c>
      <x:c r="E16" s="20" t="n">
        <x:f>E15/E11</x:f>
        <x:v>0.44666372072470173</x:v>
      </x:c>
      <x:c r="F16" s="20" t="n">
        <x:f>F15/F11</x:f>
        <x:v>0.5604339221578831</x:v>
      </x:c>
      <x:c r="G16" s="20" t="n">
        <x:f>G15/G11</x:f>
        <x:v>0.7441324392288349</x:v>
      </x:c>
      <x:c r="H16" s="20" t="n">
        <x:f>H15/H11</x:f>
        <x:v>0.8456194519490544</x:v>
      </x:c>
      <x:c r="I16" s="25" t="n">
        <x:f>I15/I11</x:f>
        <x:v>0.864</x:v>
      </x:c>
    </x:row>
    <x:row r="17">
      <x:c r="B17" s="3" t="s">
        <x:v>94</x:v>
      </x:c>
      <x:c r="C17" s="3"/>
      <x:c r="D17" s="2"/>
      <x:c r="E17" s="2"/>
      <x:c r="F17" s="2"/>
      <x:c r="G17" s="2"/>
      <x:c r="H17" s="2"/>
      <x:c r="I17" s="7" t="n">
        <x:f>(I16-E16)*Inputs!C122</x:f>
        <x:v>4173.362792752982</x:v>
      </x:c>
    </x:row>
    <x:row r="18">
      <x:c r="B18" s="3" t="s">
        <x:v>113</x:v>
      </x:c>
      <x:c r="C18" s="3"/>
      <x:c r="D18" s="6">
        <x:v>3798</x:v>
      </x:c>
      <x:c r="E18" s="6">
        <x:v>1047</x:v>
      </x:c>
      <x:c r="F18" s="6">
        <x:v>1171</x:v>
      </x:c>
      <x:c r="G18" s="6">
        <x:v>1250</x:v>
      </x:c>
      <x:c r="H18" s="6">
        <x:v>1316</x:v>
      </x:c>
      <x:c r="I18" s="14" t="n">
        <x:f>Inputs!C83</x:f>
        <x:v>1430</x:v>
      </x:c>
    </x:row>
    <x:row r="19">
      <x:c r="B19" s="3" t="s">
        <x:v>114</x:v>
      </x:c>
      <x:c r="C19" s="3"/>
      <x:c r="D19" s="6">
        <x:v>1205</x:v>
      </x:c>
      <x:c r="E19" s="6">
        <x:v>314</x:v>
      </x:c>
      <x:c r="F19" s="6">
        <x:v>337</x:v>
      </x:c>
      <x:c r="G19" s="6">
        <x:v>344</x:v>
      </x:c>
      <x:c r="H19" s="6">
        <x:v>407</x:v>
      </x:c>
      <x:c r="I19" s="14" t="n">
        <x:f>Inputs!C84</x:f>
        <x:v>430</x:v>
      </x:c>
    </x:row>
    <x:row r="20">
      <x:c r="B20" s="3" t="s">
        <x:v>115</x:v>
      </x:c>
      <x:c r="C20" s="3"/>
      <x:c r="D20" s="6">
        <x:v>39</x:v>
      </x:c>
      <x:c r="E20" s="6">
        <x:v>38</x:v>
      </x:c>
      <x:c r="F20" s="2"/>
      <x:c r="G20" s="2"/>
      <x:c r="H20" s="2"/>
      <x:c r="I20" s="7" t="n">
        <x:f>Inputs!C123</x:f>
        <x:v>0</x:v>
      </x:c>
    </x:row>
    <x:row r="21">
      <x:c r="B21" s="3" t="s">
        <x:v>116</x:v>
      </x:c>
      <x:c r="C21" s="3"/>
      <x:c r="D21" s="6">
        <x:v>61</x:v>
      </x:c>
      <x:c r="E21" s="6">
        <x:v>1</x:v>
      </x:c>
      <x:c r="F21" s="6">
        <x:v>2</x:v>
      </x:c>
      <x:c r="G21" s="6">
        <x:v>26</x:v>
      </x:c>
      <x:c r="H21" s="6">
        <x:v>15</x:v>
      </x:c>
      <x:c r="I21" s="14" t="n">
        <x:f>Inputs!C85</x:f>
        <x:v>25</x:v>
      </x:c>
    </x:row>
    <x:row r="22">
      <x:c r="B22" s="10" t="s">
        <x:v>100</x:v>
      </x:c>
      <x:c r="C22" s="10"/>
      <x:c r="D22" s="16" t="n">
        <x:f>SUM(D18:D21)</x:f>
        <x:v>5103</x:v>
      </x:c>
      <x:c r="E22" s="16" t="n">
        <x:f>SUM(E18:E21)</x:f>
        <x:v>1400</x:v>
      </x:c>
      <x:c r="F22" s="16" t="n">
        <x:f>SUM(F18:F21)</x:f>
        <x:v>1510</x:v>
      </x:c>
      <x:c r="G22" s="16" t="n">
        <x:f>SUM(G18:G21)</x:f>
        <x:v>1620</x:v>
      </x:c>
      <x:c r="H22" s="16" t="n">
        <x:f>SUM(H18:H21)</x:f>
        <x:v>1738</x:v>
      </x:c>
      <x:c r="I22" s="5" t="n">
        <x:f>SUM(I18:I21)</x:f>
        <x:v>1885</x:v>
      </x:c>
    </x:row>
    <x:row r="23" ht="48" customHeight="1">
      <x:c r="B23" s="10" t="s">
        <x:v>117</x:v>
      </x:c>
      <x:c r="C23" s="10"/>
      <x:c r="D23" s="16" t="n">
        <x:f>D15-D22</x:f>
        <x:v>9770</x:v>
      </x:c>
      <x:c r="E23" s="16" t="n">
        <x:f>E15-E22</x:f>
        <x:v>3654</x:v>
      </x:c>
      <x:c r="F23" s="16" t="n">
        <x:f>F15-F22</x:f>
        <x:v>6136</x:v>
      </x:c>
      <x:c r="G23" s="16" t="n">
        <x:f>G15-G22</x:f>
        <x:v>16135</x:v>
      </x:c>
      <x:c r="H23" s="16" t="n">
        <x:f>H15-H22</x:f>
        <x:v>33318</x:v>
      </x:c>
      <x:c r="I23" s="5" t="n">
        <x:f>I15-I22</x:f>
        <x:v>42660.97362707691</x:v>
      </x:c>
      <x:c r="J23" s="78" t="str">
        <x:v>Consolidated EPS is forecast independently of segment EBIT. Segment-to-consolidated differences are unallocated reconciliation, not a second EPS forecast.</x:v>
      </x:c>
    </x:row>
    <x:row r="24">
      <x:c r="B24" s="3" t="s">
        <x:v>96</x:v>
      </x:c>
      <x:c r="C24" s="3"/>
      <x:c r="D24" s="20" t="n">
        <x:f>D23/D11</x:f>
        <x:v>0.2613837016426775</x:v>
      </x:c>
      <x:c r="E24" s="20" t="n">
        <x:f>E23/E11</x:f>
        <x:v>0.32293415819708354</x:v>
      </x:c>
      <x:c r="F24" s="20" t="n">
        <x:f>F23/F11</x:f>
        <x:v>0.4497544528329546</x:v>
      </x:c>
      <x:c r="G24" s="20" t="n">
        <x:f>G23/G11</x:f>
        <x:v>0.6762363788767812</x:v>
      </x:c>
      <x:c r="H24" s="20" t="n">
        <x:f>H23/H11</x:f>
        <x:v>0.8036954843689695</x:v>
      </x:c>
      <x:c r="I24" s="25" t="n">
        <x:f>I23/I11</x:f>
        <x:v>0.8274391199161029</x:v>
      </x:c>
    </x:row>
    <x:row r="25">
      <x:c r="B25" s="3" t="s">
        <x:v>118</x:v>
      </x:c>
      <x:c r="C25" s="3"/>
      <x:c r="D25" s="6">
        <x:v>496</x:v>
      </x:c>
      <x:c r="E25" s="6">
        <x:v>146</x:v>
      </x:c>
      <x:c r="F25" s="6">
        <x:v>139</x:v>
      </x:c>
      <x:c r="G25" s="6">
        <x:v>155</x:v>
      </x:c>
      <x:c r="H25" s="6">
        <x:v>215</x:v>
      </x:c>
      <x:c r="I25" s="14" t="n">
        <x:f>Inputs!C86</x:f>
        <x:v>240</x:v>
      </x:c>
    </x:row>
    <x:row r="26">
      <x:c r="B26" s="3" t="s">
        <x:v>119</x:v>
      </x:c>
      <x:c r="C26" s="3"/>
      <x:c r="D26" s="6">
        <x:v>-477</x:v>
      </x:c>
      <x:c r="E26" s="6">
        <x:v>-124</x:v>
      </x:c>
      <x:c r="F26" s="6">
        <x:v>-74</x:v>
      </x:c>
      <x:c r="G26" s="6">
        <x:v>-32</x:v>
      </x:c>
      <x:c r="H26" s="6">
        <x:v>0</x:v>
      </x:c>
      <x:c r="I26" s="14" t="n">
        <x:f>Inputs!C87</x:f>
        <x:v>-20</x:v>
      </x:c>
    </x:row>
    <x:row r="27">
      <x:c r="B27" s="3" t="s">
        <x:v>120</x:v>
      </x:c>
      <x:c r="C27" s="3"/>
      <x:c r="D27" s="6">
        <x:v>-135</x:v>
      </x:c>
      <x:c r="E27" s="6">
        <x:v>-45</x:v>
      </x:c>
      <x:c r="F27" s="6">
        <x:v>-140</x:v>
      </x:c>
      <x:c r="G27" s="6">
        <x:v>-98</x:v>
      </x:c>
      <x:c r="H27" s="6">
        <x:v>-321</x:v>
      </x:c>
      <x:c r="I27" s="14" t="n">
        <x:f>Inputs!C88</x:f>
        <x:v>-100</x:v>
      </x:c>
    </x:row>
    <x:row r="28">
      <x:c r="B28" s="10" t="s">
        <x:v>121</x:v>
      </x:c>
      <x:c r="C28" s="10"/>
      <x:c r="D28" s="16" t="n">
        <x:f>SUM(D23,D25:D27)</x:f>
        <x:v>9654</x:v>
      </x:c>
      <x:c r="E28" s="16" t="n">
        <x:f>SUM(E23,E25:E27)</x:f>
        <x:v>3631</x:v>
      </x:c>
      <x:c r="F28" s="16" t="n">
        <x:f>SUM(F23,F25:F27)</x:f>
        <x:v>6061</x:v>
      </x:c>
      <x:c r="G28" s="16" t="n">
        <x:f>SUM(G23,G25:G27)</x:f>
        <x:v>16160</x:v>
      </x:c>
      <x:c r="H28" s="16" t="n">
        <x:f>SUM(H23,H25:H27)</x:f>
        <x:v>33212</x:v>
      </x:c>
      <x:c r="I28" s="5" t="n">
        <x:f>SUM(I23,I25:I27)</x:f>
        <x:v>42780.97362707691</x:v>
      </x:c>
    </x:row>
    <x:row r="29">
      <x:c r="B29" s="3" t="s">
        <x:v>122</x:v>
      </x:c>
      <x:c r="C29" s="3"/>
      <x:c r="D29" s="6">
        <x:v>-1124</x:v>
      </x:c>
      <x:c r="E29" s="6">
        <x:v>-429</x:v>
      </x:c>
      <x:c r="F29" s="6">
        <x:v>-829</x:v>
      </x:c>
      <x:c r="G29" s="6">
        <x:v>-2371</x:v>
      </x:c>
      <x:c r="H29" s="6">
        <x:v>-4978</x:v>
      </x:c>
      <x:c r="I29" s="14" t="n">
        <x:f>-I28*Inputs!C89</x:f>
        <x:v>-6417.1460440615365</x:v>
      </x:c>
    </x:row>
    <x:row r="30">
      <x:c r="B30" s="3" t="s">
        <x:v>123</x:v>
      </x:c>
      <x:c r="C30" s="3"/>
      <x:c r="D30" s="20" t="n">
        <x:f>-D29/D28</x:f>
        <x:v>0.1164284234514191</x:v>
      </x:c>
      <x:c r="E30" s="20" t="n">
        <x:f>-E29/E28</x:f>
        <x:v>0.11814927017350592</x:v>
      </x:c>
      <x:c r="F30" s="20" t="n">
        <x:f>-F29/F28</x:f>
        <x:v>0.13677610955287905</x:v>
      </x:c>
      <x:c r="G30" s="20" t="n">
        <x:f>-G29/G28</x:f>
        <x:v>0.14672029702970296</x:v>
      </x:c>
      <x:c r="H30" s="20" t="n">
        <x:f>-H29/H28</x:f>
        <x:v>0.14988558352402745</x:v>
      </x:c>
      <x:c r="I30" s="25" t="n">
        <x:f>-I29/I28</x:f>
        <x:v>0.15</x:v>
      </x:c>
    </x:row>
    <x:row r="31">
      <x:c r="B31" s="3" t="s">
        <x:v>124</x:v>
      </x:c>
      <x:c r="C31" s="3"/>
      <x:c r="D31" s="6">
        <x:v>9</x:v>
      </x:c>
      <x:c r="E31" s="6">
        <x:v>-1</x:v>
      </x:c>
      <x:c r="F31" s="6">
        <x:v>8</x:v>
      </x:c>
      <x:c r="G31" s="6">
        <x:v>-4</x:v>
      </x:c>
      <x:c r="H31" s="6">
        <x:v>9</x:v>
      </x:c>
      <x:c r="I31" s="14" t="n">
        <x:f>Inputs!C90</x:f>
        <x:v>10</x:v>
      </x:c>
    </x:row>
    <x:row r="32">
      <x:c r="B32" s="10" t="s">
        <x:v>125</x:v>
      </x:c>
      <x:c r="C32" s="10"/>
      <x:c r="D32" s="16" t="n">
        <x:f>SUM(D28:D29,D31)</x:f>
        <x:v>8539</x:v>
      </x:c>
      <x:c r="E32" s="16" t="n">
        <x:f>SUM(E28:E29,E31)</x:f>
        <x:v>3201</x:v>
      </x:c>
      <x:c r="F32" s="16" t="n">
        <x:f>SUM(F28:F29,F31)</x:f>
        <x:v>5240</x:v>
      </x:c>
      <x:c r="G32" s="16" t="n">
        <x:f>SUM(G28:G29,G31)</x:f>
        <x:v>13785</x:v>
      </x:c>
      <x:c r="H32" s="16" t="n">
        <x:f>SUM(H28:H29,H31)</x:f>
        <x:v>28243</x:v>
      </x:c>
      <x:c r="I32" s="5" t="n">
        <x:f>SUM(I28:I29,I31)</x:f>
        <x:v>36373.82758301538</x:v>
      </x:c>
    </x:row>
    <x:row r="33">
      <x:c r="B33" s="3" t="s">
        <x:v>126</x:v>
      </x:c>
      <x:c r="C33" s="3"/>
      <x:c r="D33" s="20" t="n">
        <x:f>D32/D11</x:f>
        <x:v>0.22844989030980792</x:v>
      </x:c>
      <x:c r="E33" s="20" t="n">
        <x:f>E32/E11</x:f>
        <x:v>0.2828988068935042</x:v>
      </x:c>
      <x:c r="F33" s="20" t="n">
        <x:f>F32/F11</x:f>
        <x:v>0.3840797478560434</x:v>
      </x:c>
      <x:c r="G33" s="20" t="n">
        <x:f>G32/G11</x:f>
        <x:v>0.577745180217938</x:v>
      </x:c>
      <x:c r="H33" s="20" t="n">
        <x:f>H32/H11</x:f>
        <x:v>0.6812765341566963</x:v>
      </x:c>
      <x:c r="I33" s="25" t="n">
        <x:f>I32/I11</x:f>
        <x:v>0.7054955694721339</x:v>
      </x:c>
    </x:row>
    <x:row r="34">
      <x:c r="B34" s="3" t="s">
        <x:v>127</x:v>
      </x:c>
      <x:c r="C34" s="3"/>
      <x:c r="D34" s="6">
        <x:v>1116</x:v>
      </x:c>
      <x:c r="E34" s="6">
        <x:v>1120</x:v>
      </x:c>
      <x:c r="F34" s="6">
        <x:v>1125</x:v>
      </x:c>
      <x:c r="G34" s="6">
        <x:v>1126</x:v>
      </x:c>
      <x:c r="H34" s="6">
        <x:v>1128</x:v>
      </x:c>
      <x:c r="I34" s="14" t="n">
        <x:f>Inputs!C91</x:f>
        <x:v>1130</x:v>
      </x:c>
    </x:row>
    <x:row r="35">
      <x:c r="B35" s="3" t="s">
        <x:v>128</x:v>
      </x:c>
      <x:c r="C35" s="3"/>
      <x:c r="D35" s="6">
        <x:v>1125</x:v>
      </x:c>
      <x:c r="E35" s="6">
        <x:v>1131</x:v>
      </x:c>
      <x:c r="F35" s="6">
        <x:v>1138</x:v>
      </x:c>
      <x:c r="G35" s="6">
        <x:v>1142</x:v>
      </x:c>
      <x:c r="H35" s="6">
        <x:v>1145</x:v>
      </x:c>
      <x:c r="I35" s="14" t="n">
        <x:f>Inputs!C92</x:f>
        <x:v>1148</x:v>
      </x:c>
    </x:row>
    <x:row r="36">
      <x:c r="B36" s="3" t="s">
        <x:v>129</x:v>
      </x:c>
      <x:c r="C36" s="3"/>
      <x:c r="D36" s="21" t="n">
        <x:f>D32/D34</x:f>
        <x:v>7.651433691756273</x:v>
      </x:c>
      <x:c r="E36" s="21" t="n">
        <x:f>E32/E34</x:f>
        <x:v>2.8580357142857142</x:v>
      </x:c>
      <x:c r="F36" s="21" t="n">
        <x:f>F32/F34</x:f>
        <x:v>4.657777777777778</x:v>
      </x:c>
      <x:c r="G36" s="21" t="n">
        <x:f>G32/G34</x:f>
        <x:v>12.242451154529308</x:v>
      </x:c>
      <x:c r="H36" s="21" t="n">
        <x:f>H32/H34</x:f>
        <x:v>25.038120567375888</x:v>
      </x:c>
      <x:c r="I36" s="52" t="n">
        <x:f>I32/I34</x:f>
        <x:v>32.18922794957113</x:v>
      </x:c>
    </x:row>
    <x:row r="37">
      <x:c r="B37" s="10" t="s">
        <x:v>130</x:v>
      </x:c>
      <x:c r="C37" s="10"/>
      <x:c r="D37" s="49" t="n">
        <x:f>D32/D35</x:f>
        <x:v>7.590222222222223</x:v>
      </x:c>
      <x:c r="E37" s="49" t="n">
        <x:f>E32/E35</x:f>
        <x:v>2.830238726790451</x:v>
      </x:c>
      <x:c r="F37" s="49" t="n">
        <x:f>F32/F35</x:f>
        <x:v>4.6045694200351495</x:v>
      </x:c>
      <x:c r="G37" s="49" t="n">
        <x:f>G32/G35</x:f>
        <x:v>12.07092819614711</x:v>
      </x:c>
      <x:c r="H37" s="49" t="n">
        <x:f>H32/H35</x:f>
        <x:v>24.66637554585153</x:v>
      </x:c>
      <x:c r="I37" s="51" t="n">
        <x:f>I32/I35</x:f>
        <x:v>31.684518800536043</x:v>
      </x:c>
    </x:row>
    <x:row r="38">
      <x:c r="B38" s="3" t="s">
        <x:v>131</x:v>
      </x:c>
      <x:c r="C38" s="3"/>
      <x:c r="D38" s="21"/>
      <x:c r="E38" s="17" t="n">
        <x:f>Inputs!F14</x:f>
        <x:v>2.83</x:v>
      </x:c>
      <x:c r="F38" s="17" t="n">
        <x:f>Inputs!F15</x:f>
        <x:v>4.6</x:v>
      </x:c>
      <x:c r="G38" s="17" t="n">
        <x:f>Inputs!F16</x:f>
        <x:v>12.07</x:v>
      </x:c>
      <x:c r="H38" s="17" t="n">
        <x:f>Inputs!F17</x:f>
        <x:v>24.67</x:v>
      </x:c>
      <x:c r="I38" s="52"/>
    </x:row>
    <x:row r="39">
      <x:c r="B39" s="10" t="s">
        <x:v>132</x:v>
      </x:c>
      <x:c r="C39" s="10"/>
      <x:c r="D39" s="16"/>
      <x:c r="E39" s="16"/>
      <x:c r="F39" s="16"/>
      <x:c r="G39" s="16"/>
      <x:c r="H39" s="16"/>
      <x:c r="I39" s="5"/>
    </x:row>
    <x:row r="40">
      <x:c r="B40" s="3" t="s">
        <x:v>133</x:v>
      </x:c>
      <x:c r="C40" s="3"/>
      <x:c r="D40" s="6">
        <x:v>975</x:v>
      </x:c>
      <x:c r="E40" s="6">
        <x:v>262</x:v>
      </x:c>
      <x:c r="F40" s="6">
        <x:v>280</x:v>
      </x:c>
      <x:c r="G40" s="6">
        <x:v>297</x:v>
      </x:c>
      <x:c r="H40" s="6">
        <x:v>341</x:v>
      </x:c>
      <x:c r="I40" s="14" t="n">
        <x:f>Inputs!C94</x:f>
        <x:v>159</x:v>
      </x:c>
    </x:row>
    <x:row r="41">
      <x:c r="B41" s="3" t="s">
        <x:v>134</x:v>
      </x:c>
      <x:c r="C41" s="3"/>
      <x:c r="D41" s="6">
        <x:v>0</x:v>
      </x:c>
      <x:c r="E41" s="6">
        <x:v>0</x:v>
      </x:c>
      <x:c r="F41" s="6">
        <x:v>0</x:v>
      </x:c>
      <x:c r="G41" s="6">
        <x:v>0</x:v>
      </x:c>
      <x:c r="H41" s="6">
        <x:v>0</x:v>
      </x:c>
      <x:c r="I41" s="14" t="n">
        <x:f>Inputs!C95</x:f>
        <x:v>138</x:v>
      </x:c>
    </x:row>
    <x:row r="42">
      <x:c r="B42" s="3" t="s">
        <x:v>135</x:v>
      </x:c>
      <x:c r="C42" s="3"/>
      <x:c r="D42" s="6">
        <x:v>0</x:v>
      </x:c>
      <x:c r="E42" s="6">
        <x:v>0</x:v>
      </x:c>
      <x:c r="F42" s="6">
        <x:v>0</x:v>
      </x:c>
      <x:c r="G42" s="6">
        <x:v>0</x:v>
      </x:c>
      <x:c r="H42" s="6">
        <x:v>0</x:v>
      </x:c>
      <x:c r="I42" s="14" t="n">
        <x:f>Inputs!C96</x:f>
        <x:v>67</x:v>
      </x:c>
    </x:row>
    <x:row r="43">
      <x:c r="B43" s="3" t="s">
        <x:v>136</x:v>
      </x:c>
      <x:c r="C43" s="3"/>
      <x:c r="D43" s="6">
        <x:v>59</x:v>
      </x:c>
      <x:c r="E43" s="6">
        <x:v>9</x:v>
      </x:c>
      <x:c r="F43" s="6">
        <x:v>130</x:v>
      </x:c>
      <x:c r="G43" s="6">
        <x:v>47</x:v>
      </x:c>
      <x:c r="H43" s="6">
        <x:v>325</x:v>
      </x:c>
      <x:c r="I43" s="7" t="n">
        <x:f>Inputs!C123</x:f>
        <x:v>0</x:v>
      </x:c>
    </x:row>
    <x:row r="44">
      <x:c r="B44" s="3" t="s">
        <x:v>137</x:v>
      </x:c>
      <x:c r="C44" s="3"/>
      <x:c r="D44" s="6">
        <x:v>39</x:v>
      </x:c>
      <x:c r="E44" s="6">
        <x:v>38</x:v>
      </x:c>
      <x:c r="F44" s="6">
        <x:v>0</x:v>
      </x:c>
      <x:c r="G44" s="6">
        <x:v>0</x:v>
      </x:c>
      <x:c r="H44" s="6">
        <x:v>0</x:v>
      </x:c>
      <x:c r="I44" s="7" t="n">
        <x:f>Inputs!C123</x:f>
        <x:v>0</x:v>
      </x:c>
    </x:row>
    <x:row r="45">
      <x:c r="B45" s="3" t="s">
        <x:v>138</x:v>
      </x:c>
      <x:c r="C45" s="3"/>
      <x:c r="D45" s="6">
        <x:v>57</x:v>
      </x:c>
      <x:c r="E45" s="6">
        <x:v>0</x:v>
      </x:c>
      <x:c r="F45" s="6">
        <x:v>0</x:v>
      </x:c>
      <x:c r="G45" s="6">
        <x:v>0</x:v>
      </x:c>
      <x:c r="H45" s="6">
        <x:v>0</x:v>
      </x:c>
      <x:c r="I45" s="7" t="n">
        <x:f>Inputs!C123</x:f>
        <x:v>0</x:v>
      </x:c>
    </x:row>
    <x:row r="46">
      <x:c r="B46" s="3" t="s">
        <x:v>139</x:v>
      </x:c>
      <x:c r="C46" s="3"/>
      <x:c r="D46" s="6">
        <x:v>1</x:v>
      </x:c>
      <x:c r="E46" s="6">
        <x:v>1</x:v>
      </x:c>
      <x:c r="F46" s="6">
        <x:v>-20</x:v>
      </x:c>
      <x:c r="G46" s="6">
        <x:v>25</x:v>
      </x:c>
      <x:c r="H46" s="6">
        <x:v>23</x:v>
      </x:c>
      <x:c r="I46" s="7" t="n">
        <x:f>Inputs!C123</x:f>
        <x:v>0</x:v>
      </x:c>
    </x:row>
    <x:row r="47">
      <x:c r="B47" s="3" t="s">
        <x:v>140</x:v>
      </x:c>
      <x:c r="C47" s="3"/>
      <x:c r="D47" s="6">
        <x:v>-200</x:v>
      </x:c>
      <x:c r="E47" s="6">
        <x:v>-42</x:v>
      </x:c>
      <x:c r="F47" s="6">
        <x:v>-148</x:v>
      </x:c>
      <x:c r="G47" s="6">
        <x:v>-133</x:v>
      </x:c>
      <x:c r="H47" s="6">
        <x:v>-75</x:v>
      </x:c>
      <x:c r="I47" s="14" t="n">
        <x:f>Inputs!C97</x:f>
        <x:v>-55</x:v>
      </x:c>
    </x:row>
    <x:row r="48">
      <x:c r="B48" s="10" t="s">
        <x:v>141</x:v>
      </x:c>
      <x:c r="C48" s="10"/>
      <x:c r="D48" s="16" t="n">
        <x:f>SUM(D32,D40:D47)</x:f>
        <x:v>9470</x:v>
      </x:c>
      <x:c r="E48" s="16" t="n">
        <x:f>SUM(E32,E40:E47)</x:f>
        <x:v>3469</x:v>
      </x:c>
      <x:c r="F48" s="16" t="n">
        <x:f>SUM(F32,F40:F47)</x:f>
        <x:v>5482</x:v>
      </x:c>
      <x:c r="G48" s="16" t="n">
        <x:f>SUM(G32,G40:G47)</x:f>
        <x:v>14021</x:v>
      </x:c>
      <x:c r="H48" s="16" t="n">
        <x:f>SUM(H32,H40:H47)</x:f>
        <x:v>28857</x:v>
      </x:c>
      <x:c r="I48" s="5" t="n">
        <x:f>SUM(I32,I40:I47)</x:f>
        <x:v>36682.82758301538</x:v>
      </x:c>
    </x:row>
    <x:row r="49">
      <x:c r="B49" s="3" t="s">
        <x:v>142</x:v>
      </x:c>
      <x:c r="C49" s="3"/>
      <x:c r="D49" s="6">
        <x:v>18</x:v>
      </x:c>
      <x:c r="E49" s="6">
        <x:v>14</x:v>
      </x:c>
      <x:c r="F49" s="6">
        <x:v>10</x:v>
      </x:c>
      <x:c r="G49" s="6">
        <x:v>7</x:v>
      </x:c>
      <x:c r="H49" s="6">
        <x:v>4</x:v>
      </x:c>
      <x:c r="I49" s="14" t="n">
        <x:f>Inputs!C93</x:f>
        <x:v>4</x:v>
      </x:c>
    </x:row>
    <x:row r="50">
      <x:c r="B50" s="3" t="s">
        <x:v>143</x:v>
      </x:c>
      <x:c r="C50" s="3"/>
      <x:c r="D50" s="2" t="n">
        <x:f>D35+D49</x:f>
        <x:v>1143</x:v>
      </x:c>
      <x:c r="E50" s="2" t="n">
        <x:f>E35+E49</x:f>
        <x:v>1145</x:v>
      </x:c>
      <x:c r="F50" s="2" t="n">
        <x:f>F35+F49</x:f>
        <x:v>1148</x:v>
      </x:c>
      <x:c r="G50" s="2" t="n">
        <x:f>G35+G49</x:f>
        <x:v>1149</x:v>
      </x:c>
      <x:c r="H50" s="2" t="n">
        <x:f>H35+H49</x:f>
        <x:v>1149</x:v>
      </x:c>
      <x:c r="I50" s="7" t="n">
        <x:f>I35+I49</x:f>
        <x:v>1152</x:v>
      </x:c>
    </x:row>
    <x:row r="51">
      <x:c r="B51" s="10" t="s">
        <x:v>144</x:v>
      </x:c>
      <x:c r="C51" s="10"/>
      <x:c r="D51" s="49" t="n">
        <x:f>D48/D50</x:f>
        <x:v>8.285214348206475</x:v>
      </x:c>
      <x:c r="E51" s="49" t="n">
        <x:f>E48/E50</x:f>
        <x:v>3.029694323144105</x:v>
      </x:c>
      <x:c r="F51" s="49" t="n">
        <x:f>F48/F50</x:f>
        <x:v>4.775261324041812</x:v>
      </x:c>
      <x:c r="G51" s="49" t="n">
        <x:f>G48/G50</x:f>
        <x:v>12.202785030461271</x:v>
      </x:c>
      <x:c r="H51" s="49" t="n">
        <x:f>H48/H50</x:f>
        <x:v>25.114882506527415</x:v>
      </x:c>
      <x:c r="I51" s="51" t="n">
        <x:f>I48/I50</x:f>
        <x:v>31.842732276923073</x:v>
      </x:c>
    </x:row>
    <x:row r="52">
      <x:c r="B52" s="3" t="s">
        <x:v>145</x:v>
      </x:c>
      <x:c r="C52" s="3"/>
      <x:c r="D52" s="21"/>
      <x:c r="E52" s="17" t="n">
        <x:f>Inputs!D14</x:f>
        <x:v>3.03</x:v>
      </x:c>
      <x:c r="F52" s="17" t="n">
        <x:f>Inputs!D15</x:f>
        <x:v>4.78</x:v>
      </x:c>
      <x:c r="G52" s="17" t="n">
        <x:f>Inputs!D16</x:f>
        <x:v>12.2</x:v>
      </x:c>
      <x:c r="H52" s="17" t="n">
        <x:f>Inputs!D17</x:f>
        <x:v>25.11</x:v>
      </x:c>
      <x:c r="I52" s="52"/>
    </x:row>
    <x:row r="53">
      <x:c r="B53" s="3" t="s">
        <x:v>146</x:v>
      </x:c>
      <x:c r="C53" s="3"/>
      <x:c r="D53" s="2" t="n">
        <x:f>D37*D35-D32</x:f>
        <x:v>0</x:v>
      </x:c>
      <x:c r="E53" s="2" t="n">
        <x:f>E37*E35-E32</x:f>
        <x:v>0</x:v>
      </x:c>
      <x:c r="F53" s="2" t="n">
        <x:f>F37*F35-F32</x:f>
        <x:v>0</x:v>
      </x:c>
      <x:c r="G53" s="2" t="n">
        <x:f>G37*G35-G32</x:f>
        <x:v>0</x:v>
      </x:c>
      <x:c r="H53" s="2" t="n">
        <x:f>H37*H35-H32</x:f>
        <x:v>0</x:v>
      </x:c>
      <x:c r="I53" s="7" t="n">
        <x:f>I37*I35-I32</x:f>
        <x:v>0</x:v>
      </x:c>
    </x:row>
    <x:row r="54">
      <x:c r="B54" s="3" t="s">
        <x:v>147</x:v>
      </x:c>
      <x:c r="C54" s="3"/>
      <x:c r="D54" s="2" t="n">
        <x:f>D48-SUM(D32,D40:D47)</x:f>
        <x:v>0</x:v>
      </x:c>
      <x:c r="E54" s="2" t="n">
        <x:f>E48-SUM(E32,E40:E47)</x:f>
        <x:v>0</x:v>
      </x:c>
      <x:c r="F54" s="2" t="n">
        <x:f>F48-SUM(F32,F40:F47)</x:f>
        <x:v>0</x:v>
      </x:c>
      <x:c r="G54" s="2" t="n">
        <x:f>G48-SUM(G32,G40:G47)</x:f>
        <x:v>0</x:v>
      </x:c>
      <x:c r="H54" s="2" t="n">
        <x:f>H48-SUM(H32,H40:H47)</x:f>
        <x:v>0</x:v>
      </x:c>
      <x:c r="I54" s="7" t="n">
        <x:f>I48-SUM(I32,I40:I47)</x:f>
        <x:v>0</x:v>
      </x:c>
    </x:row>
    <x:row r="55">
      <x:c r="B55" s="3" t="s">
        <x:v>148</x:v>
      </x:c>
      <x:c r="C55" s="3"/>
      <x:c r="D55" s="20"/>
      <x:c r="E55" s="20"/>
      <x:c r="F55" s="20"/>
      <x:c r="G55" s="20"/>
      <x:c r="H55" s="20"/>
      <x:c r="I55" s="25" t="n">
        <x:f>I15/E15-1</x:f>
        <x:v>7.814003487747707</x:v>
      </x:c>
    </x:row>
    <x:row r="56">
      <x:c r="B56" s="3" t="s">
        <x:v>149</x:v>
      </x:c>
      <x:c r="C56" s="3"/>
      <x:c r="D56" s="20"/>
      <x:c r="E56" s="20"/>
      <x:c r="F56" s="20"/>
      <x:c r="G56" s="20"/>
      <x:c r="H56" s="20"/>
      <x:c r="I56" s="25" t="n">
        <x:f>I51/E51-1</x:f>
        <x:v>9.510212873184468</x:v>
      </x:c>
    </x:row>
    <x:row r="57">
      <x:c r="B57" s="3" t="s">
        <x:v>150</x:v>
      </x:c>
      <x:c r="C57" s="3"/>
      <x:c r="D57" s="3"/>
      <x:c r="E57" s="3"/>
      <x:c r="F57" s="3"/>
      <x:c r="G57" s="3"/>
      <x:c r="H57" s="3"/>
      <x:c r="I57" s="22" t="n">
        <x:f>(I24-H24)*Inputs!C122</x:f>
        <x:v>237.43635547133323</x:v>
      </x:c>
    </x:row>
    <x:row r="58">
      <x:c r="B58" s="3" t="s">
        <x:v>151</x:v>
      </x:c>
      <x:c r="C58" s="3"/>
      <x:c r="D58" s="3"/>
      <x:c r="E58" s="3"/>
      <x:c r="F58" s="3"/>
      <x:c r="G58" s="3"/>
      <x:c r="H58" s="3"/>
      <x:c r="I58" s="22" t="n">
        <x:f>(I30-H30)*Inputs!C122</x:f>
        <x:v>1.1441647597254523</x:v>
      </x:c>
    </x:row>
    <x:row r="59">
      <x:c r="B59" s="3" t="s">
        <x:v>152</x:v>
      </x:c>
      <x:c r="C59" s="3"/>
      <x:c r="D59" s="3"/>
      <x:c r="E59" s="3"/>
      <x:c r="F59" s="3"/>
      <x:c r="G59" s="3"/>
      <x:c r="H59" s="3"/>
      <x:c r="I59" s="22" t="n">
        <x:f>(I33-H33)*Inputs!C122</x:f>
        <x:v>242.19035315437566</x:v>
      </x:c>
    </x:row>
  </x:sheetData>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 min="10" max="10" width="65" hidden="0" customWidth="1"/>
  </x:cols>
  <x:sheetData>
    <x:row r="2">
      <x:c r="B2" s="9" t="s">
        <x:v>0</x:v>
      </x:c>
      <x:c r="C2" s="9"/>
      <x:c r="D2" s="9"/>
      <x:c r="E2" s="9"/>
      <x:c r="F2" s="9"/>
      <x:c r="G2" s="9"/>
      <x:c r="H2" s="9"/>
      <x:c r="I2" s="9"/>
    </x:row>
    <x:row r="3">
      <x:c r="B3" s="9" t="s">
        <x:v>153</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3" t="s">
        <x:v>154</x:v>
      </x:c>
      <x:c r="C10" s="3"/>
      <x:c r="D10" s="2"/>
      <x:c r="E10" s="2"/>
      <x:c r="F10" s="2"/>
      <x:c r="G10" s="2"/>
      <x:c r="H10" s="2"/>
      <x:c r="I10" s="7"/>
    </x:row>
    <x:row r="11">
      <x:c r="B11" s="3"/>
      <x:c r="C11" s="3"/>
      <x:c r="D11" s="2"/>
      <x:c r="E11" s="2"/>
      <x:c r="F11" s="2"/>
      <x:c r="G11" s="2"/>
      <x:c r="H11" s="2"/>
      <x:c r="I11" s="14" t="n">
        <x:f>'Income Statement'!I11</x:f>
        <x:v>51557.83984615384</x:v>
      </x:c>
    </x:row>
    <x:row r="12">
      <x:c r="B12" s="3" t="s">
        <x:v>155</x:v>
      </x:c>
      <x:c r="C12" s="3"/>
      <x:c r="D12" s="6">
        <x:v>9642</x:v>
      </x:c>
      <x:c r="E12" s="2" t="n">
        <x:f>D12</x:f>
        <x:v>9642</x:v>
      </x:c>
      <x:c r="F12" s="6">
        <x:v>9731</x:v>
      </x:c>
      <x:c r="G12" s="6">
        <x:v>13908</x:v>
      </x:c>
      <x:c r="H12" s="6">
        <x:v>24995</x:v>
      </x:c>
      <x:c r="I12" s="14" t="n">
        <x:f>'Cash Flow Statement'!I20-Inputs!C103</x:f>
        <x:v>48795</x:v>
      </x:c>
    </x:row>
    <x:row r="13">
      <x:c r="B13" s="3" t="s">
        <x:v>156</x:v>
      </x:c>
      <x:c r="C13" s="3"/>
      <x:c r="D13" s="6">
        <x:v>4</x:v>
      </x:c>
      <x:c r="E13" s="2" t="n">
        <x:f>D13</x:f>
        <x:v>4</x:v>
      </x:c>
      <x:c r="F13" s="6">
        <x:v>1</x:v>
      </x:c>
      <x:c r="G13" s="6">
        <x:v>26</x:v>
      </x:c>
      <x:c r="H13" s="6">
        <x:v>27</x:v>
      </x:c>
      <x:c r="I13" s="14" t="n">
        <x:f>Inputs!C103</x:f>
        <x:v>27</x:v>
      </x:c>
    </x:row>
    <x:row r="14">
      <x:c r="B14" s="3" t="s">
        <x:v>157</x:v>
      </x:c>
      <x:c r="C14" s="3"/>
      <x:c r="D14" s="6">
        <x:v>665</x:v>
      </x:c>
      <x:c r="E14" s="2" t="n">
        <x:f>D14</x:f>
        <x:v>665</x:v>
      </x:c>
      <x:c r="F14" s="6">
        <x:v>587</x:v>
      </x:c>
      <x:c r="G14" s="6">
        <x:v>681</x:v>
      </x:c>
      <x:c r="H14" s="6">
        <x:v>1027</x:v>
      </x:c>
      <x:c r="I14" s="7" t="n">
        <x:f>H14</x:f>
        <x:v>1027</x:v>
      </x:c>
    </x:row>
    <x:row r="15">
      <x:c r="B15" s="3" t="s">
        <x:v>158</x:v>
      </x:c>
      <x:c r="C15" s="3"/>
      <x:c r="D15" s="6">
        <x:v>9265</x:v>
      </x:c>
      <x:c r="E15" s="2" t="n">
        <x:f>D15</x:f>
        <x:v>9265</x:v>
      </x:c>
      <x:c r="F15" s="6">
        <x:v>10184</x:v>
      </x:c>
      <x:c r="G15" s="6">
        <x:v>17314</x:v>
      </x:c>
      <x:c r="H15" s="6">
        <x:v>31025</x:v>
      </x:c>
      <x:c r="I15" s="14" t="n">
        <x:f>H15*('Revenue summary'!I46/'Revenue summary'!H46)</x:f>
        <x:v>38585.05358034839</x:v>
      </x:c>
    </x:row>
    <x:row r="16">
      <x:c r="B16" s="3" t="s">
        <x:v>159</x:v>
      </x:c>
      <x:c r="C16" s="3"/>
      <x:c r="D16" s="6">
        <x:v>8355</x:v>
      </x:c>
      <x:c r="E16" s="2" t="n">
        <x:f>D16</x:f>
        <x:v>8355</x:v>
      </x:c>
      <x:c r="F16" s="6">
        <x:v>8205</x:v>
      </x:c>
      <x:c r="G16" s="6">
        <x:v>8267</x:v>
      </x:c>
      <x:c r="H16" s="6">
        <x:v>8567</x:v>
      </x:c>
      <x:c r="I16" s="14" t="n">
        <x:f>H16+Inputs!C114</x:f>
        <x:v>9067</x:v>
      </x:c>
    </x:row>
    <x:row r="17">
      <x:c r="B17" s="3" t="s">
        <x:v>160</x:v>
      </x:c>
      <x:c r="C17" s="3"/>
      <x:c r="D17" s="6">
        <x:v>914</x:v>
      </x:c>
      <x:c r="E17" s="2" t="n">
        <x:f>D17</x:f>
        <x:v>914</x:v>
      </x:c>
      <x:c r="F17" s="6">
        <x:v>958</x:v>
      </x:c>
      <x:c r="G17" s="6">
        <x:v>1243</x:v>
      </x:c>
      <x:c r="H17" s="6">
        <x:v>1123</x:v>
      </x:c>
      <x:c r="I17" s="7" t="n">
        <x:f>H17</x:f>
        <x:v>1123</x:v>
      </x:c>
    </x:row>
    <x:row r="18">
      <x:c r="B18" s="10" t="s">
        <x:v>161</x:v>
      </x:c>
      <x:c r="C18" s="10"/>
      <x:c r="D18" s="16" t="n">
        <x:f>SUM(D12,D14:D17)</x:f>
        <x:v>28841</x:v>
      </x:c>
      <x:c r="E18" s="16" t="n">
        <x:f>SUM(E12,E14:E17)</x:f>
        <x:v>28841</x:v>
      </x:c>
      <x:c r="F18" s="16" t="n">
        <x:f>SUM(F12,F14:F17)</x:f>
        <x:v>29665</x:v>
      </x:c>
      <x:c r="G18" s="16" t="n">
        <x:f>SUM(G12,G14:G17)</x:f>
        <x:v>41413</x:v>
      </x:c>
      <x:c r="H18" s="16" t="n">
        <x:f>SUM(H12,H14:H17)</x:f>
        <x:v>66737</x:v>
      </x:c>
      <x:c r="I18" s="5" t="n">
        <x:f>SUM(I12,I14:I17)</x:f>
        <x:v>98597.05358034838</x:v>
      </x:c>
    </x:row>
    <x:row r="19">
      <x:c r="B19" s="3" t="s">
        <x:v>162</x:v>
      </x:c>
      <x:c r="C19" s="3"/>
      <x:c r="D19" s="6">
        <x:v>1629</x:v>
      </x:c>
      <x:c r="E19" s="2" t="n">
        <x:f>D19</x:f>
        <x:v>1629</x:v>
      </x:c>
      <x:c r="F19" s="6">
        <x:v>1697</x:v>
      </x:c>
      <x:c r="G19" s="6">
        <x:v>2038</x:v>
      </x:c>
      <x:c r="H19" s="6">
        <x:v>4106</x:v>
      </x:c>
      <x:c r="I19" s="7" t="n">
        <x:f>H19</x:f>
        <x:v>4106</x:v>
      </x:c>
    </x:row>
    <x:row r="20">
      <x:c r="B20" s="3" t="s">
        <x:v>163</x:v>
      </x:c>
      <x:c r="C20" s="3"/>
      <x:c r="D20" s="6">
        <x:v>46590</x:v>
      </x:c>
      <x:c r="E20" s="2" t="n">
        <x:f>D20</x:f>
        <x:v>46590</x:v>
      </x:c>
      <x:c r="F20" s="6">
        <x:v>48477</x:v>
      </x:c>
      <x:c r="G20" s="6">
        <x:v>51408</x:v>
      </x:c>
      <x:c r="H20" s="6">
        <x:v>56426</x:v>
      </x:c>
      <x:c r="I20" s="14" t="n">
        <x:f>H20-Inputs!C98-'Cash Flow Statement'!I14</x:f>
        <x:v>64562</x:v>
      </x:c>
    </x:row>
    <x:row r="21">
      <x:c r="B21" s="3" t="s">
        <x:v>164</x:v>
      </x:c>
      <x:c r="C21" s="3"/>
      <x:c r="D21" s="6">
        <x:v>736</x:v>
      </x:c>
      <x:c r="E21" s="2" t="n">
        <x:f>D21</x:f>
        <x:v>736</x:v>
      </x:c>
      <x:c r="F21" s="6">
        <x:v>700</x:v>
      </x:c>
      <x:c r="G21" s="6">
        <x:v>684</x:v>
      </x:c>
      <x:c r="H21" s="6">
        <x:v>683</x:v>
      </x:c>
      <x:c r="I21" s="7" t="n">
        <x:f>H21</x:f>
        <x:v>683</x:v>
      </x:c>
    </x:row>
    <x:row r="22">
      <x:c r="B22" s="3" t="s">
        <x:v>165</x:v>
      </x:c>
      <x:c r="C22" s="3"/>
      <x:c r="D22" s="6">
        <x:v>453</x:v>
      </x:c>
      <x:c r="E22" s="2" t="n">
        <x:f>D22</x:f>
        <x:v>453</x:v>
      </x:c>
      <x:c r="F22" s="6">
        <x:v>465</x:v>
      </x:c>
      <x:c r="G22" s="6">
        <x:v>468</x:v>
      </x:c>
      <x:c r="H22" s="6">
        <x:v>473</x:v>
      </x:c>
      <x:c r="I22" s="7" t="n">
        <x:f>H22</x:f>
        <x:v>473</x:v>
      </x:c>
    </x:row>
    <x:row r="23">
      <x:c r="B23" s="3" t="s">
        <x:v>166</x:v>
      </x:c>
      <x:c r="C23" s="3"/>
      <x:c r="D23" s="6">
        <x:v>616</x:v>
      </x:c>
      <x:c r="E23" s="2" t="n">
        <x:f>D23</x:f>
        <x:v>616</x:v>
      </x:c>
      <x:c r="F23" s="6">
        <x:v>641</x:v>
      </x:c>
      <x:c r="G23" s="6">
        <x:v>680</x:v>
      </x:c>
      <x:c r="H23" s="6">
        <x:v>700</x:v>
      </x:c>
      <x:c r="I23" s="7" t="n">
        <x:f>H23</x:f>
        <x:v>700</x:v>
      </x:c>
    </x:row>
    <x:row r="24">
      <x:c r="B24" s="3" t="s">
        <x:v>167</x:v>
      </x:c>
      <x:c r="C24" s="3"/>
      <x:c r="D24" s="6">
        <x:v>1150</x:v>
      </x:c>
      <x:c r="E24" s="2" t="n">
        <x:f>D24</x:f>
        <x:v>1150</x:v>
      </x:c>
      <x:c r="F24" s="6">
        <x:v>1150</x:v>
      </x:c>
      <x:c r="G24" s="6">
        <x:v>1150</x:v>
      </x:c>
      <x:c r="H24" s="6">
        <x:v>1150</x:v>
      </x:c>
      <x:c r="I24" s="7" t="n">
        <x:f>H24</x:f>
        <x:v>1150</x:v>
      </x:c>
    </x:row>
    <x:row r="25">
      <x:c r="B25" s="3" t="s">
        <x:v>168</x:v>
      </x:c>
      <x:c r="C25" s="3"/>
      <x:c r="D25" s="6">
        <x:v>2783</x:v>
      </x:c>
      <x:c r="E25" s="2" t="n">
        <x:f>D25</x:f>
        <x:v>2783</x:v>
      </x:c>
      <x:c r="F25" s="6">
        <x:v>3176</x:v>
      </x:c>
      <x:c r="G25" s="6">
        <x:v>3668</x:v>
      </x:c>
      <x:c r="H25" s="6">
        <x:v>3837</x:v>
      </x:c>
      <x:c r="I25" s="7" t="n">
        <x:f>H25</x:f>
        <x:v>3837</x:v>
      </x:c>
    </x:row>
    <x:row r="26">
      <x:c r="B26" s="10" t="s">
        <x:v>169</x:v>
      </x:c>
      <x:c r="C26" s="10"/>
      <x:c r="D26" s="16" t="n">
        <x:f>SUM(D18:D25)</x:f>
        <x:v>82798</x:v>
      </x:c>
      <x:c r="E26" s="16" t="n">
        <x:f>SUM(E18:E25)</x:f>
        <x:v>82798</x:v>
      </x:c>
      <x:c r="F26" s="16" t="n">
        <x:f>SUM(F18:F25)</x:f>
        <x:v>85971</x:v>
      </x:c>
      <x:c r="G26" s="16" t="n">
        <x:f>SUM(G18:G25)</x:f>
        <x:v>101509</x:v>
      </x:c>
      <x:c r="H26" s="16" t="n">
        <x:f>SUM(H18:H25)</x:f>
        <x:v>134112</x:v>
      </x:c>
      <x:c r="I26" s="5" t="n">
        <x:f>SUM(I18:I25)</x:f>
        <x:v>174108.05358034838</x:v>
      </x:c>
    </x:row>
    <x:row r="27">
      <x:c r="B27" s="3"/>
      <x:c r="C27" s="3"/>
      <x:c r="D27" s="2"/>
      <x:c r="E27" s="2"/>
      <x:c r="F27" s="2"/>
      <x:c r="G27" s="2"/>
      <x:c r="H27" s="2"/>
      <x:c r="I27" s="7"/>
    </x:row>
    <x:row r="28">
      <x:c r="B28" s="3" t="s">
        <x:v>170</x:v>
      </x:c>
      <x:c r="C28" s="3"/>
      <x:c r="D28" s="6">
        <x:v>9649</x:v>
      </x:c>
      <x:c r="E28" s="2" t="n">
        <x:f>D28</x:f>
        <x:v>9649</x:v>
      </x:c>
      <x:c r="F28" s="6">
        <x:v>9796</x:v>
      </x:c>
      <x:c r="G28" s="6">
        <x:v>10997</x:v>
      </x:c>
      <x:c r="H28" s="6">
        <x:v>15521</x:v>
      </x:c>
      <x:c r="I28" s="14" t="n">
        <x:f>H28+Inputs!C115</x:f>
        <x:v>17521</x:v>
      </x:c>
    </x:row>
    <x:row r="29">
      <x:c r="B29" s="3" t="s">
        <x:v>171</x:v>
      </x:c>
      <x:c r="C29" s="3"/>
      <x:c r="D29" s="6">
        <x:v>560</x:v>
      </x:c>
      <x:c r="E29" s="2" t="n">
        <x:f>D29</x:f>
        <x:v>560</x:v>
      </x:c>
      <x:c r="F29" s="6">
        <x:v>569</x:v>
      </x:c>
      <x:c r="G29" s="6">
        <x:v>585</x:v>
      </x:c>
      <x:c r="H29" s="6">
        <x:v>582</x:v>
      </x:c>
      <x:c r="I29" s="7" t="n">
        <x:f>H29</x:f>
        <x:v>582</x:v>
      </x:c>
    </x:row>
    <x:row r="30">
      <x:c r="B30" s="3" t="s">
        <x:v>172</x:v>
      </x:c>
      <x:c r="C30" s="3"/>
      <x:c r="D30" s="6">
        <x:v>1245</x:v>
      </x:c>
      <x:c r="E30" s="2" t="n">
        <x:f>D30</x:f>
        <x:v>1245</x:v>
      </x:c>
      <x:c r="F30" s="6">
        <x:v>1695</x:v>
      </x:c>
      <x:c r="G30" s="6">
        <x:v>2714</x:v>
      </x:c>
      <x:c r="H30" s="6">
        <x:v>3385</x:v>
      </x:c>
      <x:c r="I30" s="7" t="n">
        <x:f>H30</x:f>
        <x:v>3385</x:v>
      </x:c>
    </x:row>
    <x:row r="31">
      <x:c r="B31" s="10" t="s">
        <x:v>173</x:v>
      </x:c>
      <x:c r="C31" s="10"/>
      <x:c r="D31" s="16" t="n">
        <x:f>SUM(D28:D30)</x:f>
        <x:v>11454</x:v>
      </x:c>
      <x:c r="E31" s="16" t="n">
        <x:f>SUM(E28:E30)</x:f>
        <x:v>11454</x:v>
      </x:c>
      <x:c r="F31" s="16" t="n">
        <x:f>SUM(F28:F30)</x:f>
        <x:v>12060</x:v>
      </x:c>
      <x:c r="G31" s="16" t="n">
        <x:f>SUM(G28:G30)</x:f>
        <x:v>14296</x:v>
      </x:c>
      <x:c r="H31" s="16" t="n">
        <x:f>SUM(H28:H30)</x:f>
        <x:v>19488</x:v>
      </x:c>
      <x:c r="I31" s="5" t="n">
        <x:f>SUM(I28:I30)</x:f>
        <x:v>21488</x:v>
      </x:c>
    </x:row>
    <x:row r="32">
      <x:c r="B32" s="3" t="s">
        <x:v>174</x:v>
      </x:c>
      <x:c r="C32" s="3"/>
      <x:c r="D32" s="6">
        <x:v>14017</x:v>
      </x:c>
      <x:c r="E32" s="2" t="n">
        <x:f>D32</x:f>
        <x:v>14017</x:v>
      </x:c>
      <x:c r="F32" s="6">
        <x:v>11187</x:v>
      </x:c>
      <x:c r="G32" s="6">
        <x:v>9557</x:v>
      </x:c>
      <x:c r="H32" s="6">
        <x:v>5140</x:v>
      </x:c>
      <x:c r="I32" s="7" t="n">
        <x:f>H32</x:f>
        <x:v>5140</x:v>
      </x:c>
    </x:row>
    <x:row r="33">
      <x:c r="B33" s="3" t="s">
        <x:v>175</x:v>
      </x:c>
      <x:c r="C33" s="3"/>
      <x:c r="D33" s="6">
        <x:v>701</x:v>
      </x:c>
      <x:c r="E33" s="2" t="n">
        <x:f>D33</x:f>
        <x:v>701</x:v>
      </x:c>
      <x:c r="F33" s="6">
        <x:v>669</x:v>
      </x:c>
      <x:c r="G33" s="6">
        <x:v>656</x:v>
      </x:c>
      <x:c r="H33" s="6">
        <x:v>654</x:v>
      </x:c>
      <x:c r="I33" s="7" t="n">
        <x:f>H33</x:f>
        <x:v>654</x:v>
      </x:c>
    </x:row>
    <x:row r="34">
      <x:c r="B34" s="3" t="s">
        <x:v>176</x:v>
      </x:c>
      <x:c r="C34" s="3"/>
      <x:c r="D34" s="6">
        <x:v>1018</x:v>
      </x:c>
      <x:c r="E34" s="2" t="n">
        <x:f>D34</x:f>
        <x:v>1018</x:v>
      </x:c>
      <x:c r="F34" s="6">
        <x:v>1148</x:v>
      </x:c>
      <x:c r="G34" s="6">
        <x:v>1002</x:v>
      </x:c>
      <x:c r="H34" s="6">
        <x:v>1020</x:v>
      </x:c>
      <x:c r="I34" s="7" t="n">
        <x:f>H34</x:f>
        <x:v>1020</x:v>
      </x:c>
    </x:row>
    <x:row r="35">
      <x:c r="B35" s="3" t="s">
        <x:v>177</x:v>
      </x:c>
      <x:c r="C35" s="3"/>
      <x:c r="D35" s="6">
        <x:v>1443</x:v>
      </x:c>
      <x:c r="E35" s="2" t="n">
        <x:f>D35</x:f>
        <x:v>1443</x:v>
      </x:c>
      <x:c r="F35" s="6">
        <x:v>2101</x:v>
      </x:c>
      <x:c r="G35" s="6">
        <x:v>3539</x:v>
      </x:c>
      <x:c r="H35" s="6">
        <x:v>7086</x:v>
      </x:c>
      <x:c r="I35" s="7" t="n">
        <x:f>I26-SUM(I28:I30,I32:I34)-I43</x:f>
        <x:v>9019.225997333007</x:v>
      </x:c>
    </x:row>
    <x:row r="36">
      <x:c r="B36" s="10" t="s">
        <x:v>178</x:v>
      </x:c>
      <x:c r="C36" s="10"/>
      <x:c r="D36" s="16" t="n">
        <x:f>SUM(D31:D35)</x:f>
        <x:v>28633</x:v>
      </x:c>
      <x:c r="E36" s="16" t="n">
        <x:f>SUM(E31:E35)</x:f>
        <x:v>28633</x:v>
      </x:c>
      <x:c r="F36" s="16" t="n">
        <x:f>SUM(F31:F35)</x:f>
        <x:v>27165</x:v>
      </x:c>
      <x:c r="G36" s="16" t="n">
        <x:f>SUM(G31:G35)</x:f>
        <x:v>29050</x:v>
      </x:c>
      <x:c r="H36" s="16" t="n">
        <x:f>SUM(H31:H35)</x:f>
        <x:v>33388</x:v>
      </x:c>
      <x:c r="I36" s="5" t="n">
        <x:f>SUM(I31:I35)</x:f>
        <x:v>37321.22599733301</x:v>
      </x:c>
    </x:row>
    <x:row r="37">
      <x:c r="B37" s="3"/>
      <x:c r="C37" s="3"/>
      <x:c r="D37" s="2"/>
      <x:c r="E37" s="2"/>
      <x:c r="F37" s="2"/>
      <x:c r="G37" s="2"/>
      <x:c r="H37" s="2"/>
      <x:c r="I37" s="7"/>
    </x:row>
    <x:row r="38">
      <x:c r="B38" s="3" t="s">
        <x:v>179</x:v>
      </x:c>
      <x:c r="C38" s="3"/>
      <x:c r="D38" s="6">
        <x:v>127</x:v>
      </x:c>
      <x:c r="E38" s="2" t="n">
        <x:f>D38</x:f>
        <x:v>127</x:v>
      </x:c>
      <x:c r="F38" s="6">
        <x:v>127</x:v>
      </x:c>
      <x:c r="G38" s="6">
        <x:v>127</x:v>
      </x:c>
      <x:c r="H38" s="6">
        <x:v>128</x:v>
      </x:c>
      <x:c r="I38" s="7" t="n">
        <x:f>H38</x:f>
        <x:v>128</x:v>
      </x:c>
    </x:row>
    <x:row r="39">
      <x:c r="B39" s="3" t="s">
        <x:v>180</x:v>
      </x:c>
      <x:c r="C39" s="3"/>
      <x:c r="D39" s="6">
        <x:v>13339</x:v>
      </x:c>
      <x:c r="E39" s="2" t="n">
        <x:f>D39</x:f>
        <x:v>13339</x:v>
      </x:c>
      <x:c r="F39" s="6">
        <x:v>13610</x:v>
      </x:c>
      <x:c r="G39" s="6">
        <x:v>14092</x:v>
      </x:c>
      <x:c r="H39" s="6">
        <x:v>14442</x:v>
      </x:c>
      <x:c r="I39" s="14" t="n">
        <x:f>H39+Inputs!C116</x:f>
        <x:v>14806</x:v>
      </x:c>
    </x:row>
    <x:row r="40">
      <x:c r="B40" s="3" t="s">
        <x:v>181</x:v>
      </x:c>
      <x:c r="C40" s="3"/>
      <x:c r="D40" s="6">
        <x:v>48583</x:v>
      </x:c>
      <x:c r="E40" s="2" t="n">
        <x:f>D40</x:f>
        <x:v>48583</x:v>
      </x:c>
      <x:c r="F40" s="6">
        <x:v>53344</x:v>
      </x:c>
      <x:c r="G40" s="6">
        <x:v>66824</x:v>
      </x:c>
      <x:c r="H40" s="6">
        <x:v>94682</x:v>
      </x:c>
      <x:c r="I40" s="14" t="n">
        <x:f>H40+'Income Statement'!I32+Inputs!C113</x:f>
        <x:v>130880.82758301537</x:v>
      </x:c>
    </x:row>
    <x:row r="41">
      <x:c r="B41" s="3" t="s">
        <x:v>182</x:v>
      </x:c>
      <x:c r="C41" s="3"/>
      <x:c r="D41" s="6">
        <x:v>-7852</x:v>
      </x:c>
      <x:c r="E41" s="2" t="n">
        <x:f>D41</x:f>
        <x:v>-7852</x:v>
      </x:c>
      <x:c r="F41" s="6">
        <x:v>-8152</x:v>
      </x:c>
      <x:c r="G41" s="6">
        <x:v>-8502</x:v>
      </x:c>
      <x:c r="H41" s="6">
        <x:v>-8502</x:v>
      </x:c>
      <x:c r="I41" s="7" t="n">
        <x:f>H41+Inputs!C118</x:f>
        <x:v>-9002</x:v>
      </x:c>
    </x:row>
    <x:row r="42">
      <x:c r="B42" s="3" t="s">
        <x:v>183</x:v>
      </x:c>
      <x:c r="C42" s="3"/>
      <x:c r="D42" s="6">
        <x:v>-32</x:v>
      </x:c>
      <x:c r="E42" s="2" t="n">
        <x:f>D42</x:f>
        <x:v>-32</x:v>
      </x:c>
      <x:c r="F42" s="6">
        <x:v>-123</x:v>
      </x:c>
      <x:c r="G42" s="6">
        <x:v>-82</x:v>
      </x:c>
      <x:c r="H42" s="6">
        <x:v>-26</x:v>
      </x:c>
      <x:c r="I42" s="7" t="n">
        <x:f>H42</x:f>
        <x:v>-26</x:v>
      </x:c>
    </x:row>
    <x:row r="43">
      <x:c r="B43" s="10" t="s">
        <x:v>184</x:v>
      </x:c>
      <x:c r="C43" s="10"/>
      <x:c r="D43" s="16" t="n">
        <x:f>SUM(D38:D42)</x:f>
        <x:v>54165</x:v>
      </x:c>
      <x:c r="E43" s="16" t="n">
        <x:f>SUM(E38:E42)</x:f>
        <x:v>54165</x:v>
      </x:c>
      <x:c r="F43" s="16" t="n">
        <x:f>SUM(F38:F42)</x:f>
        <x:v>58806</x:v>
      </x:c>
      <x:c r="G43" s="16" t="n">
        <x:f>SUM(G38:G42)</x:f>
        <x:v>72459</x:v>
      </x:c>
      <x:c r="H43" s="16" t="n">
        <x:f>SUM(H38:H42)</x:f>
        <x:v>100724</x:v>
      </x:c>
      <x:c r="I43" s="5" t="n">
        <x:f>SUM(I38:I42)</x:f>
        <x:v>136786.82758301537</x:v>
      </x:c>
    </x:row>
    <x:row r="44">
      <x:c r="B44" s="10" t="s">
        <x:v>185</x:v>
      </x:c>
      <x:c r="C44" s="10"/>
      <x:c r="D44" s="16" t="n">
        <x:f>D36+D43</x:f>
        <x:v>82798</x:v>
      </x:c>
      <x:c r="E44" s="16" t="n">
        <x:f>E36+E43</x:f>
        <x:v>82798</x:v>
      </x:c>
      <x:c r="F44" s="16" t="n">
        <x:f>F36+F43</x:f>
        <x:v>85971</x:v>
      </x:c>
      <x:c r="G44" s="16" t="n">
        <x:f>G36+G43</x:f>
        <x:v>101509</x:v>
      </x:c>
      <x:c r="H44" s="16" t="n">
        <x:f>H36+H43</x:f>
        <x:v>134112</x:v>
      </x:c>
      <x:c r="I44" s="5" t="n">
        <x:f>I36+I43</x:f>
        <x:v>174108.05358034838</x:v>
      </x:c>
    </x:row>
    <x:row r="45" ht="48" customHeight="1">
      <x:c r="B45" s="10" t="s">
        <x:v>186</x:v>
      </x:c>
      <x:c r="C45" s="10"/>
      <x:c r="D45" s="16" t="n">
        <x:f>D26-D36-D43</x:f>
        <x:v>0</x:v>
      </x:c>
      <x:c r="E45" s="16" t="n">
        <x:f>E26-E36-E43</x:f>
        <x:v>0</x:v>
      </x:c>
      <x:c r="F45" s="16" t="n">
        <x:f>F26-F36-F43</x:f>
        <x:v>0</x:v>
      </x:c>
      <x:c r="G45" s="16" t="n">
        <x:f>G26-G36-G43</x:f>
        <x:v>0</x:v>
      </x:c>
      <x:c r="H45" s="16" t="n">
        <x:f>H26-H36-H43</x:f>
        <x:v>0</x:v>
      </x:c>
      <x:c r="I45" s="5" t="n">
        <x:f>I26-I36-I43</x:f>
        <x:v>0</x:v>
      </x:c>
      <x:c r="J45" s="78" t="str">
        <x:v>Arithmetic identity with a disclosed other-liability residual. CFO is an independent judgmental forecast, not a fully reconciled working-capital build.</x:v>
      </x:c>
    </x:row>
    <x:row r="46">
      <x:c r="B46" s="3" t="s">
        <x:v>187</x:v>
      </x:c>
      <x:c r="C46" s="3"/>
      <x:c r="D46" s="2"/>
      <x:c r="E46" s="2"/>
      <x:c r="F46" s="2"/>
      <x:c r="G46" s="2"/>
      <x:c r="H46" s="2"/>
      <x:c r="I46" s="7" t="n">
        <x:f>I35-H35</x:f>
        <x:v>1933.2259973330074</x:v>
      </x:c>
    </x:row>
  </x:sheetData>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s>
  <x:sheetData>
    <x:row r="2">
      <x:c r="B2" s="9" t="s">
        <x:v>0</x:v>
      </x:c>
      <x:c r="C2" s="9"/>
      <x:c r="D2" s="9"/>
      <x:c r="E2" s="9"/>
      <x:c r="F2" s="9"/>
      <x:c r="G2" s="9"/>
      <x:c r="H2" s="9"/>
      <x:c r="I2" s="9"/>
    </x:row>
    <x:row r="3">
      <x:c r="B3" s="9" t="s">
        <x:v>188</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3" t="s">
        <x:v>189</x:v>
      </x:c>
      <x:c r="C10" s="3"/>
      <x:c r="D10" s="2"/>
      <x:c r="E10" s="2"/>
      <x:c r="F10" s="2"/>
      <x:c r="G10" s="2"/>
      <x:c r="H10" s="2"/>
      <x:c r="I10" s="7"/>
    </x:row>
    <x:row r="11">
      <x:c r="B11" s="10" t="s">
        <x:v>190</x:v>
      </x:c>
      <x:c r="C11" s="10"/>
      <x:c r="D11" s="15">
        <x:v>17525</x:v>
      </x:c>
      <x:c r="E11" s="15">
        <x:v>5730</x:v>
      </x:c>
      <x:c r="F11" s="15">
        <x:v>8411</x:v>
      </x:c>
      <x:c r="G11" s="15">
        <x:v>11903</x:v>
      </x:c>
      <x:c r="H11" s="15">
        <x:v>25388</x:v>
      </x:c>
      <x:c r="I11" s="13" t="n">
        <x:f>Inputs!C101</x:f>
        <x:v>35000</x:v>
      </x:c>
    </x:row>
    <x:row r="12">
      <x:c r="B12" s="3" t="s">
        <x:v>191</x:v>
      </x:c>
      <x:c r="C12" s="3"/>
      <x:c r="D12" s="6">
        <x:v>-15857</x:v>
      </x:c>
      <x:c r="E12" s="6">
        <x:v>-5658</x:v>
      </x:c>
      <x:c r="F12" s="6">
        <x:v>-5389</x:v>
      </x:c>
      <x:c r="G12" s="6">
        <x:v>-6387</x:v>
      </x:c>
      <x:c r="H12" s="6">
        <x:v>-7826</x:v>
      </x:c>
      <x:c r="I12" s="14" t="n">
        <x:f>Inputs!C98</x:f>
        <x:v>-10500</x:v>
      </x:c>
    </x:row>
    <x:row r="13">
      <x:c r="B13" s="3" t="s">
        <x:v>192</x:v>
      </x:c>
      <x:c r="C13" s="3"/>
      <x:c r="D13" s="6">
        <x:v>1770</x:v>
      </x:c>
      <x:c r="E13" s="6">
        <x:v>460</x:v>
      </x:c>
      <x:c r="F13" s="6">
        <x:v>795</x:v>
      </x:c>
      <x:c r="G13" s="6">
        <x:v>862</x:v>
      </x:c>
      <x:c r="H13" s="6">
        <x:v>-1743</x:v>
      </x:c>
      <x:c r="I13" s="14" t="n">
        <x:f>Inputs!C99</x:f>
        <x:v>300</x:v>
      </x:c>
    </x:row>
    <x:row r="14">
      <x:c r="B14" s="3" t="s">
        <x:v>193</x:v>
      </x:c>
      <x:c r="C14" s="3"/>
      <x:c r="D14" s="6">
        <x:v>8352</x:v>
      </x:c>
      <x:c r="E14" s="6">
        <x:v>2149</x:v>
      </x:c>
      <x:c r="F14" s="6">
        <x:v>2212</x:v>
      </x:c>
      <x:c r="G14" s="6">
        <x:v>2286</x:v>
      </x:c>
      <x:c r="H14" s="6">
        <x:v>2364</x:v>
      </x:c>
      <x:c r="I14" s="7" t="n">
        <x:f>H14</x:f>
        <x:v>2364</x:v>
      </x:c>
    </x:row>
    <x:row r="15">
      <x:c r="B15" s="10" t="s">
        <x:v>194</x:v>
      </x:c>
      <x:c r="C15" s="10"/>
      <x:c r="D15" s="16" t="n">
        <x:f>SUM(D12:D13)</x:f>
        <x:v>-14087</x:v>
      </x:c>
      <x:c r="E15" s="16" t="n">
        <x:f>SUM(E12:E13)</x:f>
        <x:v>-5198</x:v>
      </x:c>
      <x:c r="F15" s="16" t="n">
        <x:f>SUM(F12:F13)</x:f>
        <x:v>-4594</x:v>
      </x:c>
      <x:c r="G15" s="16" t="n">
        <x:f>SUM(G12:G13)</x:f>
        <x:v>-5525</x:v>
      </x:c>
      <x:c r="H15" s="16" t="n">
        <x:f>SUM(H12:H13)</x:f>
        <x:v>-9569</x:v>
      </x:c>
      <x:c r="I15" s="5" t="n">
        <x:f>SUM(I12:I13)</x:f>
        <x:v>-10200</x:v>
      </x:c>
    </x:row>
    <x:row r="16">
      <x:c r="B16" s="10" t="s">
        <x:v>195</x:v>
      </x:c>
      <x:c r="C16" s="10"/>
      <x:c r="D16" s="15">
        <x:v>-850</x:v>
      </x:c>
      <x:c r="E16" s="15">
        <x:v>-1064</x:v>
      </x:c>
      <x:c r="F16" s="15">
        <x:v>-3745</x:v>
      </x:c>
      <x:c r="G16" s="15">
        <x:v>-2167</x:v>
      </x:c>
      <x:c r="H16" s="15">
        <x:v>-4734</x:v>
      </x:c>
      <x:c r="I16" s="13" t="n">
        <x:f>Inputs!C100</x:f>
        <x:v>-1000</x:v>
      </x:c>
    </x:row>
    <x:row r="17">
      <x:c r="B17" s="3" t="s">
        <x:v>196</x:v>
      </x:c>
      <x:c r="C17" s="3"/>
      <x:c r="D17" s="6">
        <x:v>6</x:v>
      </x:c>
      <x:c r="E17" s="6">
        <x:v>9</x:v>
      </x:c>
      <x:c r="F17" s="6">
        <x:v>14</x:v>
      </x:c>
      <x:c r="G17" s="6">
        <x:v>-9</x:v>
      </x:c>
      <x:c r="H17" s="6">
        <x:v>3</x:v>
      </x:c>
      <x:c r="I17" s="14" t="n">
        <x:f>Inputs!C102</x:f>
        <x:v>0</x:v>
      </x:c>
    </x:row>
    <x:row r="18">
      <x:c r="B18" s="10" t="s">
        <x:v>197</x:v>
      </x:c>
      <x:c r="C18" s="10"/>
      <x:c r="D18" s="16" t="n">
        <x:f>SUM(D11,D15:D17)</x:f>
        <x:v>2594</x:v>
      </x:c>
      <x:c r="E18" s="16" t="n">
        <x:f>SUM(E11,E15:E17)</x:f>
        <x:v>-523</x:v>
      </x:c>
      <x:c r="F18" s="16" t="n">
        <x:f>SUM(F11,F15:F17)</x:f>
        <x:v>86</x:v>
      </x:c>
      <x:c r="G18" s="16" t="n">
        <x:f>SUM(G11,G15:G17)</x:f>
        <x:v>4202</x:v>
      </x:c>
      <x:c r="H18" s="16" t="n">
        <x:f>SUM(H11,H15:H17)</x:f>
        <x:v>11088</x:v>
      </x:c>
      <x:c r="I18" s="5" t="n">
        <x:f>SUM(I11,I15:I17)</x:f>
        <x:v>23800</x:v>
      </x:c>
    </x:row>
    <x:row r="19">
      <x:c r="B19" s="3" t="s">
        <x:v>198</x:v>
      </x:c>
      <x:c r="C19" s="3"/>
      <x:c r="D19" s="6">
        <x:v>7052</x:v>
      </x:c>
      <x:c r="E19" s="6">
        <x:v>10169</x:v>
      </x:c>
      <x:c r="F19" s="6">
        <x:v>9646</x:v>
      </x:c>
      <x:c r="G19" s="6">
        <x:v>9732</x:v>
      </x:c>
      <x:c r="H19" s="6">
        <x:v>13934</x:v>
      </x:c>
      <x:c r="I19" s="7" t="n">
        <x:f>H20</x:f>
        <x:v>25022</x:v>
      </x:c>
    </x:row>
    <x:row r="20">
      <x:c r="B20" s="10" t="s">
        <x:v>199</x:v>
      </x:c>
      <x:c r="C20" s="10"/>
      <x:c r="D20" s="16" t="n">
        <x:f>D19+D18</x:f>
        <x:v>9646</x:v>
      </x:c>
      <x:c r="E20" s="16" t="n">
        <x:f>E19+E18</x:f>
        <x:v>9646</x:v>
      </x:c>
      <x:c r="F20" s="16" t="n">
        <x:f>F19+F18</x:f>
        <x:v>9732</x:v>
      </x:c>
      <x:c r="G20" s="16" t="n">
        <x:f>G19+G18</x:f>
        <x:v>13934</x:v>
      </x:c>
      <x:c r="H20" s="16" t="n">
        <x:f>H19+H18</x:f>
        <x:v>25022</x:v>
      </x:c>
      <x:c r="I20" s="5" t="n">
        <x:f>I19+I18</x:f>
        <x:v>48822</x:v>
      </x:c>
    </x:row>
    <x:row r="21">
      <x:c r="B21" s="10" t="s">
        <x:v>200</x:v>
      </x:c>
      <x:c r="C21" s="10"/>
      <x:c r="D21" s="4" t="n">
        <x:f>D20-'Balance Sheet'!D12-'Balance Sheet'!D13</x:f>
        <x:v>0</x:v>
      </x:c>
      <x:c r="E21" s="4" t="n">
        <x:f>E20-'Balance Sheet'!E12-'Balance Sheet'!E13</x:f>
        <x:v>0</x:v>
      </x:c>
      <x:c r="F21" s="4" t="n">
        <x:f>F20-'Balance Sheet'!F12-'Balance Sheet'!F13</x:f>
        <x:v>0</x:v>
      </x:c>
      <x:c r="G21" s="4" t="n">
        <x:f>G20-'Balance Sheet'!G12-'Balance Sheet'!G13</x:f>
        <x:v>0</x:v>
      </x:c>
      <x:c r="H21" s="4" t="n">
        <x:f>H20-'Balance Sheet'!H12-'Balance Sheet'!H13</x:f>
        <x:v>0</x:v>
      </x:c>
      <x:c r="I21" s="13" t="n">
        <x:f>I20-'Balance Sheet'!I12-'Balance Sheet'!I13</x:f>
        <x:v>0</x:v>
      </x:c>
    </x:row>
    <x:row r="22">
      <x:c r="B22" s="10" t="s">
        <x:v>201</x:v>
      </x:c>
      <x:c r="C22" s="10"/>
      <x:c r="D22" s="16" t="n">
        <x:f>D20-D19-D11-D15-D16-D17</x:f>
        <x:v>0</x:v>
      </x:c>
      <x:c r="E22" s="16" t="n">
        <x:f>E20-E19-E11-E15-E16-E17</x:f>
        <x:v>0</x:v>
      </x:c>
      <x:c r="F22" s="16" t="n">
        <x:f>F20-F19-F11-F15-F16-F17</x:f>
        <x:v>0</x:v>
      </x:c>
      <x:c r="G22" s="16" t="n">
        <x:f>G20-G19-G11-G15-G16-G17</x:f>
        <x:v>0</x:v>
      </x:c>
      <x:c r="H22" s="16" t="n">
        <x:f>H20-H19-H11-H15-H16-H17</x:f>
        <x:v>0</x:v>
      </x:c>
      <x:c r="I22" s="5" t="n">
        <x:f>I20-I19-I11-I15-I16-I17</x:f>
        <x:v>0</x:v>
      </x:c>
    </x:row>
    <x:row r="23">
      <x:c r="B23" s="3" t="s">
        <x:v>202</x:v>
      </x:c>
      <x:c r="C23" s="3"/>
      <x:c r="D23" s="6">
        <x:v>972</x:v>
      </x:c>
      <x:c r="E23" s="6">
        <x:v>250</x:v>
      </x:c>
      <x:c r="F23" s="6">
        <x:v>290</x:v>
      </x:c>
      <x:c r="G23" s="6">
        <x:v>309</x:v>
      </x:c>
      <x:c r="H23" s="6">
        <x:v>355</x:v>
      </x:c>
      <x:c r="I23" s="7" t="n">
        <x:f>H23</x:f>
        <x:v>355</x:v>
      </x:c>
    </x:row>
    <x:row r="24">
      <x:c r="B24" s="3"/>
      <x:c r="C24" s="3"/>
      <x:c r="D24" s="2"/>
      <x:c r="E24" s="2"/>
      <x:c r="F24" s="2"/>
      <x:c r="G24" s="2"/>
      <x:c r="H24" s="2"/>
      <x:c r="I24" s="7"/>
    </x:row>
    <x:row r="25">
      <x:c r="B25" s="3"/>
      <x:c r="C25" s="3"/>
      <x:c r="D25" s="2"/>
      <x:c r="E25" s="2"/>
      <x:c r="F25" s="2"/>
      <x:c r="G25" s="2"/>
      <x:c r="H25" s="2"/>
      <x:c r="I25" s="7"/>
    </x:row>
  </x:sheetData>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s>
  <x:sheetData>
    <x:row r="2">
      <x:c r="B2" s="9" t="s">
        <x:v>0</x:v>
      </x:c>
      <x:c r="C2" s="9"/>
      <x:c r="D2" s="9"/>
      <x:c r="E2" s="9"/>
      <x:c r="F2" s="9"/>
      <x:c r="G2" s="9"/>
      <x:c r="H2" s="9"/>
      <x:c r="I2" s="9"/>
    </x:row>
    <x:row r="3">
      <x:c r="B3" s="9" t="s">
        <x:v>203</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10" t="s">
        <x:v>204</x:v>
      </x:c>
      <x:c r="C10" s="10"/>
      <x:c r="D10" s="16"/>
      <x:c r="E10" s="16"/>
      <x:c r="F10" s="16"/>
      <x:c r="G10" s="16"/>
      <x:c r="H10" s="16"/>
      <x:c r="I10" s="5"/>
    </x:row>
    <x:row r="11">
      <x:c r="B11" s="3" t="s">
        <x:v>205</x:v>
      </x:c>
      <x:c r="C11" s="3"/>
      <x:c r="D11" s="6">
        <x:v>24113</x:v>
      </x:c>
      <x:c r="E11" s="62" t="s">
        <x:v>30</x:v>
      </x:c>
      <x:c r="F11" s="62" t="s">
        <x:v>30</x:v>
      </x:c>
      <x:c r="G11" s="62" t="s">
        <x:v>30</x:v>
      </x:c>
      <x:c r="H11" s="62" t="s">
        <x:v>30</x:v>
      </x:c>
      <x:c r="I11" s="14" t="n">
        <x:f>'Revenue summary'!I46*D11/D22</x:f>
        <x:v>33260.586232818976</x:v>
      </x:c>
    </x:row>
    <x:row r="12">
      <x:c r="B12" s="3" t="s">
        <x:v>206</x:v>
      </x:c>
      <x:c r="C12" s="3"/>
      <x:c r="D12" s="6">
        <x:v>5672</x:v>
      </x:c>
      <x:c r="E12" s="62" t="s">
        <x:v>30</x:v>
      </x:c>
      <x:c r="F12" s="62" t="s">
        <x:v>30</x:v>
      </x:c>
      <x:c r="G12" s="62" t="s">
        <x:v>30</x:v>
      </x:c>
      <x:c r="H12" s="62" t="s">
        <x:v>30</x:v>
      </x:c>
      <x:c r="I12" s="14" t="n">
        <x:f>'Revenue summary'!I46*D12/D22</x:f>
        <x:v>7823.748397650612</x:v>
      </x:c>
    </x:row>
    <x:row r="13">
      <x:c r="B13" s="3" t="s">
        <x:v>207</x:v>
      </x:c>
      <x:c r="C13" s="3"/>
      <x:c r="D13" s="6">
        <x:v>2639</x:v>
      </x:c>
      <x:c r="E13" s="62" t="s">
        <x:v>30</x:v>
      </x:c>
      <x:c r="F13" s="62" t="s">
        <x:v>30</x:v>
      </x:c>
      <x:c r="G13" s="62" t="s">
        <x:v>30</x:v>
      </x:c>
      <x:c r="H13" s="62" t="s">
        <x:v>30</x:v>
      </x:c>
      <x:c r="I13" s="14" t="n">
        <x:f>'Revenue summary'!I46*D13/D22</x:f>
        <x:v>3640.139637059232</x:v>
      </x:c>
    </x:row>
    <x:row r="14">
      <x:c r="B14" s="3" t="s">
        <x:v>208</x:v>
      </x:c>
      <x:c r="C14" s="3"/>
      <x:c r="D14" s="6">
        <x:v>1913</x:v>
      </x:c>
      <x:c r="E14" s="62" t="s">
        <x:v>30</x:v>
      </x:c>
      <x:c r="F14" s="62" t="s">
        <x:v>30</x:v>
      </x:c>
      <x:c r="G14" s="62" t="s">
        <x:v>30</x:v>
      </x:c>
      <x:c r="H14" s="62" t="s">
        <x:v>30</x:v>
      </x:c>
      <x:c r="I14" s="14" t="n">
        <x:f>'Revenue summary'!I46*D14/D22</x:f>
        <x:v>2638.721911972077</x:v>
      </x:c>
    </x:row>
    <x:row r="15">
      <x:c r="B15" s="3" t="s">
        <x:v>209</x:v>
      </x:c>
      <x:c r="C15" s="3"/>
      <x:c r="D15" s="6">
        <x:v>1138</x:v>
      </x:c>
      <x:c r="E15" s="62" t="s">
        <x:v>30</x:v>
      </x:c>
      <x:c r="F15" s="62" t="s">
        <x:v>30</x:v>
      </x:c>
      <x:c r="G15" s="62" t="s">
        <x:v>30</x:v>
      </x:c>
      <x:c r="H15" s="62" t="s">
        <x:v>30</x:v>
      </x:c>
      <x:c r="I15" s="14" t="n">
        <x:f>'Revenue summary'!I46*D15/D22</x:f>
        <x:v>1569.7153872578274</x:v>
      </x:c>
    </x:row>
    <x:row r="16">
      <x:c r="B16" s="3" t="s">
        <x:v>210</x:v>
      </x:c>
      <x:c r="C16" s="3"/>
      <x:c r="D16" s="6">
        <x:v>895</x:v>
      </x:c>
      <x:c r="E16" s="62" t="s">
        <x:v>30</x:v>
      </x:c>
      <x:c r="F16" s="62" t="s">
        <x:v>30</x:v>
      </x:c>
      <x:c r="G16" s="62" t="s">
        <x:v>30</x:v>
      </x:c>
      <x:c r="H16" s="62" t="s">
        <x:v>30</x:v>
      </x:c>
      <x:c r="I16" s="14" t="n">
        <x:f>'Revenue summary'!I46*D16/D22</x:f>
        <x:v>1234.5301156377463</x:v>
      </x:c>
    </x:row>
    <x:row r="17">
      <x:c r="B17" s="3" t="s">
        <x:v>211</x:v>
      </x:c>
      <x:c r="C17" s="3"/>
      <x:c r="D17" s="6">
        <x:v>625</x:v>
      </x:c>
      <x:c r="E17" s="62" t="s">
        <x:v>30</x:v>
      </x:c>
      <x:c r="F17" s="62" t="s">
        <x:v>30</x:v>
      </x:c>
      <x:c r="G17" s="62" t="s">
        <x:v>30</x:v>
      </x:c>
      <x:c r="H17" s="62" t="s">
        <x:v>30</x:v>
      </x:c>
      <x:c r="I17" s="14" t="n">
        <x:f>'Revenue summary'!I46*D17/D22</x:f>
        <x:v>862.1020360598787</x:v>
      </x:c>
    </x:row>
    <x:row r="18">
      <x:c r="B18" s="3" t="s">
        <x:v>212</x:v>
      </x:c>
      <x:c r="C18" s="3"/>
      <x:c r="D18" s="6">
        <x:v>383</x:v>
      </x:c>
      <x:c r="E18" s="62" t="s">
        <x:v>30</x:v>
      </x:c>
      <x:c r="F18" s="62" t="s">
        <x:v>30</x:v>
      </x:c>
      <x:c r="G18" s="62" t="s">
        <x:v>30</x:v>
      </x:c>
      <x:c r="H18" s="62" t="s">
        <x:v>30</x:v>
      </x:c>
      <x:c r="I18" s="14" t="n">
        <x:f>'Revenue summary'!I46*D18/D22</x:f>
        <x:v>528.2961276974937</x:v>
      </x:c>
    </x:row>
    <x:row r="19">
      <x:c r="B19" s="3"/>
      <x:c r="C19" s="3"/>
      <x:c r="D19" s="2"/>
      <x:c r="E19" s="62"/>
      <x:c r="F19" s="62"/>
      <x:c r="G19" s="62"/>
      <x:c r="H19" s="62"/>
      <x:c r="I19" s="7"/>
    </x:row>
    <x:row r="20">
      <x:c r="B20" s="3"/>
      <x:c r="C20" s="3"/>
      <x:c r="D20" s="2"/>
      <x:c r="E20" s="62"/>
      <x:c r="F20" s="62"/>
      <x:c r="G20" s="62"/>
      <x:c r="H20" s="62"/>
      <x:c r="I20" s="7"/>
    </x:row>
    <x:row r="21">
      <x:c r="B21" s="3"/>
      <x:c r="C21" s="3"/>
      <x:c r="D21" s="2"/>
      <x:c r="E21" s="62"/>
      <x:c r="F21" s="62"/>
      <x:c r="G21" s="62"/>
      <x:c r="H21" s="62"/>
      <x:c r="I21" s="7"/>
    </x:row>
    <x:row r="22">
      <x:c r="B22" s="10" t="s">
        <x:v>213</x:v>
      </x:c>
      <x:c r="C22" s="10"/>
      <x:c r="D22" s="16" t="n">
        <x:f>SUM(D11:D18)</x:f>
        <x:v>37378</x:v>
      </x:c>
      <x:c r="E22" s="64" t="s">
        <x:v>30</x:v>
      </x:c>
      <x:c r="F22" s="64" t="s">
        <x:v>30</x:v>
      </x:c>
      <x:c r="G22" s="64" t="s">
        <x:v>30</x:v>
      </x:c>
      <x:c r="H22" s="64" t="s">
        <x:v>30</x:v>
      </x:c>
      <x:c r="I22" s="5" t="n">
        <x:f>SUM(I11:I18)</x:f>
        <x:v>51557.839846153845</x:v>
      </x:c>
    </x:row>
    <x:row r="23">
      <x:c r="B23" s="10" t="s">
        <x:v>214</x:v>
      </x:c>
      <x:c r="C23" s="10"/>
      <x:c r="D23" s="4" t="n">
        <x:f>D22-'Revenue summary'!D46</x:f>
        <x:v>0</x:v>
      </x:c>
      <x:c r="E23" s="16"/>
      <x:c r="F23" s="16"/>
      <x:c r="G23" s="16"/>
      <x:c r="H23" s="16"/>
      <x:c r="I23" s="13" t="n">
        <x:f>I22-'Revenue summary'!I46</x:f>
        <x:v>7.275957614183426e-12</x:v>
      </x:c>
    </x:row>
    <x:row r="24">
      <x:c r="B24" s="3"/>
      <x:c r="C24" s="3"/>
      <x:c r="D24" s="2"/>
      <x:c r="E24" s="2"/>
      <x:c r="F24" s="2"/>
      <x:c r="G24" s="2"/>
      <x:c r="H24" s="2"/>
      <x:c r="I24" s="7"/>
    </x:row>
    <x:row r="25">
      <x:c r="B25" s="3"/>
      <x:c r="C25" s="3"/>
      <x:c r="D25" s="2"/>
      <x:c r="E25" s="2"/>
      <x:c r="F25" s="2"/>
      <x:c r="G25" s="2"/>
      <x:c r="H25" s="2"/>
      <x:c r="I25" s="7"/>
    </x:row>
  </x:sheetData>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4" customWidth="1"/>
    <x:col min="3" max="3" width="5" customWidth="1"/>
    <x:col min="4" max="9" width="13" customWidth="1"/>
  </x:cols>
  <x:sheetData>
    <x:row r="2">
      <x:c r="B2" s="9" t="s">
        <x:v>0</x:v>
      </x:c>
      <x:c r="C2" s="9"/>
      <x:c r="D2" s="9"/>
      <x:c r="E2" s="9"/>
      <x:c r="F2" s="9"/>
      <x:c r="G2" s="9"/>
      <x:c r="H2" s="9"/>
      <x:c r="I2" s="9"/>
    </x:row>
    <x:row r="3">
      <x:c r="B3" s="9" t="s">
        <x:v>215</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10" t="s">
        <x:v>216</x:v>
      </x:c>
      <x:c r="C10" s="10"/>
      <x:c r="D10" s="16"/>
      <x:c r="E10" s="16"/>
      <x:c r="F10" s="16"/>
      <x:c r="G10" s="16"/>
      <x:c r="H10" s="16"/>
      <x:c r="I10" s="5"/>
    </x:row>
    <x:row r="11">
      <x:c r="B11" s="3" t="s">
        <x:v>127</x:v>
      </x:c>
      <x:c r="C11" s="3"/>
      <x:c r="D11" s="12" t="n">
        <x:f>'Income Statement'!D34</x:f>
        <x:v>1116</x:v>
      </x:c>
      <x:c r="E11" s="12" t="n">
        <x:f>'Income Statement'!E34</x:f>
        <x:v>1120</x:v>
      </x:c>
      <x:c r="F11" s="12" t="n">
        <x:f>'Income Statement'!F34</x:f>
        <x:v>1125</x:v>
      </x:c>
      <x:c r="G11" s="12" t="n">
        <x:f>'Income Statement'!G34</x:f>
        <x:v>1126</x:v>
      </x:c>
      <x:c r="H11" s="12" t="n">
        <x:f>'Income Statement'!H34</x:f>
        <x:v>1128</x:v>
      </x:c>
      <x:c r="I11" s="14" t="n">
        <x:f>'Income Statement'!I34</x:f>
        <x:v>1130</x:v>
      </x:c>
    </x:row>
    <x:row r="12">
      <x:c r="B12" s="3" t="s">
        <x:v>217</x:v>
      </x:c>
      <x:c r="C12" s="3"/>
      <x:c r="D12" s="2" t="n">
        <x:f>D13-D11</x:f>
        <x:v>9</x:v>
      </x:c>
      <x:c r="E12" s="2" t="n">
        <x:f>E13-E11</x:f>
        <x:v>11</x:v>
      </x:c>
      <x:c r="F12" s="2" t="n">
        <x:f>F13-F11</x:f>
        <x:v>13</x:v>
      </x:c>
      <x:c r="G12" s="2" t="n">
        <x:f>G13-G11</x:f>
        <x:v>16</x:v>
      </x:c>
      <x:c r="H12" s="2" t="n">
        <x:f>H13-H11</x:f>
        <x:v>17</x:v>
      </x:c>
      <x:c r="I12" s="7" t="n">
        <x:f>I13-I11</x:f>
        <x:v>18</x:v>
      </x:c>
    </x:row>
    <x:row r="13">
      <x:c r="B13" s="10" t="s">
        <x:v>218</x:v>
      </x:c>
      <x:c r="C13" s="10"/>
      <x:c r="D13" s="4" t="n">
        <x:f>'Income Statement'!D35</x:f>
        <x:v>1125</x:v>
      </x:c>
      <x:c r="E13" s="4" t="n">
        <x:f>'Income Statement'!E35</x:f>
        <x:v>1131</x:v>
      </x:c>
      <x:c r="F13" s="4" t="n">
        <x:f>'Income Statement'!F35</x:f>
        <x:v>1138</x:v>
      </x:c>
      <x:c r="G13" s="4" t="n">
        <x:f>'Income Statement'!G35</x:f>
        <x:v>1142</x:v>
      </x:c>
      <x:c r="H13" s="4" t="n">
        <x:f>'Income Statement'!H35</x:f>
        <x:v>1145</x:v>
      </x:c>
      <x:c r="I13" s="13" t="n">
        <x:f>'Income Statement'!I35</x:f>
        <x:v>1148</x:v>
      </x:c>
    </x:row>
    <x:row r="14">
      <x:c r="B14" s="3" t="s">
        <x:v>219</x:v>
      </x:c>
      <x:c r="C14" s="3"/>
      <x:c r="D14" s="12" t="n">
        <x:f>'Income Statement'!D49</x:f>
        <x:v>18</x:v>
      </x:c>
      <x:c r="E14" s="12" t="n">
        <x:f>'Income Statement'!E49</x:f>
        <x:v>14</x:v>
      </x:c>
      <x:c r="F14" s="12" t="n">
        <x:f>'Income Statement'!F49</x:f>
        <x:v>10</x:v>
      </x:c>
      <x:c r="G14" s="12" t="n">
        <x:f>'Income Statement'!G49</x:f>
        <x:v>7</x:v>
      </x:c>
      <x:c r="H14" s="12" t="n">
        <x:f>'Income Statement'!H49</x:f>
        <x:v>4</x:v>
      </x:c>
      <x:c r="I14" s="14" t="n">
        <x:f>'Income Statement'!I49</x:f>
        <x:v>4</x:v>
      </x:c>
    </x:row>
    <x:row r="15">
      <x:c r="B15" s="10" t="s">
        <x:v>143</x:v>
      </x:c>
      <x:c r="C15" s="10"/>
      <x:c r="D15" s="16" t="n">
        <x:f>D13+D14</x:f>
        <x:v>1143</x:v>
      </x:c>
      <x:c r="E15" s="16" t="n">
        <x:f>E13+E14</x:f>
        <x:v>1145</x:v>
      </x:c>
      <x:c r="F15" s="16" t="n">
        <x:f>F13+F14</x:f>
        <x:v>1148</x:v>
      </x:c>
      <x:c r="G15" s="16" t="n">
        <x:f>G13+G14</x:f>
        <x:v>1149</x:v>
      </x:c>
      <x:c r="H15" s="16" t="n">
        <x:f>H13+H14</x:f>
        <x:v>1149</x:v>
      </x:c>
      <x:c r="I15" s="5" t="n">
        <x:f>I13+I14</x:f>
        <x:v>1152</x:v>
      </x:c>
    </x:row>
    <x:row r="16">
      <x:c r="B16" s="3" t="s">
        <x:v>220</x:v>
      </x:c>
      <x:c r="C16" s="3"/>
      <x:c r="D16" s="6">
        <x:v>0</x:v>
      </x:c>
      <x:c r="E16" s="6">
        <x:v>0</x:v>
      </x:c>
      <x:c r="F16" s="6">
        <x:v>-300</x:v>
      </x:c>
      <x:c r="G16" s="6">
        <x:v>-350</x:v>
      </x:c>
      <x:c r="H16" s="6">
        <x:v>0</x:v>
      </x:c>
      <x:c r="I16" s="14" t="n">
        <x:f>Inputs!C118</x:f>
        <x:v>-500</x:v>
      </x:c>
    </x:row>
    <x:row r="17">
      <x:c r="B17" s="3" t="s">
        <x:v>221</x:v>
      </x:c>
      <x:c r="C17" s="3"/>
      <x:c r="D17" s="62" t="s">
        <x:v>30</x:v>
      </x:c>
      <x:c r="E17" s="62" t="s">
        <x:v>30</x:v>
      </x:c>
      <x:c r="F17" s="65">
        <x:v>-367</x:v>
      </x:c>
      <x:c r="G17" s="65">
        <x:v>-178</x:v>
      </x:c>
      <x:c r="H17" s="65">
        <x:v>-217</x:v>
      </x:c>
      <x:c r="I17" s="66" t="s">
        <x:v>30</x:v>
      </x:c>
    </x:row>
    <x:row r="18">
      <x:c r="B18" s="3" t="s">
        <x:v>222</x:v>
      </x:c>
      <x:c r="C18" s="3"/>
      <x:c r="D18" s="62" t="s">
        <x:v>30</x:v>
      </x:c>
      <x:c r="E18" s="62" t="s">
        <x:v>30</x:v>
      </x:c>
      <x:c r="F18" s="62" t="s">
        <x:v>30</x:v>
      </x:c>
      <x:c r="G18" s="62" t="s">
        <x:v>30</x:v>
      </x:c>
      <x:c r="H18" s="62" t="s">
        <x:v>30</x:v>
      </x:c>
      <x:c r="I18" s="66" t="s">
        <x:v>30</x:v>
      </x:c>
    </x:row>
    <x:row r="19">
      <x:c r="B19" s="3" t="s">
        <x:v>223</x:v>
      </x:c>
      <x:c r="C19" s="3"/>
      <x:c r="D19" s="12" t="n">
        <x:f>D13-'Income Statement'!D35</x:f>
        <x:v>0</x:v>
      </x:c>
      <x:c r="E19" s="12" t="n">
        <x:f>E13-'Income Statement'!E35</x:f>
        <x:v>0</x:v>
      </x:c>
      <x:c r="F19" s="12" t="n">
        <x:f>F13-'Income Statement'!F35</x:f>
        <x:v>0</x:v>
      </x:c>
      <x:c r="G19" s="12" t="n">
        <x:f>G13-'Income Statement'!G35</x:f>
        <x:v>0</x:v>
      </x:c>
      <x:c r="H19" s="12" t="n">
        <x:f>H13-'Income Statement'!H35</x:f>
        <x:v>0</x:v>
      </x:c>
      <x:c r="I19" s="14" t="n">
        <x:f>I13-'Income Statement'!I35</x:f>
        <x:v>0</x:v>
      </x:c>
    </x:row>
    <x:row r="20">
      <x:c r="B20" s="3" t="s">
        <x:v>224</x:v>
      </x:c>
      <x:c r="C20" s="3"/>
      <x:c r="D20" s="12" t="n">
        <x:f>D15-'Income Statement'!D50</x:f>
        <x:v>0</x:v>
      </x:c>
      <x:c r="E20" s="12" t="n">
        <x:f>E15-'Income Statement'!E50</x:f>
        <x:v>0</x:v>
      </x:c>
      <x:c r="F20" s="12" t="n">
        <x:f>F15-'Income Statement'!F50</x:f>
        <x:v>0</x:v>
      </x:c>
      <x:c r="G20" s="12" t="n">
        <x:f>G15-'Income Statement'!G50</x:f>
        <x:v>0</x:v>
      </x:c>
      <x:c r="H20" s="12" t="n">
        <x:f>H15-'Income Statement'!H50</x:f>
        <x:v>0</x:v>
      </x:c>
      <x:c r="I20" s="14" t="n">
        <x:f>I15-'Income Statement'!I50</x:f>
        <x:v>0</x:v>
      </x:c>
    </x:row>
    <x:row r="21">
      <x:c r="B21" s="3" t="s">
        <x:v>225</x:v>
      </x:c>
      <x:c r="C21" s="3"/>
      <x:c r="D21" s="2"/>
      <x:c r="E21" s="2"/>
      <x:c r="F21" s="2" t="n">
        <x:f>F11-E11</x:f>
        <x:v>5</x:v>
      </x:c>
      <x:c r="G21" s="2" t="n">
        <x:f>G11-F11</x:f>
        <x:v>1</x:v>
      </x:c>
      <x:c r="H21" s="2" t="n">
        <x:f>H11-G11</x:f>
        <x:v>2</x:v>
      </x:c>
      <x:c r="I21" s="7" t="n">
        <x:f>I11-H11</x:f>
        <x:v>2</x:v>
      </x:c>
    </x:row>
    <x:row r="22">
      <x:c r="B22" s="3"/>
      <x:c r="C22" s="3"/>
      <x:c r="D22" s="2"/>
      <x:c r="E22" s="2"/>
      <x:c r="F22" s="2"/>
      <x:c r="G22" s="2"/>
      <x:c r="H22" s="2"/>
      <x:c r="I22" s="7"/>
    </x:row>
    <x:row r="23">
      <x:c r="B23" s="3"/>
      <x:c r="C23" s="3"/>
      <x:c r="D23" s="2"/>
      <x:c r="E23" s="2"/>
      <x:c r="F23" s="2"/>
      <x:c r="G23" s="2"/>
      <x:c r="H23" s="2"/>
      <x:c r="I23" s="7"/>
    </x:row>
    <x:row r="24">
      <x:c r="B24" s="3"/>
      <x:c r="C24" s="3"/>
      <x:c r="D24" s="2"/>
      <x:c r="E24" s="2"/>
      <x:c r="F24" s="2"/>
      <x:c r="G24" s="2"/>
      <x:c r="H24" s="2"/>
      <x:c r="I24" s="7"/>
    </x:row>
    <x:row r="25">
      <x:c r="B25" s="3"/>
      <x:c r="C25" s="3"/>
      <x:c r="D25" s="2"/>
      <x:c r="E25" s="2"/>
      <x:c r="F25" s="2"/>
      <x:c r="G25" s="2"/>
      <x:c r="H25" s="2"/>
      <x:c r="I25" s="7"/>
    </x:row>
  </x:sheetData>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17" customWidth="1"/>
    <x:col min="3" max="3" width="13" customWidth="1"/>
    <x:col min="4" max="4" width="33" customWidth="1"/>
    <x:col min="5" max="9" width="15" customWidth="1"/>
  </x:cols>
  <x:sheetData>
    <x:row r="2">
      <x:c r="B2" s="9" t="s">
        <x:v>0</x:v>
      </x:c>
      <x:c r="C2" s="9"/>
      <x:c r="D2" s="9"/>
      <x:c r="E2" s="9"/>
      <x:c r="F2" s="9"/>
      <x:c r="G2" s="9"/>
      <x:c r="H2" s="9"/>
      <x:c r="I2" s="9"/>
    </x:row>
    <x:row r="3">
      <x:c r="B3" s="9" t="s">
        <x:v>226</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38" t="s">
        <x:v>227</x:v>
      </x:c>
      <x:c r="C10" s="38" t="s">
        <x:v>228</x:v>
      </x:c>
      <x:c r="D10" s="46" t="s">
        <x:v>229</x:v>
      </x:c>
      <x:c r="E10" s="67" t="s">
        <x:v>230</x:v>
      </x:c>
      <x:c r="F10" s="67" t="s">
        <x:v>231</x:v>
      </x:c>
      <x:c r="G10" s="67" t="s">
        <x:v>232</x:v>
      </x:c>
      <x:c r="H10" s="67" t="s">
        <x:v>233</x:v>
      </x:c>
      <x:c r="I10" s="67" t="s">
        <x:v>234</x:v>
      </x:c>
    </x:row>
    <x:row r="11">
      <x:c r="B11" s="34">
        <x:v>45923</x:v>
      </x:c>
      <x:c r="C11" s="3" t="s">
        <x:v>6</x:v>
      </x:c>
      <x:c r="D11" s="2" t="s">
        <x:v>111</x:v>
      </x:c>
      <x:c r="E11" s="6">
        <x:v>12200</x:v>
      </x:c>
      <x:c r="F11" s="6">
        <x:v>12800</x:v>
      </x:c>
      <x:c r="G11" s="2" t="n">
        <x:f>(E11+F11)/2</x:f>
        <x:v>12500</x:v>
      </x:c>
      <x:c r="H11" s="12" t="n">
        <x:f>'Revenue summary'!F46</x:f>
        <x:v>13643</x:v>
      </x:c>
      <x:c r="I11" s="66" t="str">
        <x:f>IF(H11&gt;G11,"beat",IF(H11&lt;G11,"miss","in line"))</x:f>
        <x:v>beat</x:v>
      </x:c>
    </x:row>
    <x:row r="12">
      <x:c r="B12" s="34">
        <x:v>45923</x:v>
      </x:c>
      <x:c r="C12" s="3" t="s">
        <x:v>6</x:v>
      </x:c>
      <x:c r="D12" s="2" t="s">
        <x:v>235</x:v>
      </x:c>
      <x:c r="E12" s="37">
        <x:v>0.495</x:v>
      </x:c>
      <x:c r="F12" s="37">
        <x:v>0.515</x:v>
      </x:c>
      <x:c r="G12" s="40" t="n">
        <x:f>(E12+F12)/2</x:f>
        <x:v>0.505</x:v>
      </x:c>
      <x:c r="H12" s="50" t="n">
        <x:f>'Income Statement'!F16</x:f>
        <x:v>0.5604339221578831</x:v>
      </x:c>
      <x:c r="I12" s="66" t="str">
        <x:f>IF(H12&gt;G12,"beat",IF(H12&lt;G12,"miss","in line"))</x:f>
        <x:v>beat</x:v>
      </x:c>
    </x:row>
    <x:row r="13">
      <x:c r="B13" s="34">
        <x:v>45923</x:v>
      </x:c>
      <x:c r="C13" s="3" t="s">
        <x:v>6</x:v>
      </x:c>
      <x:c r="D13" s="2" t="s">
        <x:v>236</x:v>
      </x:c>
      <x:c r="E13" s="37">
        <x:v>0.505</x:v>
      </x:c>
      <x:c r="F13" s="37">
        <x:v>0.525</x:v>
      </x:c>
      <x:c r="G13" s="40" t="n">
        <x:f>(E13+F13)/2</x:f>
        <x:v>0.515</x:v>
      </x:c>
      <x:c r="H13" s="37">
        <x:v>0.568</x:v>
      </x:c>
      <x:c r="I13" s="66" t="str">
        <x:f>IF(H13&gt;G13,"beat",IF(H13&lt;G13,"miss","in line"))</x:f>
        <x:v>beat</x:v>
      </x:c>
    </x:row>
    <x:row r="14">
      <x:c r="B14" s="34">
        <x:v>45923</x:v>
      </x:c>
      <x:c r="C14" s="3" t="s">
        <x:v>6</x:v>
      </x:c>
      <x:c r="D14" s="2" t="s">
        <x:v>237</x:v>
      </x:c>
      <x:c r="E14" s="6">
        <x:v>1470</x:v>
      </x:c>
      <x:c r="F14" s="6">
        <x:v>1510</x:v>
      </x:c>
      <x:c r="G14" s="2" t="n">
        <x:f>(E14+F14)/2</x:f>
        <x:v>1490</x:v>
      </x:c>
      <x:c r="H14" s="12" t="n">
        <x:f>'Income Statement'!F22</x:f>
        <x:v>1510</x:v>
      </x:c>
      <x:c r="I14" s="66" t="str">
        <x:f>IF(H14&lt;G14,"beat",IF(H14&gt;G14,"miss","in line"))</x:f>
        <x:v>miss</x:v>
      </x:c>
    </x:row>
    <x:row r="15">
      <x:c r="B15" s="34">
        <x:v>45923</x:v>
      </x:c>
      <x:c r="C15" s="3" t="s">
        <x:v>6</x:v>
      </x:c>
      <x:c r="D15" s="2" t="s">
        <x:v>238</x:v>
      </x:c>
      <x:c r="E15" s="6">
        <x:v>1320</x:v>
      </x:c>
      <x:c r="F15" s="6">
        <x:v>1360</x:v>
      </x:c>
      <x:c r="G15" s="2" t="n">
        <x:f>(E15+F15)/2</x:f>
        <x:v>1340</x:v>
      </x:c>
      <x:c r="H15" s="6">
        <x:v>1334</x:v>
      </x:c>
      <x:c r="I15" s="66" t="str">
        <x:f>IF(H15&lt;G15,"beat",IF(H15&gt;G15,"miss","in line"))</x:f>
        <x:v>beat</x:v>
      </x:c>
    </x:row>
    <x:row r="16">
      <x:c r="B16" s="34">
        <x:v>45923</x:v>
      </x:c>
      <x:c r="C16" s="3" t="s">
        <x:v>6</x:v>
      </x:c>
      <x:c r="D16" s="2" t="s">
        <x:v>130</x:v>
      </x:c>
      <x:c r="E16" s="39">
        <x:v>3.41</x:v>
      </x:c>
      <x:c r="F16" s="39">
        <x:v>3.71</x:v>
      </x:c>
      <x:c r="G16" s="21" t="n">
        <x:f>(E16+F16)/2</x:f>
        <x:v>3.56</x:v>
      </x:c>
      <x:c r="H16" s="17" t="n">
        <x:f>'Income Statement'!F37</x:f>
        <x:v>4.6045694200351495</x:v>
      </x:c>
      <x:c r="I16" s="66" t="str">
        <x:f>IF(H16&gt;G16,"beat",IF(H16&lt;G16,"miss","in line"))</x:f>
        <x:v>beat</x:v>
      </x:c>
    </x:row>
    <x:row r="17">
      <x:c r="B17" s="34">
        <x:v>45923</x:v>
      </x:c>
      <x:c r="C17" s="3" t="s">
        <x:v>6</x:v>
      </x:c>
      <x:c r="D17" s="2" t="s">
        <x:v>144</x:v>
      </x:c>
      <x:c r="E17" s="39">
        <x:v>3.6</x:v>
      </x:c>
      <x:c r="F17" s="39">
        <x:v>3.9</x:v>
      </x:c>
      <x:c r="G17" s="21" t="n">
        <x:f>(E17+F17)/2</x:f>
        <x:v>3.75</x:v>
      </x:c>
      <x:c r="H17" s="17" t="n">
        <x:f>'Income Statement'!F51</x:f>
        <x:v>4.775261324041812</x:v>
      </x:c>
      <x:c r="I17" s="66" t="str">
        <x:f>IF(H17&gt;G17,"beat",IF(H17&lt;G17,"miss","in line"))</x:f>
        <x:v>beat</x:v>
      </x:c>
    </x:row>
    <x:row r="18">
      <x:c r="B18" s="34">
        <x:v>46008</x:v>
      </x:c>
      <x:c r="C18" s="3" t="s">
        <x:v>7</x:v>
      </x:c>
      <x:c r="D18" s="2" t="s">
        <x:v>111</x:v>
      </x:c>
      <x:c r="E18" s="6">
        <x:v>18300</x:v>
      </x:c>
      <x:c r="F18" s="6">
        <x:v>19100</x:v>
      </x:c>
      <x:c r="G18" s="2" t="n">
        <x:f>(E18+F18)/2</x:f>
        <x:v>18700</x:v>
      </x:c>
      <x:c r="H18" s="12" t="n">
        <x:f>'Revenue summary'!G46</x:f>
        <x:v>23860</x:v>
      </x:c>
      <x:c r="I18" s="66" t="str">
        <x:f>IF(H18&gt;G18,"beat",IF(H18&lt;G18,"miss","in line"))</x:f>
        <x:v>beat</x:v>
      </x:c>
    </x:row>
    <x:row r="19">
      <x:c r="B19" s="34">
        <x:v>46008</x:v>
      </x:c>
      <x:c r="C19" s="3" t="s">
        <x:v>7</x:v>
      </x:c>
      <x:c r="D19" s="2" t="s">
        <x:v>235</x:v>
      </x:c>
      <x:c r="E19" s="37">
        <x:v>0.66</x:v>
      </x:c>
      <x:c r="F19" s="37">
        <x:v>0.68</x:v>
      </x:c>
      <x:c r="G19" s="40" t="n">
        <x:f>(E19+F19)/2</x:f>
        <x:v>0.67</x:v>
      </x:c>
      <x:c r="H19" s="50" t="n">
        <x:f>'Income Statement'!G16</x:f>
        <x:v>0.7441324392288349</x:v>
      </x:c>
      <x:c r="I19" s="66" t="str">
        <x:f>IF(H19&gt;G19,"beat",IF(H19&lt;G19,"miss","in line"))</x:f>
        <x:v>beat</x:v>
      </x:c>
    </x:row>
    <x:row r="20">
      <x:c r="B20" s="34">
        <x:v>46008</x:v>
      </x:c>
      <x:c r="C20" s="3" t="s">
        <x:v>7</x:v>
      </x:c>
      <x:c r="D20" s="2" t="s">
        <x:v>236</x:v>
      </x:c>
      <x:c r="E20" s="37">
        <x:v>0.67</x:v>
      </x:c>
      <x:c r="F20" s="37">
        <x:v>0.6900000000000001</x:v>
      </x:c>
      <x:c r="G20" s="40" t="n">
        <x:f>(E20+F20)/2</x:f>
        <x:v>0.68</x:v>
      </x:c>
      <x:c r="H20" s="37">
        <x:v>0.749</x:v>
      </x:c>
      <x:c r="I20" s="66" t="str">
        <x:f>IF(H20&gt;G20,"beat",IF(H20&lt;G20,"miss","in line"))</x:f>
        <x:v>beat</x:v>
      </x:c>
    </x:row>
    <x:row r="21">
      <x:c r="B21" s="34">
        <x:v>46008</x:v>
      </x:c>
      <x:c r="C21" s="3" t="s">
        <x:v>7</x:v>
      </x:c>
      <x:c r="D21" s="2" t="s">
        <x:v>237</x:v>
      </x:c>
      <x:c r="E21" s="6">
        <x:v>1540</x:v>
      </x:c>
      <x:c r="F21" s="6">
        <x:v>1580</x:v>
      </x:c>
      <x:c r="G21" s="2" t="n">
        <x:f>(E21+F21)/2</x:f>
        <x:v>1560</x:v>
      </x:c>
      <x:c r="H21" s="12" t="n">
        <x:f>'Income Statement'!G22</x:f>
        <x:v>1620</x:v>
      </x:c>
      <x:c r="I21" s="66" t="str">
        <x:f>IF(H21&lt;G21,"beat",IF(H21&gt;G21,"miss","in line"))</x:f>
        <x:v>miss</x:v>
      </x:c>
    </x:row>
    <x:row r="22">
      <x:c r="B22" s="34">
        <x:v>46008</x:v>
      </x:c>
      <x:c r="C22" s="3" t="s">
        <x:v>7</x:v>
      </x:c>
      <x:c r="D22" s="2" t="s">
        <x:v>238</x:v>
      </x:c>
      <x:c r="E22" s="6">
        <x:v>1360</x:v>
      </x:c>
      <x:c r="F22" s="6">
        <x:v>1400</x:v>
      </x:c>
      <x:c r="G22" s="2" t="n">
        <x:f>(E22+F22)/2</x:f>
        <x:v>1380</x:v>
      </x:c>
      <x:c r="H22" s="6">
        <x:v>1421</x:v>
      </x:c>
      <x:c r="I22" s="66" t="str">
        <x:f>IF(H22&lt;G22,"beat",IF(H22&gt;G22,"miss","in line"))</x:f>
        <x:v>miss</x:v>
      </x:c>
    </x:row>
    <x:row r="23">
      <x:c r="B23" s="34">
        <x:v>46008</x:v>
      </x:c>
      <x:c r="C23" s="3" t="s">
        <x:v>7</x:v>
      </x:c>
      <x:c r="D23" s="2" t="s">
        <x:v>130</x:v>
      </x:c>
      <x:c r="E23" s="39">
        <x:v>7.989999999999999</x:v>
      </x:c>
      <x:c r="F23" s="39">
        <x:v>8.389999999999999</x:v>
      </x:c>
      <x:c r="G23" s="21" t="n">
        <x:f>(E23+F23)/2</x:f>
        <x:v>8.19</x:v>
      </x:c>
      <x:c r="H23" s="17" t="n">
        <x:f>'Income Statement'!G37</x:f>
        <x:v>12.07092819614711</x:v>
      </x:c>
      <x:c r="I23" s="66" t="str">
        <x:f>IF(H23&gt;G23,"beat",IF(H23&lt;G23,"miss","in line"))</x:f>
        <x:v>beat</x:v>
      </x:c>
    </x:row>
    <x:row r="24">
      <x:c r="B24" s="34">
        <x:v>46008</x:v>
      </x:c>
      <x:c r="C24" s="3" t="s">
        <x:v>7</x:v>
      </x:c>
      <x:c r="D24" s="2" t="s">
        <x:v>144</x:v>
      </x:c>
      <x:c r="E24" s="39">
        <x:v>8.22</x:v>
      </x:c>
      <x:c r="F24" s="39">
        <x:v>8.62</x:v>
      </x:c>
      <x:c r="G24" s="21" t="n">
        <x:f>(E24+F24)/2</x:f>
        <x:v>8.42</x:v>
      </x:c>
      <x:c r="H24" s="17" t="n">
        <x:f>'Income Statement'!G51</x:f>
        <x:v>12.202785030461271</x:v>
      </x:c>
      <x:c r="I24" s="66" t="str">
        <x:f>IF(H24&gt;G24,"beat",IF(H24&lt;G24,"miss","in line"))</x:f>
        <x:v>beat</x:v>
      </x:c>
    </x:row>
    <x:row r="25">
      <x:c r="B25" s="34">
        <x:v>46099</x:v>
      </x:c>
      <x:c r="C25" s="3" t="s">
        <x:v>8</x:v>
      </x:c>
      <x:c r="D25" s="2" t="s">
        <x:v>111</x:v>
      </x:c>
      <x:c r="E25" s="6">
        <x:v>32750</x:v>
      </x:c>
      <x:c r="F25" s="6">
        <x:v>34250</x:v>
      </x:c>
      <x:c r="G25" s="2" t="n">
        <x:f>(E25+F25)/2</x:f>
        <x:v>33500</x:v>
      </x:c>
      <x:c r="H25" s="12" t="n">
        <x:f>'Revenue summary'!H46</x:f>
        <x:v>41456</x:v>
      </x:c>
      <x:c r="I25" s="66" t="str">
        <x:f>IF(H25&gt;G25,"beat",IF(H25&lt;G25,"miss","in line"))</x:f>
        <x:v>beat</x:v>
      </x:c>
    </x:row>
    <x:row r="26">
      <x:c r="B26" s="34">
        <x:v>46099</x:v>
      </x:c>
      <x:c r="C26" s="3" t="s">
        <x:v>8</x:v>
      </x:c>
      <x:c r="D26" s="2" t="s">
        <x:v>235</x:v>
      </x:c>
      <x:c r="E26" s="37">
        <x:v>0.81</x:v>
      </x:c>
      <x:c r="F26" s="37">
        <x:v>0.81</x:v>
      </x:c>
      <x:c r="G26" s="40" t="n">
        <x:f>(E26+F26)/2</x:f>
        <x:v>0.81</x:v>
      </x:c>
      <x:c r="H26" s="50" t="n">
        <x:f>'Income Statement'!H16</x:f>
        <x:v>0.8456194519490544</x:v>
      </x:c>
      <x:c r="I26" s="66" t="str">
        <x:f>IF(H26&gt;G26,"beat",IF(H26&lt;G26,"miss","in line"))</x:f>
        <x:v>beat</x:v>
      </x:c>
    </x:row>
    <x:row r="27">
      <x:c r="B27" s="34">
        <x:v>46099</x:v>
      </x:c>
      <x:c r="C27" s="3" t="s">
        <x:v>8</x:v>
      </x:c>
      <x:c r="D27" s="2" t="s">
        <x:v>236</x:v>
      </x:c>
      <x:c r="E27" s="37">
        <x:v>0.81</x:v>
      </x:c>
      <x:c r="F27" s="37">
        <x:v>0.81</x:v>
      </x:c>
      <x:c r="G27" s="40" t="n">
        <x:f>(E27+F27)/2</x:f>
        <x:v>0.81</x:v>
      </x:c>
      <x:c r="H27" s="37">
        <x:v>0.849</x:v>
      </x:c>
      <x:c r="I27" s="66" t="str">
        <x:f>IF(H27&gt;G27,"beat",IF(H27&lt;G27,"miss","in line"))</x:f>
        <x:v>beat</x:v>
      </x:c>
    </x:row>
    <x:row r="28">
      <x:c r="B28" s="34">
        <x:v>46099</x:v>
      </x:c>
      <x:c r="C28" s="3" t="s">
        <x:v>8</x:v>
      </x:c>
      <x:c r="D28" s="2" t="s">
        <x:v>237</x:v>
      </x:c>
      <x:c r="E28" s="6">
        <x:v>1600</x:v>
      </x:c>
      <x:c r="F28" s="6">
        <x:v>1600</x:v>
      </x:c>
      <x:c r="G28" s="2" t="n">
        <x:f>(E28+F28)/2</x:f>
        <x:v>1600</x:v>
      </x:c>
      <x:c r="H28" s="12" t="n">
        <x:f>'Income Statement'!H22</x:f>
        <x:v>1738</x:v>
      </x:c>
      <x:c r="I28" s="66" t="str">
        <x:f>IF(H28&lt;G28,"beat",IF(H28&gt;G28,"miss","in line"))</x:f>
        <x:v>miss</x:v>
      </x:c>
    </x:row>
    <x:row r="29">
      <x:c r="B29" s="34">
        <x:v>46099</x:v>
      </x:c>
      <x:c r="C29" s="3" t="s">
        <x:v>8</x:v>
      </x:c>
      <x:c r="D29" s="2" t="s">
        <x:v>238</x:v>
      </x:c>
      <x:c r="E29" s="6">
        <x:v>1400</x:v>
      </x:c>
      <x:c r="F29" s="6">
        <x:v>1400</x:v>
      </x:c>
      <x:c r="G29" s="2" t="n">
        <x:f>(E29+F29)/2</x:f>
        <x:v>1400</x:v>
      </x:c>
      <x:c r="H29" s="6">
        <x:v>1518</x:v>
      </x:c>
      <x:c r="I29" s="66" t="str">
        <x:f>IF(H29&lt;G29,"beat",IF(H29&gt;G29,"miss","in line"))</x:f>
        <x:v>miss</x:v>
      </x:c>
    </x:row>
    <x:row r="30">
      <x:c r="B30" s="34">
        <x:v>46099</x:v>
      </x:c>
      <x:c r="C30" s="3" t="s">
        <x:v>8</x:v>
      </x:c>
      <x:c r="D30" s="2" t="s">
        <x:v>130</x:v>
      </x:c>
      <x:c r="E30" s="39">
        <x:v>18.5</x:v>
      </x:c>
      <x:c r="F30" s="39">
        <x:v>19.299999999999997</x:v>
      </x:c>
      <x:c r="G30" s="21" t="n">
        <x:f>(E30+F30)/2</x:f>
        <x:v>18.9</x:v>
      </x:c>
      <x:c r="H30" s="17" t="n">
        <x:f>'Income Statement'!H37</x:f>
        <x:v>24.66637554585153</x:v>
      </x:c>
      <x:c r="I30" s="66" t="str">
        <x:f>IF(H30&gt;G30,"beat",IF(H30&lt;G30,"miss","in line"))</x:f>
        <x:v>beat</x:v>
      </x:c>
    </x:row>
    <x:row r="31">
      <x:c r="B31" s="34">
        <x:v>46099</x:v>
      </x:c>
      <x:c r="C31" s="3" t="s">
        <x:v>8</x:v>
      </x:c>
      <x:c r="D31" s="2" t="s">
        <x:v>144</x:v>
      </x:c>
      <x:c r="E31" s="39">
        <x:v>18.75</x:v>
      </x:c>
      <x:c r="F31" s="39">
        <x:v>19.549999999999997</x:v>
      </x:c>
      <x:c r="G31" s="21" t="n">
        <x:f>(E31+F31)/2</x:f>
        <x:v>19.15</x:v>
      </x:c>
      <x:c r="H31" s="17" t="n">
        <x:f>'Income Statement'!H51</x:f>
        <x:v>25.114882506527415</x:v>
      </x:c>
      <x:c r="I31" s="66" t="str">
        <x:f>IF(H31&gt;G31,"beat",IF(H31&lt;G31,"miss","in line"))</x:f>
        <x:v>beat</x:v>
      </x:c>
    </x:row>
    <x:row r="32">
      <x:c r="B32" s="34">
        <x:v>46197</x:v>
      </x:c>
      <x:c r="C32" s="3" t="s">
        <x:v>9</x:v>
      </x:c>
      <x:c r="D32" s="2" t="s">
        <x:v>111</x:v>
      </x:c>
      <x:c r="E32" s="12" t="n">
        <x:f>Inputs!C54</x:f>
        <x:v>49000</x:v>
      </x:c>
      <x:c r="F32" s="12" t="n">
        <x:f>Inputs!C55</x:f>
        <x:v>51000</x:v>
      </x:c>
      <x:c r="G32" s="2" t="n">
        <x:f>(E32+F32)/2</x:f>
        <x:v>50000</x:v>
      </x:c>
      <x:c r="H32" s="62" t="s">
        <x:v>30</x:v>
      </x:c>
      <x:c r="I32" s="66" t="s">
        <x:v>30</x:v>
      </x:c>
    </x:row>
    <x:row r="33">
      <x:c r="B33" s="34">
        <x:v>46197</x:v>
      </x:c>
      <x:c r="C33" s="3" t="s">
        <x:v>9</x:v>
      </x:c>
      <x:c r="D33" s="2" t="s">
        <x:v>235</x:v>
      </x:c>
      <x:c r="E33" s="37">
        <x:v>0.86</x:v>
      </x:c>
      <x:c r="F33" s="37">
        <x:v>0.86</x:v>
      </x:c>
      <x:c r="G33" s="40" t="n">
        <x:f>(E33+F33)/2</x:f>
        <x:v>0.86</x:v>
      </x:c>
      <x:c r="H33" s="68" t="s">
        <x:v>30</x:v>
      </x:c>
      <x:c r="I33" s="66" t="s">
        <x:v>30</x:v>
      </x:c>
    </x:row>
    <x:row r="34">
      <x:c r="B34" s="34">
        <x:v>46197</x:v>
      </x:c>
      <x:c r="C34" s="3" t="s">
        <x:v>9</x:v>
      </x:c>
      <x:c r="D34" s="2" t="s">
        <x:v>236</x:v>
      </x:c>
      <x:c r="E34" s="37">
        <x:v>0.86</x:v>
      </x:c>
      <x:c r="F34" s="37">
        <x:v>0.86</x:v>
      </x:c>
      <x:c r="G34" s="40" t="n">
        <x:f>(E34+F34)/2</x:f>
        <x:v>0.86</x:v>
      </x:c>
      <x:c r="H34" s="68" t="s">
        <x:v>30</x:v>
      </x:c>
      <x:c r="I34" s="66" t="s">
        <x:v>30</x:v>
      </x:c>
    </x:row>
    <x:row r="35">
      <x:c r="B35" s="34">
        <x:v>46197</x:v>
      </x:c>
      <x:c r="C35" s="3" t="s">
        <x:v>9</x:v>
      </x:c>
      <x:c r="D35" s="2" t="s">
        <x:v>237</x:v>
      </x:c>
      <x:c r="E35" s="6">
        <x:v>1860</x:v>
      </x:c>
      <x:c r="F35" s="6">
        <x:v>1860</x:v>
      </x:c>
      <x:c r="G35" s="2" t="n">
        <x:f>(E35+F35)/2</x:f>
        <x:v>1860</x:v>
      </x:c>
      <x:c r="H35" s="62" t="s">
        <x:v>30</x:v>
      </x:c>
      <x:c r="I35" s="66" t="s">
        <x:v>30</x:v>
      </x:c>
    </x:row>
    <x:row r="36">
      <x:c r="B36" s="34">
        <x:v>46197</x:v>
      </x:c>
      <x:c r="C36" s="3" t="s">
        <x:v>9</x:v>
      </x:c>
      <x:c r="D36" s="2" t="s">
        <x:v>238</x:v>
      </x:c>
      <x:c r="E36" s="6">
        <x:v>1650</x:v>
      </x:c>
      <x:c r="F36" s="6">
        <x:v>1650</x:v>
      </x:c>
      <x:c r="G36" s="2" t="n">
        <x:f>(E36+F36)/2</x:f>
        <x:v>1650</x:v>
      </x:c>
      <x:c r="H36" s="62" t="s">
        <x:v>30</x:v>
      </x:c>
      <x:c r="I36" s="66" t="s">
        <x:v>30</x:v>
      </x:c>
    </x:row>
    <x:row r="37">
      <x:c r="B37" s="34">
        <x:v>46197</x:v>
      </x:c>
      <x:c r="C37" s="3" t="s">
        <x:v>9</x:v>
      </x:c>
      <x:c r="D37" s="2" t="s">
        <x:v>130</x:v>
      </x:c>
      <x:c r="E37" s="17" t="n">
        <x:f>Inputs!C46</x:f>
        <x:v>29.73</x:v>
      </x:c>
      <x:c r="F37" s="17" t="n">
        <x:f>Inputs!C47</x:f>
        <x:v>31.73</x:v>
      </x:c>
      <x:c r="G37" s="21" t="n">
        <x:f>(E37+F37)/2</x:f>
        <x:v>30.73</x:v>
      </x:c>
      <x:c r="H37" s="69" t="s">
        <x:v>30</x:v>
      </x:c>
      <x:c r="I37" s="66" t="s">
        <x:v>30</x:v>
      </x:c>
    </x:row>
    <x:row r="38">
      <x:c r="B38" s="34">
        <x:v>46197</x:v>
      </x:c>
      <x:c r="C38" s="3" t="s">
        <x:v>9</x:v>
      </x:c>
      <x:c r="D38" s="2" t="s">
        <x:v>144</x:v>
      </x:c>
      <x:c r="E38" s="17" t="n">
        <x:f>Inputs!C38</x:f>
        <x:v>30</x:v>
      </x:c>
      <x:c r="F38" s="17" t="n">
        <x:f>Inputs!C39</x:f>
        <x:v>32</x:v>
      </x:c>
      <x:c r="G38" s="21" t="n">
        <x:f>(E38+F38)/2</x:f>
        <x:v>31</x:v>
      </x:c>
      <x:c r="H38" s="69" t="s">
        <x:v>30</x:v>
      </x:c>
      <x:c r="I38" s="66" t="s">
        <x:v>30</x:v>
      </x:c>
    </x:row>
    <x:row r="39">
      <x:c r="B39" s="3"/>
      <x:c r="C39" s="3"/>
      <x:c r="D39" s="2"/>
      <x:c r="E39" s="2"/>
      <x:c r="F39" s="2"/>
      <x:c r="G39" s="2"/>
      <x:c r="H39" s="2"/>
      <x:c r="I39" s="7"/>
    </x:row>
  </x:sheetData>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65" hidden="0" customWidth="1"/>
    <x:col min="3" max="3" width="16" customWidth="1"/>
    <x:col min="4" max="4" width="20" customWidth="1"/>
    <x:col min="5" max="5" width="57" customWidth="1"/>
    <x:col min="6" max="6" width="43" customWidth="1"/>
    <x:col min="7" max="7" width="65" hidden="0" customWidth="1"/>
    <x:col min="8" max="9" width="13" customWidth="1"/>
  </x:cols>
  <x:sheetData>
    <x:row r="2">
      <x:c r="B2" s="9" t="s">
        <x:v>0</x:v>
      </x:c>
      <x:c r="C2" s="9"/>
      <x:c r="D2" s="9"/>
      <x:c r="E2" s="9"/>
      <x:c r="F2" s="9"/>
      <x:c r="G2" s="9"/>
      <x:c r="H2" s="9"/>
      <x:c r="I2" s="9"/>
    </x:row>
    <x:row r="3">
      <x:c r="B3" s="9" t="s">
        <x:v>239</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38" t="s">
        <x:v>240</x:v>
      </x:c>
      <x:c r="C10" s="73" t="s">
        <x:v>241</x:v>
      </x:c>
      <x:c r="D10" s="46" t="s">
        <x:v>242</x:v>
      </x:c>
      <x:c r="E10" s="46" t="s">
        <x:v>243</x:v>
      </x:c>
      <x:c r="F10" s="46" t="s">
        <x:v>244</x:v>
      </x:c>
      <x:c r="G10" s="2" t="s">
        <x:v>245</x:v>
      </x:c>
      <x:c r="H10" s="2"/>
      <x:c r="I10" s="7"/>
    </x:row>
    <x:row r="11" ht="49.5">
      <x:c r="B11" s="3" t="s">
        <x:v>246</x:v>
      </x:c>
      <x:c r="C11" s="34">
        <x:v>46289</x:v>
      </x:c>
      <x:c r="D11" s="2" t="s">
        <x:v>247</x:v>
      </x:c>
      <x:c r="E11" s="32" t="s">
        <x:v>248</x:v>
      </x:c>
      <x:c r="F11" s="32" t="s">
        <x:v>249</x:v>
      </x:c>
      <x:c r="G11" s="2"/>
      <x:c r="H11" s="2"/>
      <x:c r="I11" s="7"/>
    </x:row>
    <x:row r="12" ht="49.5">
      <x:c r="B12" s="3" t="s">
        <x:v>250</x:v>
      </x:c>
      <x:c r="C12" s="34">
        <x:v>46289</x:v>
      </x:c>
      <x:c r="D12" s="2" t="s">
        <x:v>247</x:v>
      </x:c>
      <x:c r="E12" s="32" t="s">
        <x:v>251</x:v>
      </x:c>
      <x:c r="F12" s="32" t="s">
        <x:v>252</x:v>
      </x:c>
      <x:c r="G12" s="2"/>
      <x:c r="H12" s="2"/>
      <x:c r="I12" s="7"/>
    </x:row>
    <x:row r="13" ht="49.5">
      <x:c r="B13" s="3" t="s">
        <x:v>253</x:v>
      </x:c>
      <x:c r="C13" s="34">
        <x:v>45923</x:v>
      </x:c>
      <x:c r="D13" s="2" t="s">
        <x:v>254</x:v>
      </x:c>
      <x:c r="E13" s="32" t="s">
        <x:v>255</x:v>
      </x:c>
      <x:c r="F13" s="32" t="s">
        <x:v>256</x:v>
      </x:c>
      <x:c r="G13" s="2"/>
      <x:c r="H13" s="2"/>
      <x:c r="I13" s="7"/>
    </x:row>
    <x:row r="14" ht="49.5">
      <x:c r="B14" s="3" t="s">
        <x:v>257</x:v>
      </x:c>
      <x:c r="C14" s="34">
        <x:v>45926</x:v>
      </x:c>
      <x:c r="D14" s="2" t="s">
        <x:v>254</x:v>
      </x:c>
      <x:c r="E14" s="32" t="s">
        <x:v>258</x:v>
      </x:c>
      <x:c r="F14" s="32" t="s">
        <x:v>259</x:v>
      </x:c>
      <x:c r="G14" s="2"/>
      <x:c r="H14" s="2"/>
      <x:c r="I14" s="7"/>
    </x:row>
    <x:row r="15" ht="49.5">
      <x:c r="B15" s="3" t="s">
        <x:v>260</x:v>
      </x:c>
      <x:c r="C15" s="34">
        <x:v>46008</x:v>
      </x:c>
      <x:c r="D15" s="2" t="s">
        <x:v>254</x:v>
      </x:c>
      <x:c r="E15" s="32" t="s">
        <x:v>261</x:v>
      </x:c>
      <x:c r="F15" s="32" t="s">
        <x:v>262</x:v>
      </x:c>
      <x:c r="G15" s="2"/>
      <x:c r="H15" s="2"/>
      <x:c r="I15" s="7"/>
    </x:row>
    <x:row r="16" ht="49.5">
      <x:c r="B16" s="3" t="s">
        <x:v>263</x:v>
      </x:c>
      <x:c r="C16" s="34">
        <x:v>46009</x:v>
      </x:c>
      <x:c r="D16" s="2" t="s">
        <x:v>254</x:v>
      </x:c>
      <x:c r="E16" s="32" t="s">
        <x:v>264</x:v>
      </x:c>
      <x:c r="F16" s="32" t="s">
        <x:v>265</x:v>
      </x:c>
      <x:c r="G16" s="2"/>
      <x:c r="H16" s="2"/>
      <x:c r="I16" s="7"/>
    </x:row>
    <x:row r="17" ht="49.5">
      <x:c r="B17" s="3" t="s">
        <x:v>266</x:v>
      </x:c>
      <x:c r="C17" s="34">
        <x:v>46099</x:v>
      </x:c>
      <x:c r="D17" s="2" t="s">
        <x:v>254</x:v>
      </x:c>
      <x:c r="E17" s="32" t="s">
        <x:v>267</x:v>
      </x:c>
      <x:c r="F17" s="32" t="s">
        <x:v>268</x:v>
      </x:c>
      <x:c r="G17" s="2"/>
      <x:c r="H17" s="2"/>
      <x:c r="I17" s="7"/>
    </x:row>
    <x:row r="18" ht="49.5">
      <x:c r="B18" s="3" t="s">
        <x:v>269</x:v>
      </x:c>
      <x:c r="C18" s="34">
        <x:v>46100</x:v>
      </x:c>
      <x:c r="D18" s="2" t="s">
        <x:v>254</x:v>
      </x:c>
      <x:c r="E18" s="32" t="s">
        <x:v>270</x:v>
      </x:c>
      <x:c r="F18" s="32" t="s">
        <x:v>271</x:v>
      </x:c>
      <x:c r="G18" s="2"/>
      <x:c r="H18" s="2"/>
      <x:c r="I18" s="7"/>
    </x:row>
    <x:row r="19" ht="49.5">
      <x:c r="B19" s="3" t="s">
        <x:v>272</x:v>
      </x:c>
      <x:c r="C19" s="34">
        <x:v>46197</x:v>
      </x:c>
      <x:c r="D19" s="2" t="s">
        <x:v>254</x:v>
      </x:c>
      <x:c r="E19" s="32" t="s">
        <x:v>273</x:v>
      </x:c>
      <x:c r="F19" s="32" t="s">
        <x:v>274</x:v>
      </x:c>
      <x:c r="G19" s="2"/>
      <x:c r="H19" s="2"/>
      <x:c r="I19" s="7"/>
    </x:row>
    <x:row r="20" ht="49.5">
      <x:c r="B20" s="3" t="s">
        <x:v>275</x:v>
      </x:c>
      <x:c r="C20" s="34">
        <x:v>46198</x:v>
      </x:c>
      <x:c r="D20" s="2" t="s">
        <x:v>254</x:v>
      </x:c>
      <x:c r="E20" s="32" t="s">
        <x:v>276</x:v>
      </x:c>
      <x:c r="F20" s="32" t="s">
        <x:v>277</x:v>
      </x:c>
      <x:c r="G20" s="2"/>
      <x:c r="H20" s="2"/>
      <x:c r="I20" s="7"/>
    </x:row>
    <x:row r="21" ht="49.5">
      <x:c r="B21" s="3" t="s">
        <x:v>278</x:v>
      </x:c>
      <x:c r="C21" s="34">
        <x:v>45926</x:v>
      </x:c>
      <x:c r="D21" s="2" t="s">
        <x:v>254</x:v>
      </x:c>
      <x:c r="E21" s="32" t="s">
        <x:v>279</x:v>
      </x:c>
      <x:c r="F21" s="32" t="s">
        <x:v>280</x:v>
      </x:c>
      <x:c r="G21" s="2"/>
      <x:c r="H21" s="2"/>
      <x:c r="I21" s="7"/>
    </x:row>
    <x:row r="22" ht="49.5">
      <x:c r="B22" s="3" t="s">
        <x:v>281</x:v>
      </x:c>
      <x:c r="C22" s="34">
        <x:v>46260</x:v>
      </x:c>
      <x:c r="D22" s="2" t="s">
        <x:v>282</x:v>
      </x:c>
      <x:c r="E22" s="32" t="s">
        <x:v>283</x:v>
      </x:c>
      <x:c r="F22" s="32" t="s">
        <x:v>284</x:v>
      </x:c>
      <x:c r="G22" s="2"/>
      <x:c r="H22" s="2"/>
      <x:c r="I22" s="7"/>
    </x:row>
    <x:row r="23" ht="49.5">
      <x:c r="B23" s="3" t="s">
        <x:v>285</x:v>
      </x:c>
      <x:c r="C23" s="34">
        <x:v>46291</x:v>
      </x:c>
      <x:c r="D23" s="2" t="s">
        <x:v>286</x:v>
      </x:c>
      <x:c r="E23" s="32" t="s">
        <x:v>287</x:v>
      </x:c>
      <x:c r="F23" s="32" t="s">
        <x:v>288</x:v>
      </x:c>
      <x:c r="G23" s="2"/>
      <x:c r="H23" s="2"/>
      <x:c r="I23" s="7"/>
    </x:row>
    <x:row r="24" ht="49.5">
      <x:c r="B24" s="3" t="s">
        <x:v>289</x:v>
      </x:c>
      <x:c r="C24" s="34">
        <x:v>46281</x:v>
      </x:c>
      <x:c r="D24" s="2" t="s">
        <x:v>290</x:v>
      </x:c>
      <x:c r="E24" s="32" t="s">
        <x:v>291</x:v>
      </x:c>
      <x:c r="F24" s="32" t="s">
        <x:v>292</x:v>
      </x:c>
      <x:c r="G24" s="2"/>
      <x:c r="H24" s="2"/>
      <x:c r="I24" s="7"/>
    </x:row>
    <x:row r="25" ht="49.5">
      <x:c r="B25" s="3" t="s">
        <x:v>293</x:v>
      </x:c>
      <x:c r="C25" s="34">
        <x:v>46232</x:v>
      </x:c>
      <x:c r="D25" s="2" t="s">
        <x:v>294</x:v>
      </x:c>
      <x:c r="E25" s="32" t="s">
        <x:v>295</x:v>
      </x:c>
      <x:c r="F25" s="32" t="s">
        <x:v>296</x:v>
      </x:c>
      <x:c r="G25" s="2"/>
      <x:c r="H25" s="2"/>
      <x:c r="I25" s="7"/>
    </x:row>
    <x:row r="26" ht="49.5">
      <x:c r="B26" s="3" t="s">
        <x:v>297</x:v>
      </x:c>
      <x:c r="C26" s="34">
        <x:v>46293</x:v>
      </x:c>
      <x:c r="D26" s="2" t="s">
        <x:v>298</x:v>
      </x:c>
      <x:c r="E26" s="32" t="s">
        <x:v>299</x:v>
      </x:c>
      <x:c r="F26" s="32" t="s">
        <x:v>300</x:v>
      </x:c>
      <x:c r="G26" s="2"/>
      <x:c r="H26" s="2"/>
      <x:c r="I26" s="7"/>
    </x:row>
    <x:row r="27" ht="49.5">
      <x:c r="B27" s="3" t="s">
        <x:v>301</x:v>
      </x:c>
      <x:c r="C27" s="34">
        <x:v>46276</x:v>
      </x:c>
      <x:c r="D27" s="2" t="s">
        <x:v>302</x:v>
      </x:c>
      <x:c r="E27" s="32" t="s">
        <x:v>303</x:v>
      </x:c>
      <x:c r="F27" s="32" t="s">
        <x:v>304</x:v>
      </x:c>
      <x:c r="G27" s="2"/>
      <x:c r="H27" s="2"/>
      <x:c r="I27" s="7"/>
    </x:row>
    <x:row r="28" ht="49.5">
      <x:c r="B28" s="3" t="s">
        <x:v>305</x:v>
      </x:c>
      <x:c r="C28" s="34">
        <x:v>46294</x:v>
      </x:c>
      <x:c r="D28" s="2" t="s">
        <x:v>306</x:v>
      </x:c>
      <x:c r="E28" s="32" t="s">
        <x:v>307</x:v>
      </x:c>
      <x:c r="F28" s="32" t="s">
        <x:v>308</x:v>
      </x:c>
      <x:c r="G28" s="2"/>
      <x:c r="H28" s="2"/>
      <x:c r="I28" s="7"/>
    </x:row>
    <x:row r="29">
      <x:c r="B29" s="3"/>
      <x:c r="C29" s="3"/>
      <x:c r="D29" s="2"/>
      <x:c r="E29" s="2"/>
      <x:c r="F29" s="2"/>
      <x:c r="G29" s="2"/>
      <x:c r="H29" s="2"/>
      <x:c r="I29" s="7"/>
    </x:row>
    <x:row r="30">
      <x:c r="B30" s="3" t="s">
        <x:v>309</x:v>
      </x:c>
      <x:c r="C30" s="3"/>
      <x:c r="D30" s="2"/>
      <x:c r="E30" s="2"/>
      <x:c r="F30" s="2"/>
      <x:c r="G30" s="12" t="str">
        <x:f>Inputs!J70</x:f>
        <x:v>ccd35d98107c541b694c774102d13befc5f4462c6a9354e00f9c6654fa45d223</x:v>
      </x:c>
      <x:c r="H30" s="2"/>
      <x:c r="I30" s="7"/>
    </x:row>
    <x:row r="31">
      <x:c r="B31" s="3" t="s">
        <x:v>310</x:v>
      </x:c>
      <x:c r="C31" s="3"/>
      <x:c r="D31" s="2"/>
      <x:c r="E31" s="2"/>
      <x:c r="F31" s="2"/>
      <x:c r="G31" s="12" t="str">
        <x:f>Inputs!J71</x:f>
        <x:v>dd7ba50acc461d0c4f35159e99baa611723ccde23ba911acd968fee451c3bb46</x:v>
      </x:c>
      <x:c r="H31" s="2"/>
      <x:c r="I31" s="7"/>
    </x:row>
    <x:row r="32">
      <x:c r="B32" s="3" t="s">
        <x:v>311</x:v>
      </x:c>
      <x:c r="C32" s="34" t="n">
        <x:f>Inputs!C72</x:f>
        <x:v>46289</x:v>
      </x:c>
      <x:c r="D32" s="2"/>
      <x:c r="E32" s="2"/>
      <x:c r="F32" s="2"/>
      <x:c r="G32" s="2"/>
      <x:c r="H32" s="2"/>
      <x:c r="I32" s="7"/>
    </x:row>
    <x:row r="33">
      <x:c r="B33" s="3"/>
      <x:c r="C33" s="3"/>
      <x:c r="D33" s="2"/>
      <x:c r="E33" s="2"/>
      <x:c r="F33" s="2"/>
      <x:c r="G33" s="2"/>
      <x:c r="H33" s="2"/>
      <x:c r="I33" s="7"/>
    </x:row>
    <x:row r="34">
      <x:c r="B34" s="3" t="s">
        <x:v>312</x:v>
      </x:c>
      <x:c r="C34" s="3" t="n">
        <x:f>Inputs!C119+'Revenue summary'!E46-'Revenue summary'!D46</x:f>
        <x:v>0</x:v>
      </x:c>
      <x:c r="D34" s="2"/>
      <x:c r="E34" s="2"/>
      <x:c r="F34" s="2"/>
      <x:c r="G34" s="2"/>
      <x:c r="H34" s="2"/>
      <x:c r="I34" s="7"/>
    </x:row>
    <x:row r="35">
      <x:c r="B35" s="3" t="s">
        <x:v>313</x:v>
      </x:c>
      <x:c r="C35" s="3" t="n">
        <x:f>Inputs!C120+'Income Statement'!E14-'Income Statement'!D14</x:f>
        <x:v>0</x:v>
      </x:c>
      <x:c r="D35" s="2"/>
      <x:c r="E35" s="2"/>
      <x:c r="F35" s="2"/>
      <x:c r="G35" s="2"/>
      <x:c r="H35" s="2"/>
      <x:c r="I35" s="7"/>
    </x:row>
    <x:row r="36">
      <x:c r="B36" s="3" t="s">
        <x:v>314</x:v>
      </x:c>
      <x:c r="C36" s="3" t="n">
        <x:f>Inputs!C121+'Income Statement'!E15-'Income Statement'!D15</x:f>
        <x:v>0</x:v>
      </x:c>
      <x:c r="D36" s="2"/>
      <x:c r="E36" s="2"/>
      <x:c r="F36" s="2"/>
      <x:c r="G36" s="2"/>
      <x:c r="H36" s="2"/>
      <x:c r="I36" s="7"/>
    </x:row>
    <x:row r="37" ht="46.5">
      <x:c r="B37" s="3" t="s">
        <x:v>315</x:v>
      </x:c>
      <x:c r="C37" s="18"/>
      <x:c r="D37" s="2"/>
      <x:c r="E37" s="2"/>
      <x:c r="F37" s="2"/>
      <x:c r="G37" s="33" t="s">
        <x:v>316</x:v>
      </x:c>
      <x:c r="H37" s="2"/>
      <x:c r="I37" s="7"/>
    </x:row>
    <x:row r="38" ht="46.5">
      <x:c r="B38" s="3" t="s">
        <x:v>317</x:v>
      </x:c>
      <x:c r="C38" s="18"/>
      <x:c r="D38" s="2"/>
      <x:c r="E38" s="2"/>
      <x:c r="F38" s="2"/>
      <x:c r="G38" s="33" t="s">
        <x:v>318</x:v>
      </x:c>
      <x:c r="H38" s="2"/>
      <x:c r="I38" s="7"/>
    </x:row>
    <x:row r="39" ht="46.5">
      <x:c r="B39" s="3" t="s">
        <x:v>319</x:v>
      </x:c>
      <x:c r="C39" s="18"/>
      <x:c r="D39" s="2"/>
      <x:c r="E39" s="2"/>
      <x:c r="F39" s="2"/>
      <x:c r="G39" s="33" t="s">
        <x:v>320</x:v>
      </x:c>
      <x:c r="H39" s="2"/>
      <x:c r="I39" s="7"/>
    </x:row>
    <x:row r="40" ht="46.5">
      <x:c r="B40" s="3" t="s">
        <x:v>321</x:v>
      </x:c>
      <x:c r="C40" s="18"/>
      <x:c r="D40" s="2"/>
      <x:c r="E40" s="2"/>
      <x:c r="F40" s="2"/>
      <x:c r="G40" s="33" t="s">
        <x:v>322</x:v>
      </x:c>
      <x:c r="H40" s="2"/>
      <x:c r="I40" s="7"/>
    </x:row>
    <x:row r="41" ht="46.5">
      <x:c r="B41" s="3" t="s">
        <x:v>323</x:v>
      </x:c>
      <x:c r="C41" s="18"/>
      <x:c r="D41" s="2"/>
      <x:c r="E41" s="2"/>
      <x:c r="F41" s="2"/>
      <x:c r="G41" s="33" t="s">
        <x:v>324</x:v>
      </x:c>
      <x:c r="H41" s="2"/>
      <x:c r="I41" s="7"/>
    </x:row>
    <x:row r="42" ht="48" customHeight="1">
      <x:c r="B42" s="3" t="s">
        <x:v>325</x:v>
      </x:c>
      <x:c r="C42" s="18"/>
      <x:c r="D42" s="2"/>
      <x:c r="E42" s="2"/>
      <x:c r="F42" s="2"/>
      <x:c r="G42" s="79" t="str">
        <x:v>Other noncurrent liabilities include an implied residual after the repurchase repair. The balance-sheet tie is not independent corroboration.</x:v>
      </x:c>
      <x:c r="H42" s="2"/>
      <x:c r="I42" s="7"/>
    </x:row>
    <x:row r="43" ht="46.5">
      <x:c r="B43" t="s">
        <x:v>326</x:v>
      </x:c>
      <x:c r="C43" s="18"/>
      <x:c r="G43" s="18" t="s">
        <x:v>327</x:v>
      </x:c>
    </x:row>
    <x:row r="44" ht="46.5">
      <x:c r="B44" t="s">
        <x:v>328</x:v>
      </x:c>
      <x:c r="C44" s="18"/>
      <x:c r="G44" s="18" t="s">
        <x:v>329</x:v>
      </x:c>
    </x:row>
    <x:row r="47" ht="48" customHeight="1">
      <x:c r="B47" s="78" t="str">
        <x:v>Review limitations and retained assumptions</x:v>
      </x:c>
    </x:row>
    <x:row r="48" ht="48" customHeight="1">
      <x:c r="B48" s="78" t="str">
        <x:v>F01: OVERALL MODEL CHECK 'PASS' is driven by tautological checks. Relabel C24 as an arithmetic-consistency flag rather than an integrity check. Wire the genuine checks into it: Revenue summary D47:H47, historical CF D21:H21, rounding ties |E37:H37 - E38:H38| &lt;= 0.005 and |E51:H51 - E52:H52| &lt;= 0.005, and Sources C34:C36. Explicitly disclose the I35 plug next to the PASS.</x:v>
      </x:c>
    </x:row>
    <x:row r="49" ht="48" customHeight="1">
      <x:c r="B49" s="78" t="str">
        <x:v>F02: 4Q26E balance sheet balances only via a $1,433m liability plug; CFO is a hard input not reconciled to NI or working capital. Keep the analyst's CFO judgment, but show an explicit reconciliation row (CFO input versus NI + D&amp;A + SBC + ΔWC) and label I35/I46 as a balancing plug. Do not present I45 = 0 as a validation.</x:v>
      </x:c>
    </x:row>
    <x:row r="50" ht="48" customHeight="1">
      <x:c r="B50" s="78" t="str">
        <x:v>F03: Forecast $500m repurchase is not carried to treasury stock. Set I41 = H41 + Inputs!C118, consistent with the historical tie. Update the Sources G42 plug narrative to +$1,933m.</x:v>
      </x:c>
    </x:row>
    <x:row r="51" ht="48" customHeight="1">
      <x:c r="B51" s="78" t="str">
        <x:v>F04: Retained earnings rollforward omits recurring award tax-withholding debits evident in history. Add a forecast withholding assumption to the retained earnings rollforward, or document its exclusion. The amount is judgmental, so no patch is proposed.</x:v>
      </x:c>
    </x:row>
    <x:row r="52" ht="48" customHeight="1">
      <x:c r="B52" s="78" t="str">
        <x:v>F05: Segment forecasts apply consolidated GAAP GM to a segment basis that excludes unallocated costs; segment totals no longer reconcile to consolidated. Either apply a non-GAAP segment margin assumption or add an explicit 'unallocated / reconciling items' line so that segment operating profit sums to Income Statement I23. The margin level is judgmental, so no cell patch is proposed. Consolidated EPS is built independently on Income Statement I14.</x:v>
      </x:c>
    </x:row>
    <x:row r="53" ht="48" customHeight="1">
      <x:c r="B53" s="78" t="str">
        <x:v>F06: Forecast restructuring copies a blank prior-quarter cell (null-to-zero). Set I20 = Inputs!C123.</x:v>
      </x:c>
    </x:row>
    <x:row r="54" ht="48" customHeight="1">
      <x:c r="B54" s="78" t="str">
        <x:v>F07: 3Q26 interest expense hardcoded to 0 despite $5.7bn debt outstanding. Verify against the 3Q26 press release (S09) and reclassify between rows 26 and 27 if needed.</x:v>
      </x:c>
    </x:row>
    <x:row r="55" ht="48" customHeight="1">
      <x:c r="B55" s="78" t="str">
        <x:v>F08: Historical SBC split shown as hardcoded zeros; SBC and D&amp;A memos flat-lined in forecast. Show historical R&amp;D/SG&amp;A SBC as 'n.a.' or populate them from the issuer reconciliations. Link or annotate the CF memos consistently with the bridge and APIC.</x:v>
      </x:c>
    </x:row>
    <x:row r="56" ht="48" customHeight="1">
      <x:c r="B56" s="78" t="str">
        <x:v>F09: Beat probability: shrinkage arithmetic correct but overridden by an exact plug; cohort prior unsourced. Document the quarter-specific adjustment rationale (for example, downside evidence in S14) and the cohort prior source and bucket. Show the 87.4% posterior separately from the judgmental final 75%. Do not alter the judgment.</x:v>
      </x:c>
    </x:row>
    <x:row r="57" ht="48" customHeight="1">
      <x:c r="B57" s="78" t="str">
        <x:v>F10: Market-cap bucket and S&amp;P 500 membership evidence is third-party only. Cite S&amp;P DJI constituent evidence and the bucket thresholds used to select the prior of 0.78.</x:v>
      </x:c>
    </x:row>
    <x:row r="58" ht="48" customHeight="1">
      <x:c r="B58" s="78" t="str">
        <x:v>F11: Ambiguous change labels and Y/Y comparisons across unequal period lengths. Relabel I17 as 'Gross margin change Y/Y (bp)' and annotate the Y/Y rows with a '14-week vs 13-week' note.</x:v>
      </x:c>
    </x:row>
    <x:row r="59" ht="48" customHeight="1">
      <x:c r="B59" s="78" t="str">
        <x:v>F12: IFERROR(...,0) would silently present errors as 0% mix. Use IFERROR(...,"n.a.") or remove the IFERROR wrapper.</x:v>
      </x:c>
    </x:row>
    <x:row r="60" ht="48" customHeight="1">
      <x:c r="B60" s="78" t="str">
        <x:v>F13: Net income variances compare against vendor aggregates with different contributor sets and bases. Annotate that F17/F19 are cross-aggregate comparisons, and treat EPS as the primary comparison.</x:v>
      </x:c>
    </x:row>
    <x:row r="62" ht="48" customHeight="1">
      <x:c r="B62" s="78" t="str">
        <x:v>These review findings document limitations. Safe mechanical patches were applied. Judgmental forecast drivers remain as generated before results and are not hindsight-adjusted. The final beat probability is a judgmental estimate, not a calibrated accuracy claim or EPS multiplier.</x:v>
      </x:c>
    </x:row>
  </x:sheetData>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ColWidth="8.42578125" defaultRowHeight="15"/>
  <x:cols>
    <x:col min="1" max="1" width="3" customWidth="1"/>
    <x:col min="2" max="2" width="39" customWidth="1"/>
    <x:col min="3" max="3" width="36" customWidth="1"/>
    <x:col min="4" max="9" width="13" customWidth="1"/>
    <x:col min="10" max="10" width="69" customWidth="1"/>
  </x:cols>
  <x:sheetData>
    <x:row r="2">
      <x:c r="B2" s="9" t="s">
        <x:v>0</x:v>
      </x:c>
      <x:c r="C2" s="9"/>
      <x:c r="D2" s="9"/>
      <x:c r="E2" s="9"/>
      <x:c r="F2" s="9"/>
      <x:c r="G2" s="9"/>
      <x:c r="H2" s="9"/>
      <x:c r="I2" s="9"/>
    </x:row>
    <x:row r="3">
      <x:c r="B3" s="9" t="s">
        <x:v>330</x:v>
      </x:c>
      <x:c r="C3" s="9"/>
      <x:c r="D3" s="9"/>
      <x:c r="E3" s="9"/>
      <x:c r="F3" s="9"/>
      <x:c r="G3" s="9"/>
      <x:c r="H3" s="9"/>
      <x:c r="I3" s="9"/>
    </x:row>
    <x:row r="4">
      <x:c r="B4" s="3" t="s">
        <x:v>2</x:v>
      </x:c>
      <x:c r="C4" s="3"/>
      <x:c r="D4" s="3"/>
      <x:c r="E4" s="3"/>
      <x:c r="F4" s="3"/>
      <x:c r="G4" s="3"/>
      <x:c r="H4" s="3"/>
      <x:c r="I4" s="3"/>
    </x:row>
    <x:row r="5">
      <x:c r="B5" s="3"/>
      <x:c r="C5" s="3"/>
      <x:c r="D5" s="3"/>
      <x:c r="E5" s="3"/>
      <x:c r="F5" s="3"/>
      <x:c r="G5" s="3"/>
      <x:c r="H5" s="3"/>
      <x:c r="I5" s="3"/>
    </x:row>
    <x:row r="6">
      <x:c r="B6" s="11" t="s">
        <x:v>3</x:v>
      </x:c>
      <x:c r="C6" s="11"/>
      <x:c r="D6" s="58" t="s">
        <x:v>4</x:v>
      </x:c>
      <x:c r="E6" s="58" t="s">
        <x:v>5</x:v>
      </x:c>
      <x:c r="F6" s="58" t="s">
        <x:v>6</x:v>
      </x:c>
      <x:c r="G6" s="58" t="s">
        <x:v>7</x:v>
      </x:c>
      <x:c r="H6" s="58" t="s">
        <x:v>8</x:v>
      </x:c>
      <x:c r="I6" s="59" t="s">
        <x:v>9</x:v>
      </x:c>
    </x:row>
    <x:row r="7">
      <x:c r="B7" s="11" t="s">
        <x:v>10</x:v>
      </x:c>
      <x:c r="C7" s="11"/>
      <x:c r="D7" s="1">
        <x:v>45897</x:v>
      </x:c>
      <x:c r="E7" s="1">
        <x:v>45897</x:v>
      </x:c>
      <x:c r="F7" s="1">
        <x:v>45988</x:v>
      </x:c>
      <x:c r="G7" s="1">
        <x:v>46079</x:v>
      </x:c>
      <x:c r="H7" s="1">
        <x:v>46170</x:v>
      </x:c>
      <x:c r="I7" s="31">
        <x:v>46268</x:v>
      </x:c>
    </x:row>
    <x:row r="8">
      <x:c r="B8" s="11" t="s">
        <x:v>11</x:v>
      </x:c>
      <x:c r="C8" s="11"/>
      <x:c r="D8" s="11">
        <x:v>364</x:v>
      </x:c>
      <x:c r="E8" s="11">
        <x:v>91</x:v>
      </x:c>
      <x:c r="F8" s="11">
        <x:v>91</x:v>
      </x:c>
      <x:c r="G8" s="11">
        <x:v>91</x:v>
      </x:c>
      <x:c r="H8" s="11">
        <x:v>91</x:v>
      </x:c>
      <x:c r="I8" s="8">
        <x:v>98</x:v>
      </x:c>
    </x:row>
    <x:row r="9">
      <x:c r="B9" s="3"/>
      <x:c r="C9" s="3"/>
      <x:c r="D9" s="2"/>
      <x:c r="E9" s="2"/>
      <x:c r="F9" s="2"/>
      <x:c r="G9" s="2"/>
      <x:c r="H9" s="2"/>
      <x:c r="I9" s="7"/>
    </x:row>
    <x:row r="10">
      <x:c r="B10" s="3" t="s">
        <x:v>331</x:v>
      </x:c>
      <x:c r="C10" s="3"/>
      <x:c r="D10" s="2"/>
      <x:c r="E10" s="2"/>
      <x:c r="F10" s="2"/>
      <x:c r="G10" s="2"/>
      <x:c r="H10" s="2"/>
      <x:c r="I10" s="7"/>
    </x:row>
    <x:row r="11" ht="37.5">
      <x:c r="B11" s="74" t="s">
        <x:v>332</x:v>
      </x:c>
      <x:c r="C11" s="74" t="s">
        <x:v>333</x:v>
      </x:c>
      <x:c r="D11" s="75" t="s">
        <x:v>334</x:v>
      </x:c>
      <x:c r="E11" s="75" t="s">
        <x:v>335</x:v>
      </x:c>
      <x:c r="F11" s="75" t="s">
        <x:v>336</x:v>
      </x:c>
      <x:c r="G11" s="75" t="s">
        <x:v>337</x:v>
      </x:c>
      <x:c r="H11" s="75" t="s">
        <x:v>338</x:v>
      </x:c>
      <x:c r="I11" s="76" t="s">
        <x:v>339</x:v>
      </x:c>
    </x:row>
    <x:row r="12">
      <x:c r="B12" s="34">
        <x:v>45716</x:v>
      </x:c>
      <x:c r="C12" s="44">
        <x:v>1.42</x:v>
      </x:c>
      <x:c r="D12" s="80">
        <x:v>1.56</x:v>
      </x:c>
      <x:c r="E12" s="80">
        <x:v>1.27</x:v>
      </x:c>
      <x:c r="F12" s="80">
        <x:v>1.41</x:v>
      </x:c>
      <x:c r="G12" s="6">
        <x:v>7889.25</x:v>
      </x:c>
      <x:c r="H12" s="6">
        <x:v>8053</x:v>
      </x:c>
      <x:c r="I12" s="81">
        <x:v>45736</x:v>
      </x:c>
    </x:row>
    <x:row r="13">
      <x:c r="B13" s="34">
        <x:v>45808</x:v>
      </x:c>
      <x:c r="C13" s="44">
        <x:v>1.59</x:v>
      </x:c>
      <x:c r="D13" s="80">
        <x:v>1.91</x:v>
      </x:c>
      <x:c r="E13" s="80">
        <x:v>1.45</x:v>
      </x:c>
      <x:c r="F13" s="80">
        <x:v>1.68</x:v>
      </x:c>
      <x:c r="G13" s="6">
        <x:v>8826.49</x:v>
      </x:c>
      <x:c r="H13" s="6">
        <x:v>9301</x:v>
      </x:c>
      <x:c r="I13" s="81">
        <x:v>45833</x:v>
      </x:c>
    </x:row>
    <x:row r="14">
      <x:c r="B14" s="34">
        <x:v>45900</x:v>
      </x:c>
      <x:c r="C14" s="44">
        <x:v>2.86</x:v>
      </x:c>
      <x:c r="D14" s="80">
        <x:v>3.03</x:v>
      </x:c>
      <x:c r="E14" s="80">
        <x:v>2.69</x:v>
      </x:c>
      <x:c r="F14" s="80">
        <x:v>2.83</x:v>
      </x:c>
      <x:c r="G14" s="6">
        <x:v>11155.18</x:v>
      </x:c>
      <x:c r="H14" s="6">
        <x:v>11315</x:v>
      </x:c>
      <x:c r="I14" s="81">
        <x:v>45923</x:v>
      </x:c>
    </x:row>
    <x:row r="15">
      <x:c r="B15" s="34">
        <x:v>45991</x:v>
      </x:c>
      <x:c r="C15" s="44">
        <x:v>3.96</x:v>
      </x:c>
      <x:c r="D15" s="80">
        <x:v>4.78</x:v>
      </x:c>
      <x:c r="E15" s="80">
        <x:v>3.87</x:v>
      </x:c>
      <x:c r="F15" s="80">
        <x:v>4.6</x:v>
      </x:c>
      <x:c r="G15" s="6">
        <x:v>12882.26</x:v>
      </x:c>
      <x:c r="H15" s="6">
        <x:v>13643</x:v>
      </x:c>
      <x:c r="I15" s="81">
        <x:v>46008</x:v>
      </x:c>
    </x:row>
    <x:row r="16">
      <x:c r="B16" s="34">
        <x:v>46081</x:v>
      </x:c>
      <x:c r="C16" s="44">
        <x:v>9.16</x:v>
      </x:c>
      <x:c r="D16" s="80">
        <x:v>12.2</x:v>
      </x:c>
      <x:c r="E16" s="80">
        <x:v>9.39</x:v>
      </x:c>
      <x:c r="F16" s="80">
        <x:v>12.07</x:v>
      </x:c>
      <x:c r="G16" s="6">
        <x:v>19755.79</x:v>
      </x:c>
      <x:c r="H16" s="6">
        <x:v>23860</x:v>
      </x:c>
      <x:c r="I16" s="81">
        <x:v>46099</x:v>
      </x:c>
    </x:row>
    <x:row r="17">
      <x:c r="B17" s="34">
        <x:v>46173</x:v>
      </x:c>
      <x:c r="C17" s="44">
        <x:v>20.69</x:v>
      </x:c>
      <x:c r="D17" s="80">
        <x:v>25.11</x:v>
      </x:c>
      <x:c r="E17" s="80">
        <x:v>21.02</x:v>
      </x:c>
      <x:c r="F17" s="80">
        <x:v>24.67</x:v>
      </x:c>
      <x:c r="G17" s="6">
        <x:v>35819.81</x:v>
      </x:c>
      <x:c r="H17" s="6">
        <x:v>41456</x:v>
      </x:c>
      <x:c r="I17" s="81">
        <x:v>46197</x:v>
      </x:c>
    </x:row>
    <x:row r="18">
      <x:c r="B18" s="3"/>
      <x:c r="C18" s="3"/>
      <x:c r="D18" s="2"/>
      <x:c r="E18" s="2"/>
      <x:c r="F18" s="2"/>
      <x:c r="G18" s="2"/>
      <x:c r="H18" s="2"/>
      <x:c r="I18" s="7"/>
    </x:row>
    <x:row r="19">
      <x:c r="B19" s="3"/>
      <x:c r="C19" s="3"/>
      <x:c r="D19" s="2"/>
      <x:c r="E19" s="2"/>
      <x:c r="F19" s="2"/>
      <x:c r="G19" s="2"/>
      <x:c r="H19" s="2"/>
      <x:c r="I19" s="7"/>
    </x:row>
    <x:row r="20">
      <x:c r="B20" s="3" t="s">
        <x:v>340</x:v>
      </x:c>
      <x:c r="C20" s="3"/>
      <x:c r="D20" s="2"/>
      <x:c r="E20" s="2"/>
      <x:c r="F20" s="2"/>
      <x:c r="G20" s="2"/>
      <x:c r="H20" s="2"/>
      <x:c r="I20" s="7"/>
    </x:row>
    <x:row r="21">
      <x:c r="B21" s="3"/>
      <x:c r="C21" s="3"/>
      <x:c r="D21" s="2"/>
      <x:c r="E21" s="2"/>
      <x:c r="F21" s="2"/>
      <x:c r="G21" s="2"/>
      <x:c r="H21" s="2"/>
      <x:c r="I21" s="7"/>
    </x:row>
    <x:row r="22">
      <x:c r="B22" s="3" t="s">
        <x:v>341</x:v>
      </x:c>
      <x:c r="C22" s="3" t="s">
        <x:v>342</x:v>
      </x:c>
      <x:c r="D22" s="2"/>
      <x:c r="E22" s="2"/>
      <x:c r="F22" s="2"/>
      <x:c r="G22" s="2"/>
      <x:c r="H22" s="2"/>
      <x:c r="I22" s="7"/>
    </x:row>
    <x:row r="23">
      <x:c r="B23" s="3" t="s">
        <x:v>343</x:v>
      </x:c>
      <x:c r="C23" s="3" t="s">
        <x:v>0</x:v>
      </x:c>
      <x:c r="D23" s="2"/>
      <x:c r="E23" s="2"/>
      <x:c r="F23" s="2"/>
      <x:c r="G23" s="2"/>
      <x:c r="H23" s="2"/>
      <x:c r="I23" s="7"/>
    </x:row>
    <x:row r="24">
      <x:c r="B24" s="3" t="s">
        <x:v>344</x:v>
      </x:c>
      <x:c r="C24" s="3" t="s">
        <x:v>345</x:v>
      </x:c>
      <x:c r="D24" s="2"/>
      <x:c r="E24" s="2"/>
      <x:c r="F24" s="2"/>
      <x:c r="G24" s="2"/>
      <x:c r="H24" s="2"/>
      <x:c r="I24" s="7"/>
    </x:row>
    <x:row r="25">
      <x:c r="B25" s="3" t="s">
        <x:v>346</x:v>
      </x:c>
      <x:c r="C25" s="44">
        <x:v>289030</x:v>
      </x:c>
      <x:c r="D25" s="2"/>
      <x:c r="E25" s="2"/>
      <x:c r="F25" s="2"/>
      <x:c r="G25" s="2"/>
      <x:c r="H25" s="2"/>
      <x:c r="I25" s="7"/>
    </x:row>
    <x:row r="26">
      <x:c r="B26" s="3" t="s">
        <x:v>347</x:v>
      </x:c>
      <x:c r="C26" s="44">
        <x:v>51</x:v>
      </x:c>
      <x:c r="D26" s="2"/>
      <x:c r="E26" s="2"/>
      <x:c r="F26" s="2"/>
      <x:c r="G26" s="2"/>
      <x:c r="H26" s="2"/>
      <x:c r="I26" s="7"/>
    </x:row>
    <x:row r="27">
      <x:c r="B27" s="3" t="s">
        <x:v>348</x:v>
      </x:c>
      <x:c r="C27" s="3" t="s">
        <x:v>349</x:v>
      </x:c>
      <x:c r="D27" s="2"/>
      <x:c r="E27" s="2"/>
      <x:c r="F27" s="2"/>
      <x:c r="G27" s="2"/>
      <x:c r="H27" s="2"/>
      <x:c r="I27" s="7"/>
    </x:row>
    <x:row r="28">
      <x:c r="B28" s="3" t="s">
        <x:v>350</x:v>
      </x:c>
      <x:c r="C28" s="3" t="s">
        <x:v>351</x:v>
      </x:c>
      <x:c r="D28" s="2"/>
      <x:c r="E28" s="2"/>
      <x:c r="F28" s="2"/>
      <x:c r="G28" s="2"/>
      <x:c r="H28" s="2"/>
      <x:c r="I28" s="7"/>
    </x:row>
    <x:row r="29">
      <x:c r="B29" s="3" t="s">
        <x:v>332</x:v>
      </x:c>
      <x:c r="C29" s="56">
        <x:v>46265</x:v>
      </x:c>
      <x:c r="D29" s="2"/>
      <x:c r="E29" s="2"/>
      <x:c r="F29" s="2"/>
      <x:c r="G29" s="2"/>
      <x:c r="H29" s="2"/>
      <x:c r="I29" s="7"/>
    </x:row>
    <x:row r="30">
      <x:c r="B30" s="3" t="s">
        <x:v>352</x:v>
      </x:c>
      <x:c r="C30" s="56">
        <x:v>46295</x:v>
      </x:c>
      <x:c r="D30" s="2"/>
      <x:c r="E30" s="2"/>
      <x:c r="F30" s="2"/>
      <x:c r="G30" s="2"/>
      <x:c r="H30" s="2"/>
      <x:c r="I30" s="7"/>
    </x:row>
    <x:row r="31">
      <x:c r="B31" s="3" t="s">
        <x:v>353</x:v>
      </x:c>
      <x:c r="C31" s="44">
        <x:v>31.6</x:v>
      </x:c>
      <x:c r="D31" s="2"/>
      <x:c r="E31" s="2"/>
      <x:c r="F31" s="2"/>
      <x:c r="G31" s="2"/>
      <x:c r="H31" s="2"/>
      <x:c r="I31" s="7"/>
    </x:row>
    <x:row r="32">
      <x:c r="B32" s="3" t="s">
        <x:v>354</x:v>
      </x:c>
      <x:c r="C32" s="44">
        <x:v>31.2</x:v>
      </x:c>
      <x:c r="D32" s="2"/>
      <x:c r="E32" s="2"/>
      <x:c r="F32" s="2"/>
      <x:c r="G32" s="2"/>
      <x:c r="H32" s="2"/>
      <x:c r="I32" s="7"/>
    </x:row>
    <x:row r="33">
      <x:c r="B33" s="3" t="s">
        <x:v>355</x:v>
      </x:c>
      <x:c r="C33" s="44">
        <x:v>37.44</x:v>
      </x:c>
      <x:c r="D33" s="2"/>
      <x:c r="E33" s="2"/>
      <x:c r="F33" s="2"/>
      <x:c r="G33" s="2"/>
      <x:c r="H33" s="2"/>
      <x:c r="I33" s="7"/>
    </x:row>
    <x:row r="34">
      <x:c r="B34" s="3" t="s">
        <x:v>356</x:v>
      </x:c>
      <x:c r="C34" s="44">
        <x:v>28.04</x:v>
      </x:c>
      <x:c r="D34" s="2"/>
      <x:c r="E34" s="2"/>
      <x:c r="F34" s="2"/>
      <x:c r="G34" s="2"/>
      <x:c r="H34" s="2"/>
      <x:c r="I34" s="7"/>
    </x:row>
    <x:row r="35">
      <x:c r="B35" s="3" t="s">
        <x:v>357</x:v>
      </x:c>
      <x:c r="C35" s="44">
        <x:v>1.41</x:v>
      </x:c>
      <x:c r="D35" s="2"/>
      <x:c r="E35" s="2"/>
      <x:c r="F35" s="2"/>
      <x:c r="G35" s="2"/>
      <x:c r="H35" s="2"/>
      <x:c r="I35" s="7"/>
    </x:row>
    <x:row r="36">
      <x:c r="B36" s="3" t="s">
        <x:v>358</x:v>
      </x:c>
      <x:c r="C36" s="44">
        <x:v>33</x:v>
      </x:c>
      <x:c r="D36" s="2"/>
      <x:c r="E36" s="2"/>
      <x:c r="F36" s="2"/>
      <x:c r="G36" s="2"/>
      <x:c r="H36" s="2"/>
      <x:c r="I36" s="7"/>
    </x:row>
    <x:row r="37">
      <x:c r="B37" s="3" t="s">
        <x:v>359</x:v>
      </x:c>
      <x:c r="C37" s="77" t="s">
        <x:v>30</x:v>
      </x:c>
      <x:c r="D37" s="2"/>
      <x:c r="E37" s="2"/>
      <x:c r="F37" s="2"/>
      <x:c r="G37" s="2"/>
      <x:c r="H37" s="2"/>
      <x:c r="I37" s="7"/>
    </x:row>
    <x:row r="38">
      <x:c r="B38" s="3" t="s">
        <x:v>360</x:v>
      </x:c>
      <x:c r="C38" s="44">
        <x:v>30</x:v>
      </x:c>
      <x:c r="D38" s="2"/>
      <x:c r="E38" s="2"/>
      <x:c r="F38" s="2"/>
      <x:c r="G38" s="2"/>
      <x:c r="H38" s="2"/>
      <x:c r="I38" s="7"/>
    </x:row>
    <x:row r="39">
      <x:c r="B39" s="3" t="s">
        <x:v>361</x:v>
      </x:c>
      <x:c r="C39" s="44">
        <x:v>32</x:v>
      </x:c>
      <x:c r="D39" s="2"/>
      <x:c r="E39" s="2"/>
      <x:c r="F39" s="2"/>
      <x:c r="G39" s="2"/>
      <x:c r="H39" s="2"/>
      <x:c r="I39" s="7"/>
    </x:row>
    <x:row r="40">
      <x:c r="B40" s="3" t="s">
        <x:v>362</x:v>
      </x:c>
      <x:c r="C40" s="44">
        <x:v>31.58</x:v>
      </x:c>
      <x:c r="D40" s="2"/>
      <x:c r="E40" s="2"/>
      <x:c r="F40" s="2"/>
      <x:c r="G40" s="2"/>
      <x:c r="H40" s="2"/>
      <x:c r="I40" s="7"/>
    </x:row>
    <x:row r="41">
      <x:c r="B41" s="3" t="s">
        <x:v>363</x:v>
      </x:c>
      <x:c r="C41" s="44">
        <x:v>31.01</x:v>
      </x:c>
      <x:c r="D41" s="2"/>
      <x:c r="E41" s="2"/>
      <x:c r="F41" s="2"/>
      <x:c r="G41" s="2"/>
      <x:c r="H41" s="2"/>
      <x:c r="I41" s="7"/>
    </x:row>
    <x:row r="42">
      <x:c r="B42" s="3" t="s">
        <x:v>364</x:v>
      </x:c>
      <x:c r="C42" s="44">
        <x:v>37.7</x:v>
      </x:c>
      <x:c r="D42" s="2"/>
      <x:c r="E42" s="2"/>
      <x:c r="F42" s="2"/>
      <x:c r="G42" s="2"/>
      <x:c r="H42" s="2"/>
      <x:c r="I42" s="7"/>
    </x:row>
    <x:row r="43">
      <x:c r="B43" s="3" t="s">
        <x:v>365</x:v>
      </x:c>
      <x:c r="C43" s="44">
        <x:v>27.99</x:v>
      </x:c>
      <x:c r="D43" s="2"/>
      <x:c r="E43" s="2"/>
      <x:c r="F43" s="2"/>
      <x:c r="G43" s="2"/>
      <x:c r="H43" s="2"/>
      <x:c r="I43" s="7"/>
    </x:row>
    <x:row r="44">
      <x:c r="B44" s="3" t="s">
        <x:v>366</x:v>
      </x:c>
      <x:c r="C44" s="44">
        <x:v>2.03</x:v>
      </x:c>
      <x:c r="D44" s="2"/>
      <x:c r="E44" s="2"/>
      <x:c r="F44" s="2"/>
      <x:c r="G44" s="2"/>
      <x:c r="H44" s="2"/>
      <x:c r="I44" s="7"/>
    </x:row>
    <x:row r="45">
      <x:c r="B45" s="3" t="s">
        <x:v>367</x:v>
      </x:c>
      <x:c r="C45" s="44">
        <x:v>18</x:v>
      </x:c>
      <x:c r="D45" s="2"/>
      <x:c r="E45" s="2"/>
      <x:c r="F45" s="2"/>
      <x:c r="G45" s="2"/>
      <x:c r="H45" s="2"/>
      <x:c r="I45" s="7"/>
    </x:row>
    <x:row r="46">
      <x:c r="B46" s="3" t="s">
        <x:v>368</x:v>
      </x:c>
      <x:c r="C46" s="44">
        <x:v>29.73</x:v>
      </x:c>
      <x:c r="D46" s="2"/>
      <x:c r="E46" s="2"/>
      <x:c r="F46" s="2"/>
      <x:c r="G46" s="2"/>
      <x:c r="H46" s="2"/>
      <x:c r="I46" s="7"/>
    </x:row>
    <x:row r="47">
      <x:c r="B47" s="3" t="s">
        <x:v>369</x:v>
      </x:c>
      <x:c r="C47" s="44">
        <x:v>31.73</x:v>
      </x:c>
      <x:c r="D47" s="2"/>
      <x:c r="E47" s="2"/>
      <x:c r="F47" s="2"/>
      <x:c r="G47" s="2"/>
      <x:c r="H47" s="2"/>
      <x:c r="I47" s="7"/>
    </x:row>
    <x:row r="48">
      <x:c r="B48" s="3" t="s">
        <x:v>370</x:v>
      </x:c>
      <x:c r="C48" s="44">
        <x:v>51250.26</x:v>
      </x:c>
      <x:c r="D48" s="2"/>
      <x:c r="E48" s="2"/>
      <x:c r="F48" s="2"/>
      <x:c r="G48" s="2"/>
      <x:c r="H48" s="2"/>
      <x:c r="I48" s="7"/>
    </x:row>
    <x:row r="49">
      <x:c r="B49" s="3" t="s">
        <x:v>371</x:v>
      </x:c>
      <x:c r="C49" s="44">
        <x:v>50792</x:v>
      </x:c>
      <x:c r="D49" s="2"/>
      <x:c r="E49" s="2"/>
      <x:c r="F49" s="2"/>
      <x:c r="G49" s="2"/>
      <x:c r="H49" s="2"/>
      <x:c r="I49" s="7"/>
    </x:row>
    <x:row r="50">
      <x:c r="B50" s="3" t="s">
        <x:v>372</x:v>
      </x:c>
      <x:c r="C50" s="44">
        <x:v>59805</x:v>
      </x:c>
      <x:c r="D50" s="2"/>
      <x:c r="E50" s="2"/>
      <x:c r="F50" s="2"/>
      <x:c r="G50" s="2"/>
      <x:c r="H50" s="2"/>
      <x:c r="I50" s="7"/>
    </x:row>
    <x:row r="51">
      <x:c r="B51" s="3" t="s">
        <x:v>373</x:v>
      </x:c>
      <x:c r="C51" s="44">
        <x:v>46911</x:v>
      </x:c>
      <x:c r="D51" s="2"/>
      <x:c r="E51" s="2"/>
      <x:c r="F51" s="2"/>
      <x:c r="G51" s="2"/>
      <x:c r="H51" s="2"/>
      <x:c r="I51" s="7"/>
    </x:row>
    <x:row r="52">
      <x:c r="B52" s="3" t="s">
        <x:v>374</x:v>
      </x:c>
      <x:c r="C52" s="44">
        <x:v>2044.89</x:v>
      </x:c>
      <x:c r="D52" s="2"/>
      <x:c r="E52" s="2"/>
      <x:c r="F52" s="2"/>
      <x:c r="G52" s="2"/>
      <x:c r="H52" s="2"/>
      <x:c r="I52" s="7"/>
    </x:row>
    <x:row r="53">
      <x:c r="B53" s="3" t="s">
        <x:v>375</x:v>
      </x:c>
      <x:c r="C53" s="44">
        <x:v>35</x:v>
      </x:c>
      <x:c r="D53" s="2"/>
      <x:c r="E53" s="2"/>
      <x:c r="F53" s="2"/>
      <x:c r="G53" s="2"/>
      <x:c r="H53" s="2"/>
      <x:c r="I53" s="7"/>
    </x:row>
    <x:row r="54">
      <x:c r="B54" s="3" t="s">
        <x:v>376</x:v>
      </x:c>
      <x:c r="C54" s="44">
        <x:v>49000</x:v>
      </x:c>
      <x:c r="D54" s="2"/>
      <x:c r="E54" s="2"/>
      <x:c r="F54" s="2"/>
      <x:c r="G54" s="2"/>
      <x:c r="H54" s="2"/>
      <x:c r="I54" s="7"/>
    </x:row>
    <x:row r="55">
      <x:c r="B55" s="3" t="s">
        <x:v>377</x:v>
      </x:c>
      <x:c r="C55" s="44">
        <x:v>51000</x:v>
      </x:c>
      <x:c r="D55" s="2"/>
      <x:c r="E55" s="2"/>
      <x:c r="F55" s="2"/>
      <x:c r="G55" s="2"/>
      <x:c r="H55" s="2"/>
      <x:c r="I55" s="7"/>
    </x:row>
    <x:row r="56">
      <x:c r="B56" s="3" t="s">
        <x:v>378</x:v>
      </x:c>
      <x:c r="C56" s="44">
        <x:v>44723.44</x:v>
      </x:c>
      <x:c r="D56" s="2"/>
      <x:c r="E56" s="2"/>
      <x:c r="F56" s="2"/>
      <x:c r="G56" s="2"/>
      <x:c r="H56" s="2"/>
      <x:c r="I56" s="7"/>
    </x:row>
    <x:row r="57">
      <x:c r="B57" s="3" t="s">
        <x:v>379</x:v>
      </x:c>
      <x:c r="C57" s="44">
        <x:v>42194.19</x:v>
      </x:c>
      <x:c r="D57" s="2"/>
      <x:c r="E57" s="2"/>
      <x:c r="F57" s="2"/>
      <x:c r="G57" s="2"/>
      <x:c r="H57" s="2"/>
      <x:c r="I57" s="7"/>
    </x:row>
    <x:row r="58">
      <x:c r="B58" s="3" t="s">
        <x:v>380</x:v>
      </x:c>
      <x:c r="C58" s="44">
        <x:v>35951.27</x:v>
      </x:c>
      <x:c r="D58" s="2"/>
      <x:c r="E58" s="2"/>
      <x:c r="F58" s="2"/>
      <x:c r="G58" s="2"/>
      <x:c r="H58" s="2"/>
      <x:c r="I58" s="7"/>
    </x:row>
    <x:row r="59">
      <x:c r="B59" s="3" t="s">
        <x:v>381</x:v>
      </x:c>
      <x:c r="C59" s="44">
        <x:v>36026.28</x:v>
      </x:c>
      <x:c r="D59" s="2"/>
      <x:c r="E59" s="2"/>
      <x:c r="F59" s="2"/>
      <x:c r="G59" s="2"/>
      <x:c r="H59" s="2"/>
      <x:c r="I59" s="7"/>
    </x:row>
    <x:row r="60">
      <x:c r="B60" s="3" t="s">
        <x:v>382</x:v>
      </x:c>
      <x:c r="C60" s="44">
        <x:v>86.5</x:v>
      </x:c>
      <x:c r="D60" s="2"/>
      <x:c r="E60" s="2"/>
      <x:c r="F60" s="2"/>
      <x:c r="G60" s="2"/>
      <x:c r="H60" s="2"/>
      <x:c r="I60" s="7"/>
    </x:row>
    <x:row r="61">
      <x:c r="B61" s="3" t="s">
        <x:v>383</x:v>
      </x:c>
      <x:c r="C61" s="44">
        <x:v>15.04</x:v>
      </x:c>
      <x:c r="D61" s="2"/>
      <x:c r="E61" s="2"/>
      <x:c r="F61" s="2"/>
      <x:c r="G61" s="2"/>
      <x:c r="H61" s="2"/>
      <x:c r="I61" s="7"/>
    </x:row>
    <x:row r="62">
      <x:c r="B62" s="3" t="s">
        <x:v>384</x:v>
      </x:c>
      <x:c r="C62" s="44">
        <x:v>-10269.33</x:v>
      </x:c>
      <x:c r="D62" s="2"/>
      <x:c r="E62" s="2"/>
      <x:c r="F62" s="2"/>
      <x:c r="G62" s="2"/>
      <x:c r="H62" s="2"/>
      <x:c r="I62" s="7"/>
    </x:row>
    <x:row r="63">
      <x:c r="B63" s="3" t="s">
        <x:v>385</x:v>
      </x:c>
      <x:c r="C63" s="44">
        <x:v>23822.36</x:v>
      </x:c>
      <x:c r="D63" s="2"/>
      <x:c r="E63" s="2"/>
      <x:c r="F63" s="2"/>
      <x:c r="G63" s="2"/>
      <x:c r="H63" s="2"/>
      <x:c r="I63" s="7"/>
    </x:row>
    <x:row r="64">
      <x:c r="B64" s="3" t="s">
        <x:v>386</x:v>
      </x:c>
      <x:c r="C64" s="44">
        <x:v>33535.42</x:v>
      </x:c>
      <x:c r="D64" s="2"/>
      <x:c r="E64" s="2"/>
      <x:c r="F64" s="2"/>
      <x:c r="G64" s="2"/>
      <x:c r="H64" s="2"/>
      <x:c r="I64" s="7"/>
    </x:row>
    <x:row r="65">
      <x:c r="B65" s="3" t="s">
        <x:v>387</x:v>
      </x:c>
      <x:c r="C65" s="44">
        <x:v>2660.54</x:v>
      </x:c>
      <x:c r="D65" s="2"/>
      <x:c r="E65" s="2"/>
      <x:c r="F65" s="2"/>
      <x:c r="G65" s="2"/>
      <x:c r="H65" s="2"/>
      <x:c r="I65" s="7"/>
    </x:row>
    <x:row r="66">
      <x:c r="B66" s="3" t="s">
        <x:v>388</x:v>
      </x:c>
      <x:c r="C66" s="3" t="s">
        <x:v>389</x:v>
      </x:c>
      <x:c r="D66" s="2"/>
      <x:c r="E66" s="2"/>
      <x:c r="F66" s="2"/>
      <x:c r="G66" s="2"/>
      <x:c r="H66" s="2"/>
      <x:c r="I66" s="7"/>
    </x:row>
    <x:row r="67">
      <x:c r="B67" s="3" t="s">
        <x:v>390</x:v>
      </x:c>
      <x:c r="C67" s="3">
        <x:v>1.37</x:v>
      </x:c>
      <x:c r="D67" s="2"/>
      <x:c r="E67" s="2"/>
      <x:c r="F67" s="2"/>
      <x:c r="G67" s="2"/>
      <x:c r="H67" s="2"/>
      <x:c r="I67" s="7"/>
    </x:row>
    <x:row r="68">
      <x:c r="B68" s="3" t="s">
        <x:v>391</x:v>
      </x:c>
      <x:c r="C68" s="3">
        <x:v>1080.53</x:v>
      </x:c>
      <x:c r="D68" s="2"/>
      <x:c r="E68" s="2"/>
      <x:c r="F68" s="2"/>
      <x:c r="G68" s="2"/>
      <x:c r="H68" s="2"/>
      <x:c r="I68" s="7"/>
    </x:row>
    <x:row r="69" ht="45">
      <x:c r="B69" s="3" t="s">
        <x:v>392</x:v>
      </x:c>
      <x:c r="C69" s="53" t="s">
        <x:v>393</x:v>
      </x:c>
      <x:c r="D69" s="2"/>
      <x:c r="E69" s="2"/>
      <x:c r="F69" s="2"/>
      <x:c r="G69" s="2"/>
      <x:c r="H69" s="2"/>
      <x:c r="I69" s="7"/>
    </x:row>
    <x:row r="70">
      <x:c r="B70" s="3" t="s">
        <x:v>394</x:v>
      </x:c>
      <x:c r="C70" s="3"/>
      <x:c r="D70" s="2"/>
      <x:c r="E70" s="2"/>
      <x:c r="F70" s="2"/>
      <x:c r="G70" s="2"/>
      <x:c r="H70" s="2"/>
      <x:c r="I70" s="7"/>
      <x:c r="J70" t="s">
        <x:v>395</x:v>
      </x:c>
    </x:row>
    <x:row r="71">
      <x:c r="B71" s="3" t="s">
        <x:v>396</x:v>
      </x:c>
      <x:c r="C71" s="3"/>
      <x:c r="D71" s="2"/>
      <x:c r="E71" s="2"/>
      <x:c r="F71" s="2"/>
      <x:c r="G71" s="2"/>
      <x:c r="H71" s="2"/>
      <x:c r="I71" s="7"/>
      <x:c r="J71" t="s">
        <x:v>397</x:v>
      </x:c>
    </x:row>
    <x:row r="72">
      <x:c r="B72" s="3" t="s">
        <x:v>398</x:v>
      </x:c>
      <x:c r="C72" s="34">
        <x:v>46289</x:v>
      </x:c>
      <x:c r="D72" s="2"/>
      <x:c r="E72" s="2"/>
      <x:c r="F72" s="2"/>
      <x:c r="G72" s="2"/>
      <x:c r="H72" s="2"/>
      <x:c r="I72" s="7"/>
    </x:row>
    <x:row r="73">
      <x:c r="B73" s="3" t="s">
        <x:v>399</x:v>
      </x:c>
      <x:c r="C73" s="3" t="s">
        <x:v>247</x:v>
      </x:c>
      <x:c r="D73" s="2"/>
      <x:c r="E73" s="2"/>
      <x:c r="F73" s="2"/>
      <x:c r="G73" s="2"/>
      <x:c r="H73" s="2"/>
      <x:c r="I73" s="7"/>
    </x:row>
    <x:row r="74">
      <x:c r="B74" s="3"/>
      <x:c r="C74" s="3"/>
      <x:c r="D74" s="2"/>
      <x:c r="E74" s="2"/>
      <x:c r="F74" s="2"/>
      <x:c r="G74" s="2"/>
      <x:c r="H74" s="2"/>
      <x:c r="I74" s="7"/>
    </x:row>
    <x:row r="75">
      <x:c r="B75" s="3" t="s">
        <x:v>400</x:v>
      </x:c>
      <x:c r="C75" s="44">
        <x:v>14</x:v>
      </x:c>
      <x:c r="D75" s="2"/>
      <x:c r="E75" s="2"/>
      <x:c r="F75" s="2"/>
      <x:c r="G75" s="2"/>
      <x:c r="H75" s="2"/>
      <x:c r="I75" s="7"/>
    </x:row>
    <x:row r="76">
      <x:c r="B76" s="3" t="s">
        <x:v>401</x:v>
      </x:c>
      <x:c r="C76" s="44">
        <x:v>13</x:v>
      </x:c>
      <x:c r="D76" s="2"/>
      <x:c r="E76" s="2"/>
      <x:c r="F76" s="2"/>
      <x:c r="G76" s="2"/>
      <x:c r="H76" s="2"/>
      <x:c r="I76" s="7"/>
    </x:row>
    <x:row r="77">
      <x:c r="B77" s="3" t="s">
        <x:v>402</x:v>
      </x:c>
      <x:c r="C77" s="44">
        <x:v>1.146</x:v>
      </x:c>
      <x:c r="D77" s="2"/>
      <x:c r="E77" s="2"/>
      <x:c r="F77" s="2"/>
      <x:c r="G77" s="2"/>
      <x:c r="H77" s="2"/>
      <x:c r="I77" s="7"/>
    </x:row>
    <x:row r="78">
      <x:c r="B78" s="3" t="s">
        <x:v>403</x:v>
      </x:c>
      <x:c r="C78" s="44">
        <x:v>1.156</x:v>
      </x:c>
      <x:c r="D78" s="2"/>
      <x:c r="E78" s="2"/>
      <x:c r="F78" s="2"/>
      <x:c r="G78" s="2"/>
      <x:c r="H78" s="2"/>
      <x:c r="I78" s="7"/>
    </x:row>
    <x:row r="79">
      <x:c r="B79" s="3" t="s">
        <x:v>404</x:v>
      </x:c>
      <x:c r="C79" s="44">
        <x:v>1.167</x:v>
      </x:c>
      <x:c r="D79" s="2"/>
      <x:c r="E79" s="2"/>
      <x:c r="F79" s="2"/>
      <x:c r="G79" s="2"/>
      <x:c r="H79" s="2"/>
      <x:c r="I79" s="7"/>
    </x:row>
    <x:row r="80">
      <x:c r="B80" s="3" t="s">
        <x:v>405</x:v>
      </x:c>
      <x:c r="C80" s="44">
        <x:v>1.148</x:v>
      </x:c>
      <x:c r="D80" s="2"/>
      <x:c r="E80" s="2"/>
      <x:c r="F80" s="2"/>
      <x:c r="G80" s="2"/>
      <x:c r="H80" s="2"/>
      <x:c r="I80" s="7"/>
    </x:row>
    <x:row r="81">
      <x:c r="B81" s="3" t="s">
        <x:v>406</x:v>
      </x:c>
      <x:c r="C81" s="44">
        <x:v>1.16</x:v>
      </x:c>
      <x:c r="D81" s="2"/>
      <x:c r="E81" s="2"/>
      <x:c r="F81" s="2"/>
      <x:c r="G81" s="2"/>
      <x:c r="H81" s="2"/>
      <x:c r="I81" s="7"/>
    </x:row>
    <x:row r="82">
      <x:c r="B82" s="3" t="s">
        <x:v>407</x:v>
      </x:c>
      <x:c r="C82" s="44">
        <x:v>0.864</x:v>
      </x:c>
      <x:c r="D82" s="2"/>
      <x:c r="E82" s="2"/>
      <x:c r="F82" s="2"/>
      <x:c r="G82" s="2"/>
      <x:c r="H82" s="2"/>
      <x:c r="I82" s="7"/>
    </x:row>
    <x:row r="83">
      <x:c r="B83" s="3" t="s">
        <x:v>408</x:v>
      </x:c>
      <x:c r="C83" s="44">
        <x:v>1430</x:v>
      </x:c>
      <x:c r="D83" s="2"/>
      <x:c r="E83" s="2"/>
      <x:c r="F83" s="2"/>
      <x:c r="G83" s="2"/>
      <x:c r="H83" s="2"/>
      <x:c r="I83" s="7"/>
    </x:row>
    <x:row r="84">
      <x:c r="B84" s="3" t="s">
        <x:v>409</x:v>
      </x:c>
      <x:c r="C84" s="44">
        <x:v>430</x:v>
      </x:c>
      <x:c r="D84" s="2"/>
      <x:c r="E84" s="2"/>
      <x:c r="F84" s="2"/>
      <x:c r="G84" s="2"/>
      <x:c r="H84" s="2"/>
      <x:c r="I84" s="7"/>
    </x:row>
    <x:row r="85">
      <x:c r="B85" s="3" t="s">
        <x:v>410</x:v>
      </x:c>
      <x:c r="C85" s="44">
        <x:v>25</x:v>
      </x:c>
      <x:c r="D85" s="2"/>
      <x:c r="E85" s="2"/>
      <x:c r="F85" s="2"/>
      <x:c r="G85" s="2"/>
      <x:c r="H85" s="2"/>
      <x:c r="I85" s="7"/>
    </x:row>
    <x:row r="86">
      <x:c r="B86" s="3" t="s">
        <x:v>411</x:v>
      </x:c>
      <x:c r="C86" s="44">
        <x:v>240</x:v>
      </x:c>
      <x:c r="D86" s="2"/>
      <x:c r="E86" s="2"/>
      <x:c r="F86" s="2"/>
      <x:c r="G86" s="2"/>
      <x:c r="H86" s="2"/>
      <x:c r="I86" s="7"/>
    </x:row>
    <x:row r="87">
      <x:c r="B87" s="3" t="s">
        <x:v>412</x:v>
      </x:c>
      <x:c r="C87" s="44">
        <x:v>-20</x:v>
      </x:c>
      <x:c r="D87" s="2"/>
      <x:c r="E87" s="2"/>
      <x:c r="F87" s="2"/>
      <x:c r="G87" s="2"/>
      <x:c r="H87" s="2"/>
      <x:c r="I87" s="7"/>
    </x:row>
    <x:row r="88">
      <x:c r="B88" s="3" t="s">
        <x:v>413</x:v>
      </x:c>
      <x:c r="C88" s="44">
        <x:v>-100</x:v>
      </x:c>
      <x:c r="D88" s="2"/>
      <x:c r="E88" s="2"/>
      <x:c r="F88" s="2"/>
      <x:c r="G88" s="2"/>
      <x:c r="H88" s="2"/>
      <x:c r="I88" s="7"/>
    </x:row>
    <x:row r="89">
      <x:c r="B89" s="3" t="s">
        <x:v>414</x:v>
      </x:c>
      <x:c r="C89" s="44">
        <x:v>0.15</x:v>
      </x:c>
      <x:c r="D89" s="2"/>
      <x:c r="E89" s="2"/>
      <x:c r="F89" s="2"/>
      <x:c r="G89" s="2"/>
      <x:c r="H89" s="2"/>
      <x:c r="I89" s="7"/>
    </x:row>
    <x:row r="90">
      <x:c r="B90" s="3" t="s">
        <x:v>415</x:v>
      </x:c>
      <x:c r="C90" s="44">
        <x:v>10</x:v>
      </x:c>
      <x:c r="D90" s="2"/>
      <x:c r="E90" s="2"/>
      <x:c r="F90" s="2"/>
      <x:c r="G90" s="2"/>
      <x:c r="H90" s="2"/>
      <x:c r="I90" s="7"/>
    </x:row>
    <x:row r="91">
      <x:c r="B91" s="3" t="s">
        <x:v>416</x:v>
      </x:c>
      <x:c r="C91" s="44">
        <x:v>1130</x:v>
      </x:c>
      <x:c r="D91" s="2"/>
      <x:c r="E91" s="2"/>
      <x:c r="F91" s="2"/>
      <x:c r="G91" s="2"/>
      <x:c r="H91" s="2"/>
      <x:c r="I91" s="7"/>
    </x:row>
    <x:row r="92">
      <x:c r="B92" s="3" t="s">
        <x:v>417</x:v>
      </x:c>
      <x:c r="C92" s="44">
        <x:v>1148</x:v>
      </x:c>
      <x:c r="D92" s="2"/>
      <x:c r="E92" s="2"/>
      <x:c r="F92" s="2"/>
      <x:c r="G92" s="2"/>
      <x:c r="H92" s="2"/>
      <x:c r="I92" s="7"/>
    </x:row>
    <x:row r="93">
      <x:c r="B93" s="3" t="s">
        <x:v>418</x:v>
      </x:c>
      <x:c r="C93" s="44">
        <x:v>4</x:v>
      </x:c>
      <x:c r="D93" s="2"/>
      <x:c r="E93" s="2"/>
      <x:c r="F93" s="2"/>
      <x:c r="G93" s="2"/>
      <x:c r="H93" s="2"/>
      <x:c r="I93" s="7"/>
    </x:row>
    <x:row r="94">
      <x:c r="B94" s="3" t="s">
        <x:v>419</x:v>
      </x:c>
      <x:c r="C94" s="44">
        <x:v>159</x:v>
      </x:c>
      <x:c r="D94" s="2"/>
      <x:c r="E94" s="2"/>
      <x:c r="F94" s="2"/>
      <x:c r="G94" s="2"/>
      <x:c r="H94" s="2"/>
      <x:c r="I94" s="7"/>
    </x:row>
    <x:row r="95">
      <x:c r="B95" s="3" t="s">
        <x:v>420</x:v>
      </x:c>
      <x:c r="C95" s="44">
        <x:v>138</x:v>
      </x:c>
      <x:c r="D95" s="2"/>
      <x:c r="E95" s="2"/>
      <x:c r="F95" s="2"/>
      <x:c r="G95" s="2"/>
      <x:c r="H95" s="2"/>
      <x:c r="I95" s="7"/>
    </x:row>
    <x:row r="96">
      <x:c r="B96" s="3" t="s">
        <x:v>421</x:v>
      </x:c>
      <x:c r="C96" s="44">
        <x:v>67</x:v>
      </x:c>
      <x:c r="D96" s="2"/>
      <x:c r="E96" s="2"/>
      <x:c r="F96" s="2"/>
      <x:c r="G96" s="2"/>
      <x:c r="H96" s="2"/>
      <x:c r="I96" s="7"/>
    </x:row>
    <x:row r="97">
      <x:c r="B97" s="3" t="s">
        <x:v>422</x:v>
      </x:c>
      <x:c r="C97" s="44">
        <x:v>-55</x:v>
      </x:c>
      <x:c r="D97" s="2"/>
      <x:c r="E97" s="2"/>
      <x:c r="F97" s="2"/>
      <x:c r="G97" s="2"/>
      <x:c r="H97" s="2"/>
      <x:c r="I97" s="7"/>
    </x:row>
    <x:row r="98">
      <x:c r="B98" s="3" t="s">
        <x:v>423</x:v>
      </x:c>
      <x:c r="C98" s="44">
        <x:v>-10500</x:v>
      </x:c>
      <x:c r="D98" s="2"/>
      <x:c r="E98" s="2"/>
      <x:c r="F98" s="2"/>
      <x:c r="G98" s="2"/>
      <x:c r="H98" s="2"/>
      <x:c r="I98" s="7"/>
    </x:row>
    <x:row r="99">
      <x:c r="B99" s="3" t="s">
        <x:v>424</x:v>
      </x:c>
      <x:c r="C99" s="44">
        <x:v>300</x:v>
      </x:c>
      <x:c r="D99" s="2"/>
      <x:c r="E99" s="2"/>
      <x:c r="F99" s="2"/>
      <x:c r="G99" s="2"/>
      <x:c r="H99" s="2"/>
      <x:c r="I99" s="7"/>
    </x:row>
    <x:row r="100">
      <x:c r="B100" s="3" t="s">
        <x:v>425</x:v>
      </x:c>
      <x:c r="C100" s="44">
        <x:v>-1000</x:v>
      </x:c>
      <x:c r="D100" s="2"/>
      <x:c r="E100" s="2"/>
      <x:c r="F100" s="2"/>
      <x:c r="G100" s="2"/>
      <x:c r="H100" s="2"/>
      <x:c r="I100" s="7"/>
    </x:row>
    <x:row r="101">
      <x:c r="B101" s="3" t="s">
        <x:v>426</x:v>
      </x:c>
      <x:c r="C101" s="44">
        <x:v>35000</x:v>
      </x:c>
      <x:c r="D101" s="2"/>
      <x:c r="E101" s="2"/>
      <x:c r="F101" s="2"/>
      <x:c r="G101" s="2"/>
      <x:c r="H101" s="2"/>
      <x:c r="I101" s="7"/>
    </x:row>
    <x:row r="102">
      <x:c r="B102" s="3" t="s">
        <x:v>427</x:v>
      </x:c>
      <x:c r="C102" s="44">
        <x:v>0</x:v>
      </x:c>
      <x:c r="D102" s="2"/>
      <x:c r="E102" s="2"/>
      <x:c r="F102" s="2"/>
      <x:c r="G102" s="2"/>
      <x:c r="H102" s="2"/>
      <x:c r="I102" s="7"/>
    </x:row>
    <x:row r="103">
      <x:c r="B103" s="3" t="s">
        <x:v>428</x:v>
      </x:c>
      <x:c r="C103" s="44">
        <x:v>27</x:v>
      </x:c>
      <x:c r="D103" s="2"/>
      <x:c r="E103" s="2"/>
      <x:c r="F103" s="2"/>
      <x:c r="G103" s="2"/>
      <x:c r="H103" s="2"/>
      <x:c r="I103" s="7"/>
    </x:row>
    <x:row r="104">
      <x:c r="B104" s="3" t="s">
        <x:v>429</x:v>
      </x:c>
      <x:c r="C104" s="44">
        <x:v>10169</x:v>
      </x:c>
      <x:c r="D104" s="2"/>
      <x:c r="E104" s="2"/>
      <x:c r="F104" s="2"/>
      <x:c r="G104" s="2"/>
      <x:c r="H104" s="2"/>
      <x:c r="I104" s="7"/>
    </x:row>
    <x:row r="105">
      <x:c r="B105" s="3" t="s">
        <x:v>430</x:v>
      </x:c>
      <x:c r="C105" s="44">
        <x:v>7052</x:v>
      </x:c>
      <x:c r="D105" s="2"/>
      <x:c r="E105" s="2"/>
      <x:c r="F105" s="2"/>
      <x:c r="G105" s="2"/>
      <x:c r="H105" s="2"/>
      <x:c r="I105" s="7"/>
    </x:row>
    <x:row r="106">
      <x:c r="B106" s="3" t="s">
        <x:v>431</x:v>
      </x:c>
      <x:c r="C106" s="44">
        <x:v>7041</x:v>
      </x:c>
      <x:c r="D106" s="2"/>
      <x:c r="E106" s="2"/>
      <x:c r="F106" s="2"/>
      <x:c r="G106" s="2"/>
      <x:c r="H106" s="2"/>
      <x:c r="I106" s="7"/>
    </x:row>
    <x:row r="107">
      <x:c r="B107" s="3" t="s">
        <x:v>432</x:v>
      </x:c>
      <x:c r="C107" s="44">
        <x:v>0.78</x:v>
      </x:c>
      <x:c r="D107" s="2"/>
      <x:c r="E107" s="2"/>
      <x:c r="F107" s="2"/>
      <x:c r="G107" s="2"/>
      <x:c r="H107" s="2"/>
      <x:c r="I107" s="7"/>
    </x:row>
    <x:row r="108">
      <x:c r="B108" s="3" t="s">
        <x:v>433</x:v>
      </x:c>
      <x:c r="C108" s="44">
        <x:v>8</x:v>
      </x:c>
      <x:c r="D108" s="2"/>
      <x:c r="E108" s="2"/>
      <x:c r="F108" s="2"/>
      <x:c r="G108" s="2"/>
      <x:c r="H108" s="2"/>
      <x:c r="I108" s="7"/>
    </x:row>
    <x:row r="109">
      <x:c r="B109" s="3" t="s">
        <x:v>434</x:v>
      </x:c>
      <x:c r="C109" s="3" t="n">
        <x:f>SUMPRODUCT(--(D12:D17&gt;C12:C17))</x:f>
        <x:v>6</x:v>
      </x:c>
      <x:c r="D109" s="2"/>
      <x:c r="E109" s="2"/>
      <x:c r="F109" s="2"/>
      <x:c r="G109" s="2"/>
      <x:c r="H109" s="2"/>
      <x:c r="I109" s="7"/>
    </x:row>
    <x:row r="110">
      <x:c r="B110" s="3" t="s">
        <x:v>435</x:v>
      </x:c>
      <x:c r="C110" s="3" t="n">
        <x:f>COUNT(D12:D17)</x:f>
        <x:v>6</x:v>
      </x:c>
      <x:c r="D110" s="2"/>
      <x:c r="E110" s="2"/>
      <x:c r="F110" s="2"/>
      <x:c r="G110" s="2"/>
      <x:c r="H110" s="2"/>
      <x:c r="I110" s="7"/>
    </x:row>
    <x:row r="111">
      <x:c r="B111" s="3" t="s">
        <x:v>436</x:v>
      </x:c>
      <x:c r="C111" s="44">
        <x:v>-0.12428571428571432</x:v>
      </x:c>
      <x:c r="D111" s="2"/>
      <x:c r="E111" s="2"/>
      <x:c r="F111" s="2"/>
      <x:c r="G111" s="2"/>
      <x:c r="H111" s="2"/>
      <x:c r="I111" s="7"/>
    </x:row>
    <x:row r="112">
      <x:c r="B112" s="3" t="s">
        <x:v>437</x:v>
      </x:c>
      <x:c r="C112" s="3" t="s">
        <x:v>438</x:v>
      </x:c>
      <x:c r="D112" s="2"/>
      <x:c r="E112" s="2"/>
      <x:c r="F112" s="2"/>
      <x:c r="G112" s="2"/>
      <x:c r="H112" s="2"/>
      <x:c r="I112" s="7"/>
    </x:row>
    <x:row r="113">
      <x:c r="B113" s="3" t="s">
        <x:v>439</x:v>
      </x:c>
      <x:c r="C113" s="44">
        <x:v>-175</x:v>
      </x:c>
      <x:c r="D113" s="2"/>
      <x:c r="E113" s="2"/>
      <x:c r="F113" s="2"/>
      <x:c r="G113" s="2"/>
      <x:c r="H113" s="2"/>
      <x:c r="I113" s="7"/>
    </x:row>
    <x:row r="114">
      <x:c r="B114" s="3" t="s">
        <x:v>440</x:v>
      </x:c>
      <x:c r="C114" s="44">
        <x:v>500</x:v>
      </x:c>
      <x:c r="D114" s="2"/>
      <x:c r="E114" s="2"/>
      <x:c r="F114" s="2"/>
      <x:c r="G114" s="2"/>
      <x:c r="H114" s="2"/>
      <x:c r="I114" s="7"/>
    </x:row>
    <x:row r="115">
      <x:c r="B115" s="3" t="s">
        <x:v>441</x:v>
      </x:c>
      <x:c r="C115" s="44">
        <x:v>2000</x:v>
      </x:c>
      <x:c r="D115" s="2"/>
      <x:c r="E115" s="2"/>
      <x:c r="F115" s="2"/>
      <x:c r="G115" s="2"/>
      <x:c r="H115" s="2"/>
      <x:c r="I115" s="7"/>
    </x:row>
    <x:row r="116">
      <x:c r="B116" s="3" t="s">
        <x:v>442</x:v>
      </x:c>
      <x:c r="C116" s="44">
        <x:v>364</x:v>
      </x:c>
      <x:c r="D116" s="2"/>
      <x:c r="E116" s="2"/>
      <x:c r="F116" s="2"/>
      <x:c r="G116" s="2"/>
      <x:c r="H116" s="2"/>
      <x:c r="I116" s="7"/>
    </x:row>
    <x:row r="117">
      <x:c r="B117" s="3" t="s">
        <x:v>443</x:v>
      </x:c>
      <x:c r="C117" s="3" t="s">
        <x:v>444</x:v>
      </x:c>
      <x:c r="D117" s="2"/>
      <x:c r="E117" s="2"/>
      <x:c r="F117" s="2"/>
      <x:c r="G117" s="2"/>
      <x:c r="H117" s="2"/>
      <x:c r="I117" s="7"/>
    </x:row>
    <x:row r="118">
      <x:c r="B118" s="3" t="s">
        <x:v>445</x:v>
      </x:c>
      <x:c r="C118" s="44">
        <x:v>-500</x:v>
      </x:c>
      <x:c r="D118" s="2"/>
      <x:c r="E118" s="2"/>
      <x:c r="F118" s="2"/>
      <x:c r="G118" s="2"/>
      <x:c r="H118" s="2"/>
      <x:c r="I118" s="7"/>
    </x:row>
    <x:row r="119">
      <x:c r="B119" s="3" t="s">
        <x:v>446</x:v>
      </x:c>
      <x:c r="C119" s="44">
        <x:v>26063</x:v>
      </x:c>
      <x:c r="D119" s="2"/>
      <x:c r="E119" s="2"/>
      <x:c r="F119" s="2"/>
      <x:c r="G119" s="2"/>
      <x:c r="H119" s="2"/>
      <x:c r="I119" s="7"/>
    </x:row>
    <x:row r="120">
      <x:c r="B120" s="3" t="s">
        <x:v>447</x:v>
      </x:c>
      <x:c r="C120" s="44">
        <x:v>16244</x:v>
      </x:c>
      <x:c r="D120" s="2"/>
      <x:c r="E120" s="2"/>
      <x:c r="F120" s="2"/>
      <x:c r="G120" s="2"/>
      <x:c r="H120" s="2"/>
      <x:c r="I120" s="7"/>
    </x:row>
    <x:row r="121">
      <x:c r="B121" s="3" t="s">
        <x:v>448</x:v>
      </x:c>
      <x:c r="C121" s="44">
        <x:v>9819</x:v>
      </x:c>
      <x:c r="D121" s="2"/>
      <x:c r="E121" s="2"/>
      <x:c r="F121" s="2"/>
      <x:c r="G121" s="2"/>
      <x:c r="H121" s="2"/>
      <x:c r="I121" s="7"/>
    </x:row>
    <x:row r="122">
      <x:c r="B122" s="3" t="s">
        <x:v>449</x:v>
      </x:c>
      <x:c r="C122" s="44">
        <x:v>10000</x:v>
      </x:c>
      <x:c r="D122" s="2"/>
      <x:c r="E122" s="2"/>
      <x:c r="F122" s="2"/>
      <x:c r="G122" s="2"/>
      <x:c r="H122" s="2"/>
      <x:c r="I122" s="7"/>
    </x:row>
    <x:row r="123">
      <x:c r="B123" s="3" t="s">
        <x:v>450</x:v>
      </x:c>
      <x:c r="C123" s="44">
        <x:v>0</x:v>
      </x:c>
      <x:c r="D123" s="2"/>
      <x:c r="E123" s="2"/>
      <x:c r="F123" s="2"/>
      <x:c r="G123" s="2"/>
      <x:c r="H123" s="2"/>
      <x:c r="I123" s="7"/>
    </x:row>
    <x:row r="124">
      <x:c r="B124" t="s">
        <x:v>451</x:v>
      </x:c>
      <x:c r="C124" s="44">
        <x:v>0</x:v>
      </x:c>
    </x:row>
    <x:row r="125">
      <x:c r="B125" t="s">
        <x:v>452</x:v>
      </x:c>
      <x:c r="C125" s="44">
        <x:v>0.0001</x:v>
      </x:c>
    </x:row>
  </x:sheetData>
  <x:pageMargins left="0.7" right="0.7" top="0.75" bottom="0.75" header="0.3" footer="0.3"/>
</x:worksheet>
</file>