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65249462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2ce6d1a655b84b41"/>
    <x:sheet xmlns:r="http://schemas.openxmlformats.org/officeDocument/2006/relationships" name="Revenue summary" sheetId="2" r:id="R8a5f6405970f46d4"/>
    <x:sheet xmlns:r="http://schemas.openxmlformats.org/officeDocument/2006/relationships" name="Segment - Cloud Memory" sheetId="3" r:id="Rd25196c3ce244316"/>
    <x:sheet xmlns:r="http://schemas.openxmlformats.org/officeDocument/2006/relationships" name="Segment - Core Data Center" sheetId="4" r:id="R401904d7b9ac4a74"/>
    <x:sheet xmlns:r="http://schemas.openxmlformats.org/officeDocument/2006/relationships" name="Segment - Mobile and Client" sheetId="5" r:id="Ra0d8a545c65f4cd5"/>
    <x:sheet xmlns:r="http://schemas.openxmlformats.org/officeDocument/2006/relationships" name="Segment - Automotive &amp; Embedded" sheetId="6" r:id="Ra2e923c41f8e4d09"/>
    <x:sheet xmlns:r="http://schemas.openxmlformats.org/officeDocument/2006/relationships" name="Income Statement" sheetId="7" r:id="R67f78f4578e046d1"/>
    <x:sheet xmlns:r="http://schemas.openxmlformats.org/officeDocument/2006/relationships" name="Balance Sheet" sheetId="8" r:id="Rd1a5940a318c45b0"/>
    <x:sheet xmlns:r="http://schemas.openxmlformats.org/officeDocument/2006/relationships" name="Cash Flow Statement" sheetId="9" r:id="R5d4c3be982ce4022"/>
    <x:sheet xmlns:r="http://schemas.openxmlformats.org/officeDocument/2006/relationships" name="Geo" sheetId="10" r:id="R884a4f20d7b64952"/>
    <x:sheet xmlns:r="http://schemas.openxmlformats.org/officeDocument/2006/relationships" name="Share Count" sheetId="11" r:id="Re97c2a19b8c84769"/>
    <x:sheet xmlns:r="http://schemas.openxmlformats.org/officeDocument/2006/relationships" name="Guidance" sheetId="12" r:id="R173b65e3360b49fb"/>
    <x:sheet xmlns:r="http://schemas.openxmlformats.org/officeDocument/2006/relationships" name="Sources" sheetId="13" r:id="Rd654bc8047574c25"/>
    <x:sheet xmlns:r="http://schemas.openxmlformats.org/officeDocument/2006/relationships" name="Inputs" sheetId="14" r:id="Rc3eeed2ad60c455a"/>
  </x:sheets>
</x:workbook>
</file>

<file path=xl/sharedStrings.xml><?xml version="1.0" encoding="utf-8"?>
<x:sst xmlns:x="http://schemas.openxmlformats.org/spreadsheetml/2006/main">
  <x:si>
    <x:t xml:space="preserve">Micron Technology, Inc.</x:t>
  </x:si>
  <x:si>
    <x:t xml:space="preserve">Cover</x:t>
  </x:si>
  <x:si>
    <x:t xml:space="preserve">$ millions, except per share</x:t>
  </x:si>
  <x:si>
    <x:t xml:space="preserve">Period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</x:si>
  <x:si>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</x:si>
  <x:si>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</x:si>
  <x:si>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</x:si>
  <x:si>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</x:si>
  <x:si>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</x:si>
  <x:si>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</x:si>
  <x:si>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</x:si>
  <x:si>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</x:si>
  <x:si>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 Model — built by Shortcut</x:t>
  </x:si>
  <x:si>
    <x:t xml:space="preserve">Company</x:t>
  </x:si>
  <x:si>
    <x:t xml:space="preserve">Ticker</x:t>
  </x:si>
  <x:si>
    <x:t xml:space="preserve">MU</x:t>
  </x:si>
  <x:si>
    <x:t xml:space="preserve">Exchange</x:t>
  </x:si>
  <x:si>
    <x:t xml:space="preserve">Nasdaq Global Select Market</x:t>
  </x:si>
  <x:si>
    <x:t xml:space="preserve">Fiscal year end</x:t>
  </x:si>
  <x:si>
    <x:t xml:space="preserve">Thursday closest to Aug 31</x:t>
  </x:si>
  <x:si>
    <x:t xml:space="preserve">Reporting currency</x:t>
  </x:si>
  <x:si>
    <x:t xml:space="preserve">USD</x:t>
  </x:si>
  <x:si>
    <x:t xml:space="preserve">EPS basis</x:t>
  </x:si>
  <x:si>
    <x:t xml:space="preserve">Normalized diluted per common share</x:t>
  </x:si>
  <x:si>
    <x:t xml:space="preserve">Information cutoff UTC</x:t>
  </x:si>
  <x:si>
    <x:t xml:space="preserve">2026-09-26T18:44:22Z</x:t>
  </x:si>
  <x:si>
    <x:t xml:space="preserve">Expected report date</x:t>
  </x:si>
  <x:si>
    <x:t xml:space="preserve">CapIQ captured date</x:t>
  </x:si>
  <x:si>
    <x:t xml:space="preserve">2026-09-24 (date only)</x:t>
  </x:si>
  <x:si>
    <x:t xml:space="preserve">Issuer actual FY26 year end</x:t>
  </x:si>
  <x:si>
    <x:t xml:space="preserve">2026-09-03 (53-week FY)</x:t>
  </x:si>
  <x:si>
    <x:t xml:space="preserve">CapIQ target month-end label</x:t>
  </x:si>
  <x:si>
    <x:t xml:space="preserve">2026-08-31 (issuer closes Sep 03)</x:t>
  </x:si>
  <x:si>
    <x:t xml:space="preserve">FQ4 2026 FORECAST VS 24 SEP CONSENSUS</x:t>
  </x:si>
  <x:si>
    <x:t xml:space="preserve">Notes</x:t>
  </x:si>
  <x:si>
    <x:t xml:space="preserve">Metric</x:t>
  </x:si>
  <x:si>
    <x:t xml:space="preserve">Estimate</x:t>
  </x:si>
  <x:si>
    <x:t xml:space="preserve">Consensus</x:t>
  </x:si>
  <x:si>
    <x:t xml:space="preserve">Variance</x:t>
  </x:si>
  <x:si>
    <x:t xml:space="preserve">Guide midpoint</x:t>
  </x:si>
  <x:si>
    <x:t xml:space="preserve">vs guidance</x:t>
  </x:si>
  <x:si>
    <x:t xml:space="preserve">Issuer does not guide net income; Sep 03 is the true 14-week fiscal close; CapIQ uses Aug 31 label.</x:t>
  </x:si>
  <x:si>
    <x:t xml:space="preserve">Revenue ($m)</x:t>
  </x:si>
  <x:si>
    <x:t xml:space="preserve">Normalized net income ($m)</x:t>
  </x:si>
  <x:si>
    <x:t xml:space="preserve">unavailable</x:t>
  </x:si>
  <x:si>
    <x:t xml:space="preserve">Normalized diluted EPS</x:t>
  </x:si>
  <x:si>
    <x:t xml:space="preserve">GAAP net income ($m)</x:t>
  </x:si>
  <x:si>
    <x:t xml:space="preserve">GAAP diluted EPS</x:t>
  </x:si>
  <x:si>
    <x:t xml:space="preserve">Sourced actual + forecast BS checks</x:t>
  </x:si>
  <x:si>
    <x:t xml:space="preserve">Cover-statement revenue check</x:t>
  </x:si>
  <x:si>
    <x:t xml:space="preserve">Cover-statement EPS check</x:t>
  </x:si>
  <x:si>
    <x:t xml:space="preserve">P(beat consensus EPS)</x:t>
  </x:si>
  <x:si>
    <x:t xml:space="preserve">Confidence</x:t>
  </x:si>
  <x:si>
    <x:t xml:space="preserve">Revenue summary</x:t>
  </x:si>
  <x:si>
    <x:t xml:space="preserve">REVENUE BY MEMORY TECHNOLOGY</x:t>
  </x:si>
  <x:si>
    <x:t xml:space="preserve">DRAM products</x:t>
  </x:si>
  <x:si>
    <x:t xml:space="preserve">  % Y/Y</x:t>
  </x:si>
  <x:si>
    <x:t xml:space="preserve">  % Q/Q</x:t>
  </x:si>
  <x:si>
    <x:t xml:space="preserve">  Organic Y/Y</x:t>
  </x:si>
  <x:si>
    <x:t xml:space="preserve">  M&amp;A / scope Y/Y</x:t>
  </x:si>
  <x:si>
    <x:t xml:space="preserve">  FX Y/Y</x:t>
  </x:si>
  <x:si>
    <x:t xml:space="preserve">  Total Y/Y</x:t>
  </x:si>
  <x:si>
    <x:t xml:space="preserve">NAND products</x:t>
  </x:si>
  <x:si>
    <x:t xml:space="preserve">Other products (primarily NOR)</x:t>
  </x:si>
  <x:si>
    <x:t xml:space="preserve">Technology revenue subtotal</x:t>
  </x:si>
  <x:si>
    <x:t xml:space="preserve">Technology vs segments check</x:t>
  </x:si>
  <x:si>
    <x:t xml:space="preserve">FY25/FY26 prior-quarter technology amounts are separately reported; forecast NOR is the residual of assumed DRAM and NAND to constructed unit revenue; Q4 zero is an allocation identity.</x:t>
  </x:si>
  <x:si>
    <x:t xml:space="preserve">REVENUE BY REPORTABLE SEGMENT</x:t>
  </x:si>
  <x:si>
    <x:t xml:space="preserve">Cloud Memory</x:t>
  </x:si>
  <x:si>
    <x:t xml:space="preserve">  % of total</x:t>
  </x:si>
  <x:si>
    <x:t xml:space="preserve">Core Data Center</x:t>
  </x:si>
  <x:si>
    <x:t xml:space="preserve">Mobile and Client</x:t>
  </x:si>
  <x:si>
    <x:t xml:space="preserve">Automotive and Embedded</x:t>
  </x:si>
  <x:si>
    <x:t xml:space="preserve">All other</x:t>
  </x:si>
  <x:si>
    <x:t xml:space="preserve">Total consolidated revenue</x:t>
  </x:si>
  <x:si>
    <x:t xml:space="preserve">Segment total vs reported / FY26 construction</x:t>
  </x:si>
  <x:si>
    <x:t xml:space="preserve">C:G reconciles independently to CapIQ revenue / audited FY25 revenue Inputs!L86; H compares two modeled sums and is only a construction identity.</x:t>
  </x:si>
  <x:si>
    <x:t xml:space="preserve">Data center segment subtotal</x:t>
  </x:si>
  <x:si>
    <x:t xml:space="preserve">Consumer + auto segment subtotal</x:t>
  </x:si>
  <x:si>
    <x:t xml:space="preserve">All-business-unit revenue</x:t>
  </x:si>
  <x:si>
    <x:t xml:space="preserve">Reconcile sum of segment shares</x:t>
  </x:si>
  <x:si>
    <x:t xml:space="preserve">  All other: % of total revenue</x:t>
  </x:si>
  <x:si>
    <x:t xml:space="preserve">SEGMENT REVENUE GROWTH DECOMPOSITION</x:t>
  </x:si>
  <x:si>
    <x:t xml:space="preserve">Cloud Memory — revenue growth</x:t>
  </x:si>
  <x:si>
    <x:t xml:space="preserve">  FX impact Y/Y</x:t>
  </x:si>
  <x:si>
    <x:t xml:space="preserve">Core Data Center — revenue growth</x:t>
  </x:si>
  <x:si>
    <x:t xml:space="preserve">Mobile and Client — revenue growth</x:t>
  </x:si>
  <x:si>
    <x:t xml:space="preserve">Automotive and Embedded — revenue growth</x:t>
  </x:si>
  <x:si>
    <x:t xml:space="preserve">All other — revenue growth</x:t>
  </x:si>
  <x:si>
    <x:t xml:space="preserve">ABSOLUTE SEQUENTIAL REVENUE &amp; MIX</x:t>
  </x:si>
  <x:si>
    <x:t xml:space="preserve">DRAM Q/Q revenue change ($m)</x:t>
  </x:si>
  <x:si>
    <x:t xml:space="preserve">NAND Q/Q revenue change ($m)</x:t>
  </x:si>
  <x:si>
    <x:t xml:space="preserve">Other technology Q/Q change ($m)</x:t>
  </x:si>
  <x:si>
    <x:t xml:space="preserve">Cloud Memory Q/Q revenue change</x:t>
  </x:si>
  <x:si>
    <x:t xml:space="preserve">  Cloud mix change (bps)</x:t>
  </x:si>
  <x:si>
    <x:t xml:space="preserve">Core Data Center Q/Q change</x:t>
  </x:si>
  <x:si>
    <x:t xml:space="preserve">  Core mix change (bps)</x:t>
  </x:si>
  <x:si>
    <x:t xml:space="preserve">Mobile and Client Q/Q change</x:t>
  </x:si>
  <x:si>
    <x:t xml:space="preserve">  Mobile mix change (bps)</x:t>
  </x:si>
  <x:si>
    <x:t xml:space="preserve">Automotive and Embedded Q/Q change</x:t>
  </x:si>
  <x:si>
    <x:t xml:space="preserve">  Automotive mix change (bps)</x:t>
  </x:si>
  <x:si>
    <x:t xml:space="preserve">All other Q/Q revenue change</x:t>
  </x:si>
  <x:si>
    <x:t xml:space="preserve">  All other mix change (bps)</x:t>
  </x:si>
  <x:si>
    <x:t xml:space="preserve">Total revenue change Q/Q</x:t>
  </x:si>
  <x:si>
    <x:t xml:space="preserve">Segment changes less total change</x:t>
  </x:si>
  <x:si>
    <x:t xml:space="preserve">Segment - Cloud Memory</x:t>
  </x:si>
  <x:si>
    <x:t xml:space="preserve">SHIPMENT &amp; PRICING DRIVERS</x:t>
  </x:si>
  <x:si>
    <x:t xml:space="preserve">Previous-quarter revenue</x:t>
  </x:si>
  <x:si>
    <x:t xml:space="preserve">Daily revenue rate</x:t>
  </x:si>
  <x:si>
    <x:t xml:space="preserve">Days in forecast period</x:t>
  </x:si>
  <x:si>
    <x:t xml:space="preserve">Assumed bit shipment Q/Q (%)</x:t>
  </x:si>
  <x:si>
    <x:t xml:space="preserve">  Bit shipment change (bps)</x:t>
  </x:si>
  <x:si>
    <x:t xml:space="preserve">Assumed blended ASP Q/Q (%)</x:t>
  </x:si>
  <x:si>
    <x:t xml:space="preserve">  ASP change (basis points)</x:t>
  </x:si>
  <x:si>
    <x:t xml:space="preserve">Calendar-adjusted base revenue</x:t>
  </x:si>
  <x:si>
    <x:t xml:space="preserve">Incremental bit volume revenue</x:t>
  </x:si>
  <x:si>
    <x:t xml:space="preserve">Incremental ASP revenue</x:t>
  </x:si>
  <x:si>
    <x:t xml:space="preserve">Total segment revenue</x:t>
  </x:si>
  <x:si>
    <x:t xml:space="preserve">  Revenue growth Y/Y</x:t>
  </x:si>
  <x:si>
    <x:t xml:space="preserve">  Revenue growth Q/Q</x:t>
  </x:si>
  <x:si>
    <x:t xml:space="preserve">  % of consolidated revenue</x:t>
  </x:si>
  <x:si>
    <x:t xml:space="preserve">  Organic growth Y/Y</x:t>
  </x:si>
  <x:si>
    <x:t xml:space="preserve">  M&amp;A / scope growth Y/Y</x:t>
  </x:si>
  <x:si>
    <x:t xml:space="preserve">  Total revenue growth Y/Y</x:t>
  </x:si>
  <x:si>
    <x:t xml:space="preserve">SEGMENT PROFITABILITY</x:t>
  </x:si>
  <x:si>
    <x:t xml:space="preserve">Cost of goods sold</x:t>
  </x:si>
  <x:si>
    <x:t xml:space="preserve">Gross profit</x:t>
  </x:si>
  <x:si>
    <x:t xml:space="preserve">  Gross margin</x:t>
  </x:si>
  <x:si>
    <x:t xml:space="preserve">  Gross margin Δ (bps)</x:t>
  </x:si>
  <x:si>
    <x:t xml:space="preserve">Research &amp; development</x:t>
  </x:si>
  <x:si>
    <x:t xml:space="preserve">Selling, general &amp; admin.</x:t>
  </x:si>
  <x:si>
    <x:t xml:space="preserve">Other operating expenses</x:t>
  </x:si>
  <x:si>
    <x:t xml:space="preserve">Operating profit</x:t>
  </x:si>
  <x:si>
    <x:t xml:space="preserve">  Operating margin</x:t>
  </x:si>
  <x:si>
    <x:t xml:space="preserve">  Operating margin Δ (bps)</x:t>
  </x:si>
  <x:si>
    <x:t xml:space="preserve">  Operating profit Y/Y</x:t>
  </x:si>
  <x:si>
    <x:t xml:space="preserve">  Operating profit Q/Q</x:t>
  </x:si>
  <x:si>
    <x:t xml:space="preserve">INDEXED VOLUME &amp; REALISED PRICE (MODEL ONLY)</x:t>
  </x:si>
  <x:si>
    <x:t xml:space="preserve">Historic 4Q25 COGS, expenses and profit derive from audited FY25 segment totals less SEC FY25 nine-month comparative amounts; indexed forecast bit volume is not physical units.</x:t>
  </x:si>
  <x:si>
    <x:t xml:space="preserve">Opening shipment index</x:t>
  </x:si>
  <x:si>
    <x:t xml:space="preserve">Gross positive bit change</x:t>
  </x:si>
  <x:si>
    <x:t xml:space="preserve">Negative bit change (not churn)</x:t>
  </x:si>
  <x:si>
    <x:t xml:space="preserve">Net shipment-index change</x:t>
  </x:si>
  <x:si>
    <x:t xml:space="preserve">Closing shipment index</x:t>
  </x:si>
  <x:si>
    <x:t xml:space="preserve">Average shipment index</x:t>
  </x:si>
  <x:si>
    <x:t xml:space="preserve">  Index sequential change</x:t>
  </x:si>
  <x:si>
    <x:t xml:space="preserve">  Index sequential growth</x:t>
  </x:si>
  <x:si>
    <x:t xml:space="preserve">Realised ASP price index (x)</x:t>
  </x:si>
  <x:si>
    <x:t xml:space="preserve">  ASP index sequential change (%)</x:t>
  </x:si>
  <x:si>
    <x:t xml:space="preserve">Absolute unit shipments unavailable</x:t>
  </x:si>
  <x:si>
    <x:t xml:space="preserve">4Q25 segment operating income recon</x:t>
  </x:si>
  <x:si>
    <x:t xml:space="preserve">Revenue Q/Q change ($m)</x:t>
  </x:si>
  <x:si>
    <x:t xml:space="preserve">  Revenue mix Δ (bps)</x:t>
  </x:si>
  <x:si>
    <x:t xml:space="preserve">Revenue Y/Y change ($m)</x:t>
  </x:si>
  <x:si>
    <x:t xml:space="preserve">Segment - Core Data Center</x:t>
  </x:si>
  <x:si>
    <x:t xml:space="preserve">Segment - Mobile and Client</x:t>
  </x:si>
  <x:si>
    <x:t xml:space="preserve">Segment - Automotive &amp; Embedded</x:t>
  </x:si>
  <x:si>
    <x:t xml:space="preserve">Income Statement</x:t>
  </x:si>
  <x:si>
    <x:t xml:space="preserve">GAAP CONSOLIDATED STATEMENT</x:t>
  </x:si>
  <x:si>
    <x:t xml:space="preserve">Revenue</x:t>
  </x:si>
  <x:si>
    <x:t xml:space="preserve">Restructure and impairments</x:t>
  </x:si>
  <x:si>
    <x:t xml:space="preserve">Total operating expenses</x:t>
  </x:si>
  <x:si>
    <x:t xml:space="preserve">Operating income</x:t>
  </x:si>
  <x:si>
    <x:t xml:space="preserve">Interest income</x:t>
  </x:si>
  <x:si>
    <x:t xml:space="preserve">Interest expense (negative)</x:t>
  </x:si>
  <x:si>
    <x:t xml:space="preserve">Other nonoperating income (expense)</x:t>
  </x:si>
  <x:si>
    <x:t xml:space="preserve">Income before income taxes</x:t>
  </x:si>
  <x:si>
    <x:t xml:space="preserve">Income tax expense (negative)</x:t>
  </x:si>
  <x:si>
    <x:t xml:space="preserve">  Effective tax rate</x:t>
  </x:si>
  <x:si>
    <x:t xml:space="preserve">Equity method earnings (loss)</x:t>
  </x:si>
  <x:si>
    <x:t xml:space="preserve">GAAP net income</x:t>
  </x:si>
  <x:si>
    <x:t xml:space="preserve">Weighted-average basic shares</x:t>
  </x:si>
  <x:si>
    <x:t xml:space="preserve">Weighted-average GAAP diluted shares</x:t>
  </x:si>
  <x:si>
    <x:t xml:space="preserve">GAAP EPS calculation check</x:t>
  </x:si>
  <x:si>
    <x:t xml:space="preserve">GAAP TO NORMALIZED BRIDGE</x:t>
  </x:si>
  <x:si>
    <x:t xml:space="preserve">GAAP net income (bridge)</x:t>
  </x:si>
  <x:si>
    <x:t xml:space="preserve">Add: share-based compensation</x:t>
  </x:si>
  <x:si>
    <x:t xml:space="preserve">Add: loss on debt prepayment</x:t>
  </x:si>
  <x:si>
    <x:t xml:space="preserve">Add: restructuring/impairment</x:t>
  </x:si>
  <x:si>
    <x:t xml:space="preserve">Add: patent license expense</x:t>
  </x:si>
  <x:si>
    <x:t xml:space="preserve">Add: other adjustments</x:t>
  </x:si>
  <x:si>
    <x:t xml:space="preserve">Less: adjustment tax effects</x:t>
  </x:si>
  <x:si>
    <x:t xml:space="preserve">Normalized net income</x:t>
  </x:si>
  <x:si>
    <x:t xml:space="preserve">Additional non-GAAP diluted shares</x:t>
  </x:si>
  <x:si>
    <x:t xml:space="preserve">Normalized weighted diluted shares</x:t>
  </x:si>
  <x:si>
    <x:t xml:space="preserve">  Difference: normalized - GAAP EPS</x:t>
  </x:si>
  <x:si>
    <x:t xml:space="preserve">Normalized EPS vs supplied history</x:t>
  </x:si>
  <x:si>
    <x:t xml:space="preserve">Forecast diluted EPS vs consensus</x:t>
  </x:si>
  <x:si>
    <x:t xml:space="preserve">Forecast revenue vs consensus</x:t>
  </x:si>
  <x:si>
    <x:t xml:space="preserve">Balance Sheet</x:t>
  </x:si>
  <x:si>
    <x:t xml:space="preserve">ASSETS</x:t>
  </x:si>
  <x:si>
    <x:t xml:space="preserve">Cash and equivalents</x:t>
  </x:si>
  <x:si>
    <x:t xml:space="preserve">Short-term investments</x:t>
  </x:si>
  <x:si>
    <x:t xml:space="preserve">Receivables</x:t>
  </x:si>
  <x:si>
    <x:t xml:space="preserve">Inventories</x:t>
  </x:si>
  <x:si>
    <x:t xml:space="preserve">Other current assets</x:t>
  </x:si>
  <x:si>
    <x:t xml:space="preserve">Total current assets</x:t>
  </x:si>
  <x:si>
    <x:t xml:space="preserve">Long-term marketable investments</x:t>
  </x:si>
  <x:si>
    <x:t xml:space="preserve">Property, plant and equipment</x:t>
  </x:si>
  <x:si>
    <x:t xml:space="preserve">Operating lease right-of-use assets</x:t>
  </x:si>
  <x:si>
    <x:t xml:space="preserve">Intangible assets</x:t>
  </x:si>
  <x:si>
    <x:t xml:space="preserve">Deferred tax assets</x:t>
  </x:si>
  <x:si>
    <x:t xml:space="preserve">Goodwill</x:t>
  </x:si>
  <x:si>
    <x:t xml:space="preserve">Other noncurrent assets / projection residual</x:t>
  </x:si>
  <x:si>
    <x:t xml:space="preserve">Total assets</x:t>
  </x:si>
  <x:si>
    <x:t xml:space="preserve">LIABILITIES</x:t>
  </x:si>
  <x:si>
    <x:t xml:space="preserve">Accounts payable and accruals</x:t>
  </x:si>
  <x:si>
    <x:t xml:space="preserve">Current debt</x:t>
  </x:si>
  <x:si>
    <x:t xml:space="preserve">Other current liabilities</x:t>
  </x:si>
  <x:si>
    <x:t xml:space="preserve">Total current liabilities</x:t>
  </x:si>
  <x:si>
    <x:t xml:space="preserve">Long-term debt</x:t>
  </x:si>
  <x:si>
    <x:t xml:space="preserve">Operating lease liabilities</x:t>
  </x:si>
  <x:si>
    <x:t xml:space="preserve">Noncurrent government incentives</x:t>
  </x:si>
  <x:si>
    <x:t xml:space="preserve">Other noncurrent liabilities</x:t>
  </x:si>
  <x:si>
    <x:t xml:space="preserve">Total liabilities</x:t>
  </x:si>
  <x:si>
    <x:t xml:space="preserve">EQUITY</x:t>
  </x:si>
  <x:si>
    <x:t xml:space="preserve">Common stock</x:t>
  </x:si>
  <x:si>
    <x:t xml:space="preserve">Additional paid-in capital</x:t>
  </x:si>
  <x:si>
    <x:t xml:space="preserve">Retained earnings</x:t>
  </x:si>
  <x:si>
    <x:t xml:space="preserve">Treasury stock (negative)</x:t>
  </x:si>
  <x:si>
    <x:t xml:space="preserve">Accumulated other comprehensive</x:t>
  </x:si>
  <x:si>
    <x:t xml:space="preserve">Total equity</x:t>
  </x:si>
  <x:si>
    <x:t xml:space="preserve">Total liabilities plus equity</x:t>
  </x:si>
  <x:si>
    <x:t xml:space="preserve">ASSETS - LIABILITIES - EQUITY</x:t>
  </x:si>
  <x:si>
    <x:t xml:space="preserve">Cash balance vs cash flow check</x:t>
  </x:si>
  <x:si>
    <x:t xml:space="preserve">Historical balance reported vs model</x:t>
  </x:si>
  <x:si>
    <x:t xml:space="preserve">Retained earnings increase</x:t>
  </x:si>
  <x:si>
    <x:t xml:space="preserve">Cash Flow Statement</x:t>
  </x:si>
  <x:si>
    <x:t xml:space="preserve">OPERATING CASH FLOWS</x:t>
  </x:si>
  <x:si>
    <x:t xml:space="preserve">Net income</x:t>
  </x:si>
  <x:si>
    <x:t xml:space="preserve">Depreciation / amortization</x:t>
  </x:si>
  <x:si>
    <x:t xml:space="preserve">Stock-based compensation</x:t>
  </x:si>
  <x:si>
    <x:t xml:space="preserve">Receivables movement</x:t>
  </x:si>
  <x:si>
    <x:t xml:space="preserve">Inventory movement</x:t>
  </x:si>
  <x:si>
    <x:t xml:space="preserve">Accounts payable movement</x:t>
  </x:si>
  <x:si>
    <x:t xml:space="preserve">Other current-liability movement</x:t>
  </x:si>
  <x:si>
    <x:t xml:space="preserve">Other noncurrent-liability movement</x:t>
  </x:si>
  <x:si>
    <x:t xml:space="preserve">Other operating movements / WC</x:t>
  </x:si>
  <x:si>
    <x:t xml:space="preserve">Net cash provided by operations</x:t>
  </x:si>
  <x:si>
    <x:t xml:space="preserve">CFO subtotal construction identity</x:t>
  </x:si>
  <x:si>
    <x:t xml:space="preserve">INVESTING CASH FLOWS</x:t>
  </x:si>
  <x:si>
    <x:t xml:space="preserve">Property &amp; equipment expenditures</x:t>
  </x:si>
  <x:si>
    <x:t xml:space="preserve">Investment, incentives and other</x:t>
  </x:si>
  <x:si>
    <x:t xml:space="preserve">Net cash used for investing</x:t>
  </x:si>
  <x:si>
    <x:t xml:space="preserve">FINANCING CASH FLOWS</x:t>
  </x:si>
  <x:si>
    <x:t xml:space="preserve">Share repurchase program</x:t>
  </x:si>
  <x:si>
    <x:t xml:space="preserve">Equity-award tax withholding</x:t>
  </x:si>
  <x:si>
    <x:t xml:space="preserve">Dividends paid</x:t>
  </x:si>
  <x:si>
    <x:t xml:space="preserve">Debt net proceeds / repayment</x:t>
  </x:si>
  <x:si>
    <x:t xml:space="preserve">Other financing flows</x:t>
  </x:si>
  <x:si>
    <x:t xml:space="preserve">Net cash from financing</x:t>
  </x:si>
  <x:si>
    <x:t xml:space="preserve">Effect of FX on cash</x:t>
  </x:si>
  <x:si>
    <x:t xml:space="preserve">Total cash change incl restricted</x:t>
  </x:si>
  <x:si>
    <x:t xml:space="preserve">Beginning cash incl restricted</x:t>
  </x:si>
  <x:si>
    <x:t xml:space="preserve">Ending cash incl restricted</x:t>
  </x:si>
  <x:si>
    <x:t xml:space="preserve">Restricted cash (reconciliation)</x:t>
  </x:si>
  <x:si>
    <x:t xml:space="preserve">Ending cash &amp; equivalents</x:t>
  </x:si>
  <x:si>
    <x:t xml:space="preserve">Linked ending cash identity</x:t>
  </x:si>
  <x:si>
    <x:t xml:space="preserve">Forecast BS cash is linked directly to this cash flow: H38:H39 are construction identities, not independent observations.</x:t>
  </x:si>
  <x:si>
    <x:t xml:space="preserve">Linked cash change identity</x:t>
  </x:si>
  <x:si>
    <x:t xml:space="preserve">Total cash check passes</x:t>
  </x:si>
  <x:si>
    <x:t xml:space="preserve">Receivables cash conversion check</x:t>
  </x:si>
  <x:si>
    <x:t xml:space="preserve">H41:H44 audit the written accounting relationships; independently sourced forecast cash, geography and target-quarter results do not yet exist.</x:t>
  </x:si>
  <x:si>
    <x:t xml:space="preserve">Payables cash conversion check</x:t>
  </x:si>
  <x:si>
    <x:t xml:space="preserve">PP&amp;E capital roll-forward check</x:t>
  </x:si>
  <x:si>
    <x:t xml:space="preserve">Other noncurrent assets / cash check</x:t>
  </x:si>
  <x:si>
    <x:t xml:space="preserve">Geo</x:t>
  </x:si>
  <x:si>
    <x:t xml:space="preserve">CUSTOMER HEADQUARTERS GEOGRAPHY</x:t>
  </x:si>
  <x:si>
    <x:t xml:space="preserve">U.S.</x:t>
  </x:si>
  <x:si>
    <x:t xml:space="preserve">Issuer Note 29 reports annual 2025 customer headquarters, not quarterly country revenue. Estimate preserves annual 2025 geographic shares; unavailable quarter splits are not invented.</x:t>
  </x:si>
  <x:si>
    <x:t xml:space="preserve">  % Y/Y (quarter unavailable)</x:t>
  </x:si>
  <x:si>
    <x:t xml:space="preserve">  Mix change (bps)</x:t>
  </x:si>
  <x:si>
    <x:t xml:space="preserve">Taiwan</x:t>
  </x:si>
  <x:si>
    <x:t xml:space="preserve">Mainland China (excluding Hong Kong)</x:t>
  </x:si>
  <x:si>
    <x:t xml:space="preserve">Other Asia Pacific</x:t>
  </x:si>
  <x:si>
    <x:t xml:space="preserve">Hong Kong</x:t>
  </x:si>
  <x:si>
    <x:t xml:space="preserve">Japan</x:t>
  </x:si>
  <x:si>
    <x:t xml:space="preserve">Europe</x:t>
  </x:si>
  <x:si>
    <x:t xml:space="preserve">Other</x:t>
  </x:si>
  <x:si>
    <x:t xml:space="preserve">Total disclosed geography</x:t>
  </x:si>
  <x:si>
    <x:t xml:space="preserve">FY25 reported tie / forecast mix identity</x:t>
  </x:si>
  <x:si>
    <x:t xml:space="preserve">D43 tests annual country amounts vs separately reported FY25 revenue. H43 is an identity because FY25 mix allocates forecast total; no independent FY26 country data exists.</x:t>
  </x:si>
  <x:si>
    <x:t xml:space="preserve">Historical quarterly geography not disclosed</x:t>
  </x:si>
  <x:si>
    <x:t xml:space="preserve">Share Count</x:t>
  </x:si>
  <x:si>
    <x:t xml:space="preserve">SHARE ROLL-FORWARD ($m / m shares)</x:t>
  </x:si>
  <x:si>
    <x:t xml:space="preserve">Share repurchases (cash; negative)</x:t>
  </x:si>
  <x:si>
    <x:t xml:space="preserve">Employee award withholding (cash)</x:t>
  </x:si>
  <x:si>
    <x:t xml:space="preserve">Share issuance (shares; unavailable)</x:t>
  </x:si>
  <x:si>
    <x:t xml:space="preserve">Change in weighted basic shares</x:t>
  </x:si>
  <x:si>
    <x:t xml:space="preserve">Share dilution attributable to equity awards</x:t>
  </x:si>
  <x:si>
    <x:t xml:space="preserve">  Basic shares sequential change</x:t>
  </x:si>
  <x:si>
    <x:t xml:space="preserve">Dilutive equity compensation</x:t>
  </x:si>
  <x:si>
    <x:t xml:space="preserve">Additional normalized diluted shares</x:t>
  </x:si>
  <x:si>
    <x:t xml:space="preserve">Weighted-average normalized diluted shares</x:t>
  </x:si>
  <x:si>
    <x:t xml:space="preserve">GAAP diluted vs basic share delta</x:t>
  </x:si>
  <x:si>
    <x:t xml:space="preserve">Normalized vs GAAP share delta</x:t>
  </x:si>
  <x:si>
    <x:t xml:space="preserve">Net income per basic share</x:t>
  </x:si>
  <x:si>
    <x:t xml:space="preserve">GAAP EPS denominator reconciliation</x:t>
  </x:si>
  <x:si>
    <x:t xml:space="preserve">Normalized EPS denominator reconciliation</x:t>
  </x:si>
  <x:si>
    <x:t xml:space="preserve">Guidance</x:t>
  </x:si>
  <x:si>
    <x:t xml:space="preserve">Published</x:t>
  </x:si>
  <x:si>
    <x:t xml:space="preserve">Target</x:t>
  </x:si>
  <x:si>
    <x:t xml:space="preserve">Basis</x:t>
  </x:si>
  <x:si>
    <x:t xml:space="preserve">Low</x:t>
  </x:si>
  <x:si>
    <x:t xml:space="preserve">High</x:t>
  </x:si>
  <x:si>
    <x:t xml:space="preserve">Midpoint</x:t>
  </x:si>
  <x:si>
    <x:t xml:space="preserve">Actual</x:t>
  </x:si>
  <x:si>
    <x:t xml:space="preserve">Beat / miss</x:t>
  </x:si>
  <x:si>
    <x:t xml:space="preserve">GAAP</x:t>
  </x:si>
  <x:si>
    <x:t xml:space="preserve">Gross margin</x:t>
  </x:si>
  <x:si>
    <x:t xml:space="preserve">non-GAAP</x:t>
  </x:si>
  <x:si>
    <x:t xml:space="preserve">Operating expense</x:t>
  </x:si>
  <x:si>
    <x:t xml:space="preserve">FQ4 2026 actual unavailable as of 2026-09-26 cutoff.</x:t>
  </x:si>
  <x:si>
    <x:t xml:space="preserve">Approximately 86% guidance is a point indication, not a guaranteed floor/ceiling.</x:t>
  </x:si>
  <x:si>
    <x:t xml:space="preserve">Sources</x:t>
  </x:si>
  <x:si>
    <x:t xml:space="preserve">ID</x:t>
  </x:si>
  <x:si>
    <x:t xml:space="preserve">Publisher</x:t>
  </x:si>
  <x:si>
    <x:t xml:space="preserve">URL or file</x:t>
  </x:si>
  <x:si>
    <x:t xml:space="preserve">What this feeds</x:t>
  </x:si>
  <x:si>
    <x:t xml:space="preserve">CAP01</x:t>
  </x:si>
  <x:si>
    <x:t xml:space="preserve">S&amp;P Capital IQ</x:t>
  </x:si>
  <x:si>
    <x:t xml:space="preserve">MU_history.csv</x:t>
  </x:si>
  <x:si>
    <x:t xml:space="preserve">Inputs!B9:I15; supplied revenue and EPS comparisons</x:t>
  </x:si>
  <x:si>
    <x:t xml:space="preserve">CAP02</x:t>
  </x:si>
  <x:si>
    <x:t xml:space="preserve">MU_consensus.json</x:t>
  </x:si>
  <x:si>
    <x:t xml:space="preserve">Inputs!B20:C73; Cover!C23:G27; latest available consensus</x:t>
  </x:si>
  <x:si>
    <x:t xml:space="preserve">SEC01</x:t>
  </x:si>
  <x:si>
    <x:t xml:space="preserve">Micron / SEC</x:t>
  </x:si>
  <x:si>
    <x:t xml:space="preserve">https://www.sec.gov/Archives/edgar/data/723125/000072312525000024/a2025q4ex991-pressrelease.htm</x:t>
  </x:si>
  <x:si>
    <x:t xml:space="preserve">FY2025 and Q4 2025 GAAP, segment results, EPS bridge and guidance</x:t>
  </x:si>
  <x:si>
    <x:t xml:space="preserve">SEC02</x:t>
  </x:si>
  <x:si>
    <x:t xml:space="preserve">https://www.sec.gov/Archives/edgar/data/723125/000072312525000028/mu-20250828.htm</x:t>
  </x:si>
  <x:si>
    <x:t xml:space="preserve">FY2025 10-K and 52-/53-week fiscal year basis</x:t>
  </x:si>
  <x:si>
    <x:t xml:space="preserve">SEC03</x:t>
  </x:si>
  <x:si>
    <x:t xml:space="preserve">https://www.sec.gov/Archives/edgar/data/723125/000072312525000044/a2026q1ex991-pressrelease.htm</x:t>
  </x:si>
  <x:si>
    <x:t xml:space="preserve">Fiscal Q1 results and Q2 guidance</x:t>
  </x:si>
  <x:si>
    <x:t xml:space="preserve">SEC04</x:t>
  </x:si>
  <x:si>
    <x:t xml:space="preserve">https://www.sec.gov/Archives/edgar/data/723125/000072312525000046/mu-20251127.htm</x:t>
  </x:si>
  <x:si>
    <x:t xml:space="preserve">Q1 2026 reportable segments, technology splits, CF and balance</x:t>
  </x:si>
  <x:si>
    <x:t xml:space="preserve">SEC05</x:t>
  </x:si>
  <x:si>
    <x:t xml:space="preserve">https://www.sec.gov/Archives/edgar/data/723125/000072312526000004/a2026q2ex991-pressrelease.htm</x:t>
  </x:si>
  <x:si>
    <x:t xml:space="preserve">Q2 2026 results and Q3 outlook</x:t>
  </x:si>
  <x:si>
    <x:t xml:space="preserve">SEC06</x:t>
  </x:si>
  <x:si>
    <x:t xml:space="preserve">https://www.sec.gov/Archives/edgar/data/723125/000072312526000006/mu-20260226.htm</x:t>
  </x:si>
  <x:si>
    <x:t xml:space="preserve">Q2 2026 segments, cash flow, B/S and DRAM/NAND revenues</x:t>
  </x:si>
  <x:si>
    <x:t xml:space="preserve">SEC07</x:t>
  </x:si>
  <x:si>
    <x:t xml:space="preserve">https://www.sec.gov/Archives/edgar/data/723125/000072312526000013/a2026q3ex991-pressrelease.htm</x:t>
  </x:si>
  <x:si>
    <x:t xml:space="preserve">Q3 2026 GAAP, bridge and 4Q26 company guidance</x:t>
  </x:si>
  <x:si>
    <x:t xml:space="preserve">SEC08</x:t>
  </x:si>
  <x:si>
    <x:t xml:space="preserve">https://www.sec.gov/Archives/edgar/data/723125/000072312526000015/mu-20260528.htm</x:t>
  </x:si>
  <x:si>
    <x:t xml:space="preserve">Four reportable units, revenue technologies, 53-week FY, 14-week Q4</x:t>
  </x:si>
  <x:si>
    <x:t xml:space="preserve">SEC09</x:t>
  </x:si>
  <x:si>
    <x:t xml:space="preserve">https://www.sec.gov/Archives/edgar/data/723125/000072312525000028/R36.htm</x:t>
  </x:si>
  <x:si>
    <x:t xml:space="preserve">FY2025 customer HQ geography; Geo!D10:D42</x:t>
  </x:si>
  <x:si>
    <x:t xml:space="preserve">SEC10</x:t>
  </x:si>
  <x:si>
    <x:t xml:space="preserve">https://www.sec.gov/Archives/edgar/data/723125/000072312525000028/R108.htm</x:t>
  </x:si>
  <x:si>
    <x:t xml:space="preserve">FY2025 reportable segment operating income and COGS</x:t>
  </x:si>
  <x:si>
    <x:t xml:space="preserve">IND01</x:t>
  </x:si>
  <x:si>
    <x:t xml:space="preserve">TrendForce</x:t>
  </x:si>
  <x:si>
    <x:t xml:space="preserve">https://www.trendforce.com/presscenter/news/20260907-13219.html</x:t>
  </x:si>
  <x:si>
    <x:t xml:space="preserve">Q3 CY26 DRAM price growth moderation; forecast ASP judgement</x:t>
  </x:si>
  <x:si>
    <x:t xml:space="preserve">PEER01</x:t>
  </x:si>
  <x:si>
    <x:t xml:space="preserve">SK hynix</x:t>
  </x:si>
  <x:si>
    <x:t xml:space="preserve">https://news.skhynix.com/en/q2-2026-business-results/</x:t>
  </x:si>
  <x:si>
    <x:t xml:space="preserve">Peer DRAM/NAND price, enterprise-SSD demand evidence</x:t>
  </x:si>
  <x:si>
    <x:t xml:space="preserve">NEWS01</x:t>
  </x:si>
  <x:si>
    <x:t xml:space="preserve">The Motley Fool</x:t>
  </x:si>
  <x:si>
    <x:t xml:space="preserve">https://www.fool.com/investing/2026/09/24/micron-stock-gets-a-big-wall-street-boost-ahead-of-earnings/</x:t>
  </x:si>
  <x:si>
    <x:t xml:space="preserve">Contemporaneous preview and tight memory-supply evidence</x:t>
  </x:si>
  <x:si>
    <x:t xml:space="preserve">NEWS02</x:t>
  </x:si>
  <x:si>
    <x:t xml:space="preserve">Market Review Hub / Citi</x:t>
  </x:si>
  <x:si>
    <x:t xml:space="preserve">https://marketreviewhub.com/citi-doubles-down-on-micron-stock-ahead-of-earnings/</x:t>
  </x:si>
  <x:si>
    <x:t xml:space="preserve">Citi estimate revision: $51bn revenue/$31.45 EPS; below attached $31.60 norm mean</x:t>
  </x:si>
  <x:si>
    <x:t xml:space="preserve">INPUT AUDIT &amp; PERIOD IDENTIFICATION</x:t>
  </x:si>
  <x:si>
    <x:t xml:space="preserve">MU_history.csv SHA256</x:t>
  </x:si>
  <x:si>
    <x:t xml:space="preserve">ccd35d98107c541b694c774102d13befc5f4462c6a9354e00f9c6654fa45d223</x:t>
  </x:si>
  <x:si>
    <x:t xml:space="preserve">MU_consensus.json SHA256</x:t>
  </x:si>
  <x:si>
    <x:t xml:space="preserve">dd7ba50acc461d0c4f35159e99baa611723ccde23ba911acd968fee451c3bb46</x:t>
  </x:si>
  <x:si>
    <x:t xml:space="preserve">CapIQ captured (date only)</x:t>
  </x:si>
  <x:si>
    <x:t xml:space="preserve">Research cutoff UTC</x:t>
  </x:si>
  <x:si>
    <x:t xml:space="preserve">Issuer fiscal Q4 end</x:t>
  </x:si>
  <x:si>
    <x:t xml:space="preserve">2026-09-03; supplied CapIQ label is 2026-08-31</x:t>
  </x:si>
  <x:si>
    <x:t xml:space="preserve">Geographic quarter splits</x:t>
  </x:si>
  <x:si>
    <x:t xml:space="preserve">Unavailable: 2025 10-K Note 29 discloses annual only; 2026 10-Qs checked.</x:t>
  </x:si>
  <x:si>
    <x:t xml:space="preserve">All other segment tab omitted</x:t>
  </x:si>
  <x:si>
    <x:t xml:space="preserve">2026-05-28 Form 10-Q Note 17: nonreportable $8m; shown Revenue summary!G50.</x:t>
  </x:si>
  <x:si>
    <x:t xml:space="preserve">Customer/unit ladder</x:t>
  </x:si>
  <x:si>
    <x:t xml:space="preserve">Unit customer counts/absolute shipments not disclosed in 2026-05-28 10-Q; explicit forecast bit/ASP assumptions are indexed.</x:t>
  </x:si>
  <x:si>
    <x:t xml:space="preserve">Net income guidance</x:t>
  </x:si>
  <x:si>
    <x:t xml:space="preserve">Unavailable: 2026-06-24 release guides EPS but does not guide net income.</x:t>
  </x:si>
  <x:si>
    <x:t xml:space="preserve">Forecast bias and miss risks</x:t>
  </x:si>
  <x:si>
    <x:t xml:space="preserve">TrendForce Q3 pricing moderation, weak consumer memory, Citi EPS $31.45 below attached normalized $31.60; only small forecast premium.</x:t>
  </x:si>
  <x:si>
    <x:t xml:space="preserve">Historical 4Q25 segment COGS</x:t>
  </x:si>
  <x:si>
    <x:t xml:space="preserve">FY25 10-K segment annual less Q3 FY26 10-Q FY25 nine-month comparatives: Inputs!M89:Q94, Segment tabs!C30:C38.</x:t>
  </x:si>
  <x:si>
    <x:t xml:space="preserve">Unit customer additions/churn</x:t>
  </x:si>
  <x:si>
    <x:t xml:space="preserve">Unavailable (not a reported semiconductor operating KPI); index ≠ physical shipment or customer count.</x:t>
  </x:si>
  <x:si>
    <x:t xml:space="preserve">Check provenance warning</x:t>
  </x:si>
  <x:si>
    <x:t xml:space="preserve">Actual C:G revenue ties independently to CapIQ or SEC 2025 10-K. Forecast product, geo and BS cash totals are modeled identities; never represent them as independent disclosed results.</x:t>
  </x:si>
  <x:si>
    <x:t xml:space="preserve">Inputs</x:t>
  </x:si>
  <x:si>
    <x:t xml:space="preserve">Norm EPS cons.</x:t>
  </x:si>
  <x:si>
    <x:t xml:space="preserve">Norm EPS actual</x:t>
  </x:si>
  <x:si>
    <x:t xml:space="preserve">GAAP EPS cons.</x:t>
  </x:si>
  <x:si>
    <x:t xml:space="preserve">GAAP EPS actual</x:t>
  </x:si>
  <x:si>
    <x:t xml:space="preserve">Revenue cons.</x:t>
  </x:si>
  <x:si>
    <x:t xml:space="preserve">Revenue actual</x:t>
  </x:si>
  <x:si>
    <x:t xml:space="preserve">Report date</x:t>
  </x:si>
  <x:si>
    <x:t xml:space="preserve">FORECAST ASSUMPTIONS</x:t>
  </x:si>
  <x:si>
    <x:t xml:space="preserve">Value</x:t>
  </x:si>
  <x:si>
    <x:t xml:space="preserve">Cloud: bit growth</x:t>
  </x:si>
  <x:si>
    <x:t xml:space="preserve">Cloud: ASP growth</x:t>
  </x:si>
  <x:si>
    <x:t xml:space="preserve">Core: bit growth</x:t>
  </x:si>
  <x:si>
    <x:t xml:space="preserve">Core: ASP growth</x:t>
  </x:si>
  <x:si>
    <x:t xml:space="preserve">Mobile: bit growth</x:t>
  </x:si>
  <x:si>
    <x:t xml:space="preserve">Mobile: ASP growth</x:t>
  </x:si>
  <x:si>
    <x:t xml:space="preserve">Auto: bit growth</x:t>
  </x:si>
  <x:si>
    <x:t xml:space="preserve">Auto: ASP growth</x:t>
  </x:si>
  <x:si>
    <x:t xml:space="preserve">S&amp;P Capital IQ historical surprises; issuer filing dates differ from calendar month-end CapIQ labels.</x:t>
  </x:si>
  <x:si>
    <x:t xml:space="preserve">All other revenue growth</x:t>
  </x:si>
  <x:si>
    <x:t xml:space="preserve">Consensus was captured 2026-09-24 (date only), not September 26.</x:t>
  </x:si>
  <x:si>
    <x:t xml:space="preserve">GAAP gross margin</x:t>
  </x:si>
  <x:si>
    <x:t xml:space="preserve">ticker</x:t>
  </x:si>
  <x:si>
    <x:t xml:space="preserve">R&amp;D</x:t>
  </x:si>
  <x:si>
    <x:t xml:space="preserve">company</x:t>
  </x:si>
  <x:si>
    <x:t xml:space="preserve">SG&amp;A</x:t>
  </x:si>
  <x:si>
    <x:t xml:space="preserve">exchange_ticker</x:t>
  </x:si>
  <x:si>
    <x:t xml:space="preserve">NasdaqGS:MU</x:t>
  </x:si>
  <x:si>
    <x:t xml:space="preserve">Other operating expense</x:t>
  </x:si>
  <x:si>
    <x:t xml:space="preserve">capiq_company_id</x:t>
  </x:si>
  <x:si>
    <x:t xml:space="preserve">analyst_count</x:t>
  </x:si>
  <x:si>
    <x:t xml:space="preserve">Interest expense</x:t>
  </x:si>
  <x:si>
    <x:t xml:space="preserve">fiscal_year_end</x:t>
  </x:si>
  <x:si>
    <x:t xml:space="preserve">Aug-31</x:t>
  </x:si>
  <x:si>
    <x:t xml:space="preserve">Other nonoperating income</x:t>
  </x:si>
  <x:si>
    <x:t xml:space="preserve">forward_quarter_label</x:t>
  </x:si>
  <x:si>
    <x:t xml:space="preserve">FQ4 2026 - Aug 2026</x:t>
  </x:si>
  <x:si>
    <x:t xml:space="preserve">Equity-method income</x:t>
  </x:si>
  <x:si>
    <x:t xml:space="preserve">period_end_date</x:t>
  </x:si>
  <x:si>
    <x:t xml:space="preserve">GAAP tax rate</x:t>
  </x:si>
  <x:si>
    <x:t xml:space="preserve">expected_report_date</x:t>
  </x:si>
  <x:si>
    <x:t xml:space="preserve">Non-GAAP: share compensation</x:t>
  </x:si>
  <x:si>
    <x:t xml:space="preserve">eps_normalized_mean</x:t>
  </x:si>
  <x:si>
    <x:t xml:space="preserve">Non-GAAP: debt extinguishment</x:t>
  </x:si>
  <x:si>
    <x:t xml:space="preserve">eps_normalized_median</x:t>
  </x:si>
  <x:si>
    <x:t xml:space="preserve">Non-GAAP: other</x:t>
  </x:si>
  <x:si>
    <x:t xml:space="preserve">eps_normalized_high</x:t>
  </x:si>
  <x:si>
    <x:t xml:space="preserve">Non-GAAP: tax effects</x:t>
  </x:si>
  <x:si>
    <x:t xml:space="preserve">eps_normalized_low</x:t>
  </x:si>
  <x:si>
    <x:t xml:space="preserve">GAAP weighted basic shares</x:t>
  </x:si>
  <x:si>
    <x:t xml:space="preserve">eps_normalized_std_dev</x:t>
  </x:si>
  <x:si>
    <x:t xml:space="preserve">Incremental diluted shares</x:t>
  </x:si>
  <x:si>
    <x:t xml:space="preserve">eps_normalized_n_est</x:t>
  </x:si>
  <x:si>
    <x:t xml:space="preserve">Non-GAAP additional diluted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</x:si>
  <x:si>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</x:si>
  <x:si>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</x:si>
  <x:si>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</x:si>
  <x:si>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</x:si>
  <x:si>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Cash flow forecast drivers</x:t>
  </x:si>
  <x:si>
    <x:t xml:space="preserve">eps_gaap_median</x:t>
  </x:si>
  <x:si>
    <x:t xml:space="preserve">eps_gaap_high</x:t>
  </x:si>
  <x:si>
    <x:t xml:space="preserve">Other noncurrent asset increase</x:t>
  </x:si>
  <x:si>
    <x:t xml:space="preserve">eps_gaap_low</x:t>
  </x:si>
  <x:si>
    <x:t xml:space="preserve">Investing cash flow</x:t>
  </x:si>
  <x:si>
    <x:t xml:space="preserve">eps_gaap_std_dev</x:t>
  </x:si>
  <x:si>
    <x:t xml:space="preserve">Financing cash flow</x:t>
  </x:si>
  <x:si>
    <x:t xml:space="preserve">eps_gaap_n_est</x:t>
  </x:si>
  <x:si>
    <x:t xml:space="preserve">FX cash flow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</x:si>
  <x:si>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</x:si>
  <x:si>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</x:si>
  <x:si>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</x:si>
  <x:si>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Liability increase excluding debt</x:t>
  </x:si>
  <x:si>
    <x:t xml:space="preserve">revenue_m_median</x:t>
  </x:si>
  <x:si>
    <x:t xml:space="preserve">EPS beat probability</x:t>
  </x:si>
  <x:si>
    <x:t xml:space="preserve">revenue_m_high</x:t>
  </x:si>
  <x:si>
    <x:t xml:space="preserve">M&amp;A or scope growth</x:t>
  </x:si>
  <x:si>
    <x:t xml:space="preserve">revenue_m_low</x:t>
  </x:si>
  <x:si>
    <x:t xml:space="preserve">FX growth</x:t>
  </x:si>
  <x:si>
    <x:t xml:space="preserve">revenue_m_std_dev</x:t>
  </x:si>
  <x:si>
    <x:t xml:space="preserve">Cloud gross margin forecast</x:t>
  </x:si>
  <x:si>
    <x:t xml:space="preserve">Issuer FY2026 has 14-week 4Q ending 2026-09-03. Supplied target month-end label is August 31.</x:t>
  </x:si>
  <x:si>
    <x:t xml:space="preserve">revenue_m_n_est</x:t>
  </x:si>
  <x:si>
    <x:t xml:space="preserve">Core gross margin forecast</x:t>
  </x:si>
  <x:si>
    <x:t xml:space="preserve">revenue_m_guidance_low</x:t>
  </x:si>
  <x:si>
    <x:t xml:space="preserve">Mobile gross margin forecast</x:t>
  </x:si>
  <x:si>
    <x:t xml:space="preserve">revenue_m_guidance_high</x:t>
  </x:si>
  <x:si>
    <x:t xml:space="preserve">Auto gross margin forecast</x:t>
  </x:si>
  <x:si>
    <x:t xml:space="preserve">ebitda_m_mean</x:t>
  </x:si>
  <x:si>
    <x:t xml:space="preserve">DRAM tech-growth excl days</x:t>
  </x:si>
  <x:si>
    <x:t xml:space="preserve">ebit_m_mean</x:t>
  </x:si>
  <x:si>
    <x:t xml:space="preserve">NAND tech-growth excl days</x:t>
  </x:si>
  <x:si>
    <x:t xml:space="preserve">net_income_excl_excep_m_mean</x:t>
  </x:si>
  <x:si>
    <x:t xml:space="preserve">Cash PP&amp;E expenditures</x:t>
  </x:si>
  <x:si>
    <x:t xml:space="preserve">net_income_gaap_m_mean</x:t>
  </x:si>
  <x:si>
    <x:t xml:space="preserve">Buyback program cash</x:t>
  </x:si>
  <x:si>
    <x:t xml:space="preserve">gross_margin_pct_mean</x:t>
  </x:si>
  <x:si>
    <x:t xml:space="preserve">Employee-share withholding</x:t>
  </x:si>
  <x:si>
    <x:t xml:space="preserve">effective_tax_rate_pct_mean</x:t>
  </x:si>
  <x:si>
    <x:t xml:space="preserve">Incremental receivables / sales</x:t>
  </x:si>
  <x:si>
    <x:t xml:space="preserve">capex_m_mean</x:t>
  </x:si>
  <x:si>
    <x:t xml:space="preserve">Inventory balance increase</x:t>
  </x:si>
  <x:si>
    <x:t xml:space="preserve">fcf_m_mean</x:t>
  </x:si>
  <x:si>
    <x:t xml:space="preserve">Forecast confidence</x:t>
  </x:si>
  <x:si>
    <x:t xml:space="preserve">medium</x:t>
  </x:si>
  <x:si>
    <x:t xml:space="preserve">cfo_m_mean</x:t>
  </x:si>
  <x:si>
    <x:t xml:space="preserve">d_and_a_m_mean</x:t>
  </x:si>
  <x:si>
    <x:t xml:space="preserve">recommendation</x:t>
  </x:si>
  <x:si>
    <x:t xml:space="preserve">Buy</x:t>
  </x:si>
  <x:si>
    <x:t xml:space="preserve">Q3 normalized bit/price index</x:t>
  </x:si>
  <x:si>
    <x:t xml:space="preserve">recommendation_score</x:t>
  </x:si>
  <x:si>
    <x:t xml:space="preserve">last_close_price</x:t>
  </x:si>
  <x:si>
    <x:t xml:space="preserve">notes</x:t>
  </x:si>
  <x:si>
    <x:t xml:space="preserve">Call scheduled 4:30 p.m. Sep 30. 52wk range 1255.00/154.65.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</x:si>
  <x:si>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</x:si>
  <x:si>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</x:si>
  <x:si>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</x:si>
  <x:si>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</x:si>
  <x:si>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</x:si>
  <x:si>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</x:si>
  <x:si>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All 54 summary fields preserved; malformed target-price columns not used in model.</x:t>
  </x:si>
  <x:si>
    <x:t xml:space="preserve">FY25 reported total assets</x:t>
  </x:si>
  <x:si>
    <x:t xml:space="preserve">Year-ago basis</x:t>
  </x:si>
  <x:si>
    <x:t xml:space="preserve">DRAM</x:t>
  </x:si>
  <x:si>
    <x:t xml:space="preserve">NAND</x:t>
  </x:si>
  <x:si>
    <x:t xml:space="preserve">Other NOR</x:t>
  </x:si>
  <x:si>
    <x:t xml:space="preserve">Cloud</x:t>
  </x:si>
  <x:si>
    <x:t xml:space="preserve">Core</x:t>
  </x:si>
  <x:si>
    <x:t xml:space="preserve">Mobile</x:t>
  </x:si>
  <x:si>
    <x:t xml:space="preserve">Auto</x:t>
  </x:si>
  <x:si>
    <x:t xml:space="preserve">Total revenue</x:t>
  </x:si>
  <x:si>
    <x:t xml:space="preserve">Cloud op FY ago</x:t>
  </x:si>
  <x:si>
    <x:t xml:space="preserve">Core op FY ago</x:t>
  </x:si>
  <x:si>
    <x:t xml:space="preserve">Mobile op FY ago</x:t>
  </x:si>
  <x:si>
    <x:t xml:space="preserve">Auto op FY ago</x:t>
  </x:si>
  <x:si>
    <x:t xml:space="preserve">1Q26 reported total assets</x:t>
  </x:si>
  <x:si>
    <x:t xml:space="preserve">1Q25A</x:t>
  </x:si>
  <x:si>
    <x:t xml:space="preserve">2Q26 reported total assets</x:t>
  </x:si>
  <x:si>
    <x:t xml:space="preserve">2Q25A</x:t>
  </x:si>
  <x:si>
    <x:t xml:space="preserve">3Q26 reported total assets</x:t>
  </x:si>
  <x:si>
    <x:t xml:space="preserve">3Q25A</x:t>
  </x:si>
  <x:si>
    <x:t xml:space="preserve">FY24A</x:t>
  </x:si>
  <x:si>
    <x:t xml:space="preserve">4Q24A</x:t>
  </x:si>
  <x:si>
    <x:t xml:space="preserve">FY25 reported total revenue (10-K)</x:t>
  </x:si>
  <x:si>
    <x:t xml:space="preserve">Year-ago comparison amounts: 2026Q1/Q2/Q3 SEC 10-Q comparative revenue tables; FY24 annual and FY24Q4 FY25 10-K / FY25 Q4 release. Quarterly technology 4Q24 is not separately available here.</x:t>
  </x:si>
  <x:si>
    <x:t xml:space="preserve">FY25 9mo comparative</x:t>
  </x:si>
  <x:si>
    <x:t xml:space="preserve">FY2025 nine-month unit COGS, R&amp;D, SG&amp;A, other expense, and operating income from 2026-05-28 SEC 10-Q comparative table. Subtract once from audited FY25 annual report.</x:t>
  </x:si>
  <x:si>
    <x:t xml:space="preserve">Selling, general &amp; admin</x:t>
  </x:si>
</x:sst>
</file>

<file path=xl/styles.xml><?xml version="1.0" encoding="utf-8"?>
<x:styleSheet xmlns:x="http://schemas.openxmlformats.org/spreadsheetml/2006/main">
  <x:numFmts count="7">
    <x:numFmt numFmtId="164" formatCode="yyyy-mm-dd"/>
    <x:numFmt numFmtId="165" formatCode="#,##0.0_);(#,##0.0);–_)"/>
    <x:numFmt numFmtId="166" formatCode="0.0%_);(0.0%);–_)"/>
    <x:numFmt numFmtId="167" formatCode="$0.00"/>
    <x:numFmt numFmtId="168" formatCode="General"/>
    <x:numFmt numFmtId="169" formatCode="0.0&quot;x&quot;"/>
    <x:numFmt numFmtId="170" formatCode="0.0%"/>
  </x:numFmts>
  <x:fonts count="10">
    <x:font>
      <x:sz val="11"/>
      <x:name val="Calibri"/>
    </x:font>
    <x:font>
      <x:sz val="11"/>
      <x:color rgb="FF000000"/>
      <x:name val="Aptos Narrow"/>
    </x:font>
    <x:font>
      <x:b/>
      <x:sz val="11"/>
      <x:color rgb="FF000000"/>
      <x:name val="Aptos Narrow"/>
    </x:font>
    <x:font>
      <x:sz val="11"/>
      <x:color rgb="FF0000FF"/>
      <x:name val="Aptos Narrow"/>
    </x:font>
    <x:font>
      <x:i/>
      <x:sz val="11"/>
      <x:color rgb="FF000000"/>
      <x:name val="Aptos Narrow"/>
    </x:font>
    <x:font>
      <x:sz val="11"/>
      <x:color rgb="FF006100"/>
      <x:name val="Aptos Narrow"/>
    </x:font>
    <x:font>
      <x:b/>
      <x:sz val="11"/>
      <x:color rgb="FF006100"/>
      <x:name val="Aptos Narrow"/>
    </x:font>
    <x:font>
      <x:i/>
      <x:sz val="11"/>
      <x:color rgb="FF006100"/>
      <x:name val="Aptos Narrow"/>
    </x:font>
    <x:font>
      <x:b/>
      <x:sz val="11"/>
      <x:color rgb="FF0000FF"/>
      <x:name val="Aptos Narrow"/>
    </x:font>
    <x:font>
      <x:i/>
      <x:sz val="11"/>
      <x:color rgb="FF0000FF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rgb="FFEDEFF1"/>
      </x:patternFill>
    </x:fill>
    <x:fill>
      <x:patternFill patternType="solid">
        <x:fgColor rgb="FFEEF5FA"/>
      </x:patternFill>
    </x:fill>
    <x:fill>
      <x:patternFill patternType="solid">
        <x:fgColor rgb="FFE5F1FA"/>
      </x:patternFill>
    </x:fill>
  </x:fills>
  <x:borders count="6">
    <x:border/>
    <x:border>
      <x:top style="thin">
        <x:color rgb="FFAAB2BA"/>
      </x:top>
      <x:bottom style="thin">
        <x:color rgb="FFAAB2BA"/>
      </x:bottom>
    </x:border>
    <x:border>
      <x:top style="thin">
        <x:color rgb="FFA4AFB6"/>
      </x:top>
    </x:border>
    <x:border>
      <x:top style="thin">
        <x:color rgb="FFAAB2BA"/>
      </x:top>
    </x:border>
    <x:border>
      <x:top style="thin">
        <x:color rgb="FFACB6BD"/>
      </x:top>
    </x:border>
    <x:border>
      <x:top style="thin">
        <x:color rgb="FF9BA8B0"/>
      </x:top>
    </x:border>
  </x:borders>
  <x:cellStyleXfs count="1">
    <x:xf numFmtId="0" fontId="0" fillId="0" borderId="0"/>
  </x:cellStyleXfs>
  <x:cellXfs count="78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2" fillId="2" borderId="1" xfId="0" applyNumberFormat="1" applyFont="1" applyFill="1" applyBorder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165" fontId="3" fillId="0" borderId="0" xfId="0" applyNumberFormat="1" applyFont="1" applyFill="1" applyAlignment="1">
      <x:alignment horizontal="general" vertical="bottom"/>
    </x:xf>
    <x:xf numFmtId="166" fontId="4" fillId="0" borderId="0" xfId="0" applyNumberFormat="1" applyFont="1" applyFill="1" applyAlignment="1">
      <x:alignment horizontal="general" vertical="bottom"/>
    </x:xf>
    <x:xf numFmtId="165" fontId="5" fillId="3" borderId="0" xfId="0" applyNumberFormat="1" applyFont="1" applyFill="1" applyAlignment="1">
      <x:alignment horizontal="general" vertical="bottom"/>
    </x:xf>
    <x:xf numFmtId="165" fontId="2" fillId="0" borderId="2" xfId="0" applyNumberFormat="1" applyFont="1" applyFill="1" applyBorder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5" fontId="2" fillId="3" borderId="2" xfId="0" applyNumberFormat="1" applyFont="1" applyFill="1" applyBorder="1" applyAlignment="1">
      <x:alignment horizontal="general" vertical="bottom"/>
    </x:xf>
    <x:xf numFmtId="0" fontId="2" fillId="2" borderId="1" xfId="0" applyFont="1" applyFill="1" applyBorder="1" applyAlignment="1">
      <x:alignment horizontal="general" vertical="bottom"/>
    </x:xf>
    <x:xf numFmtId="0" fontId="1" fillId="3" borderId="0" xfId="0" applyFont="1" applyFill="1" applyAlignment="1">
      <x:alignment horizontal="general" vertical="bottom"/>
    </x:xf>
    <x:xf numFmtId="165" fontId="2" fillId="0" borderId="3" xfId="0" applyNumberFormat="1" applyFont="1" applyFill="1" applyBorder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/>
    </x:xf>
    <x:xf numFmtId="165" fontId="6" fillId="3" borderId="4" xfId="0" applyNumberFormat="1" applyFont="1" applyFill="1" applyBorder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5" fontId="2" fillId="0" borderId="4" xfId="0" applyNumberFormat="1" applyFont="1" applyFill="1" applyBorder="1" applyAlignment="1">
      <x:alignment horizontal="general" vertical="bottom"/>
    </x:xf>
    <x:xf numFmtId="165" fontId="1" fillId="3" borderId="0" xfId="0" applyNumberFormat="1" applyFont="1" applyFill="1" applyAlignment="1">
      <x:alignment horizontal="general" vertical="bottom"/>
    </x:xf>
    <x:xf numFmtId="166" fontId="7" fillId="3" borderId="0" xfId="0" applyNumberFormat="1" applyFont="1" applyFill="1" applyAlignment="1">
      <x:alignment horizontal="general" vertical="bottom"/>
    </x:xf>
    <x:xf numFmtId="166" fontId="4" fillId="3" borderId="0" xfId="0" applyNumberFormat="1" applyFont="1" applyFill="1" applyAlignment="1">
      <x:alignment horizontal="general" vertical="bottom"/>
    </x:xf>
    <x:xf numFmtId="165" fontId="8" fillId="0" borderId="2" xfId="0" applyNumberFormat="1" applyFont="1" applyFill="1" applyBorder="1" applyAlignment="1">
      <x:alignment horizontal="general" vertical="bottom"/>
    </x:xf>
    <x:xf numFmtId="0" fontId="6" fillId="0" borderId="3" xfId="0" applyFont="1" applyFill="1" applyBorder="1" applyAlignment="1">
      <x:alignment horizontal="general" vertical="bottom"/>
    </x:xf>
    <x:xf numFmtId="165" fontId="2" fillId="3" borderId="3" xfId="0" applyNumberFormat="1" applyFont="1" applyFill="1" applyBorder="1" applyAlignment="1">
      <x:alignment horizontal="general" vertical="bottom"/>
    </x:xf>
    <x:xf numFmtId="0" fontId="2" fillId="4" borderId="1" xfId="0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5" fontId="4" fillId="3" borderId="0" xfId="0" applyNumberFormat="1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4" fontId="2" fillId="4" borderId="1" xfId="0" applyNumberFormat="1" applyFont="1" applyFill="1" applyBorder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0" fontId="2" fillId="0" borderId="3" xfId="0" applyFont="1" applyFill="1" applyBorder="1" applyAlignment="1">
      <x:alignment horizontal="general" vertical="bottom"/>
    </x:xf>
    <x:xf numFmtId="0" fontId="2" fillId="3" borderId="3" xfId="0" applyFont="1" applyFill="1" applyBorder="1" applyAlignment="1">
      <x:alignment horizontal="general" vertical="bottom"/>
    </x:xf>
    <x:xf numFmtId="166" fontId="9" fillId="0" borderId="0" xfId="0" applyNumberFormat="1" applyFont="1" applyFill="1" applyAlignment="1">
      <x:alignment horizontal="general" vertical="bottom"/>
    </x:xf>
    <x:xf numFmtId="165" fontId="8" fillId="0" borderId="4" xfId="0" applyNumberFormat="1" applyFont="1" applyFill="1" applyBorder="1" applyAlignment="1">
      <x:alignment horizontal="general" vertical="bottom"/>
    </x:xf>
    <x:xf numFmtId="168" fontId="6" fillId="0" borderId="3" xfId="0" applyNumberFormat="1" applyFont="1" applyFill="1" applyBorder="1" applyAlignment="1">
      <x:alignment horizontal="general" vertical="bottom"/>
    </x:xf>
    <x:xf numFmtId="165" fontId="2" fillId="3" borderId="4" xfId="0" applyNumberFormat="1" applyFont="1" applyFill="1" applyBorder="1" applyAlignment="1">
      <x:alignment horizontal="general" vertical="bottom"/>
    </x:xf>
    <x:xf numFmtId="0" fontId="2" fillId="0" borderId="5" xfId="0" applyFont="1" applyFill="1" applyBorder="1" applyAlignment="1">
      <x:alignment horizontal="general" vertical="bottom"/>
    </x:xf>
    <x:xf numFmtId="166" fontId="9" fillId="3" borderId="0" xfId="0" applyNumberFormat="1" applyFont="1" applyFill="1" applyAlignment="1">
      <x:alignment horizontal="general" vertical="bottom"/>
    </x:xf>
    <x:xf numFmtId="165" fontId="2" fillId="0" borderId="5" xfId="0" applyNumberFormat="1" applyFont="1" applyFill="1" applyBorder="1" applyAlignment="1">
      <x:alignment horizontal="general" vertical="bottom"/>
    </x:xf>
    <x:xf numFmtId="165" fontId="2" fillId="3" borderId="5" xfId="0" applyNumberFormat="1" applyFont="1" applyFill="1" applyBorder="1" applyAlignment="1">
      <x:alignment horizontal="general" vertical="bottom"/>
    </x:xf>
    <x:xf numFmtId="166" fontId="5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9" fontId="5" fillId="3" borderId="0" xfId="0" applyNumberFormat="1" applyFont="1" applyFill="1" applyAlignment="1">
      <x:alignment horizontal="general" vertical="bottom"/>
    </x:xf>
    <x:xf numFmtId="0" fontId="2" fillId="0" borderId="4" xfId="0" applyFont="1" applyFill="1" applyBorder="1" applyAlignment="1">
      <x:alignment horizontal="general" vertical="bottom"/>
    </x:xf>
    <x:xf numFmtId="169" fontId="5" fillId="0" borderId="0" xfId="0" applyNumberFormat="1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0" fontId="2" fillId="3" borderId="1" xfId="0" applyFont="1" applyFill="1" applyBorder="1" applyAlignment="1">
      <x:alignment horizontal="general" vertical="bottom"/>
    </x:xf>
    <x:xf numFmtId="170" fontId="3" fillId="0" borderId="0" xfId="0" applyNumberFormat="1" applyFont="1" applyFill="1" applyAlignment="1">
      <x:alignment horizontal="general" vertical="bottom"/>
    </x:xf>
    <x:xf numFmtId="167" fontId="2" fillId="0" borderId="2" xfId="0" applyNumberFormat="1" applyFont="1" applyFill="1" applyBorder="1" applyAlignment="1">
      <x:alignment horizontal="general" vertical="bottom"/>
    </x:xf>
    <x:xf numFmtId="164" fontId="2" fillId="3" borderId="1" xfId="0" applyNumberFormat="1" applyFont="1" applyFill="1" applyBorder="1" applyAlignment="1">
      <x:alignment horizontal="general" vertical="bottom"/>
    </x:xf>
    <x:xf numFmtId="167" fontId="4" fillId="0" borderId="0" xfId="0" applyNumberFormat="1" applyFont="1" applyFill="1" applyAlignment="1">
      <x:alignment horizontal="general" vertical="bottom"/>
    </x:xf>
    <x:xf numFmtId="167" fontId="5" fillId="3" borderId="0" xfId="0" applyNumberFormat="1" applyFont="1" applyFill="1" applyAlignment="1">
      <x:alignment horizontal="general" vertical="bottom"/>
    </x:xf>
    <x:xf numFmtId="166" fontId="3" fillId="0" borderId="0" xfId="0" applyNumberFormat="1" applyFont="1" applyFill="1" applyAlignment="1">
      <x:alignment horizontal="general" vertical="bottom"/>
    </x:xf>
    <x:xf numFmtId="165" fontId="6" fillId="3" borderId="3" xfId="0" applyNumberFormat="1" applyFont="1" applyFill="1" applyBorder="1" applyAlignment="1">
      <x:alignment horizontal="general" vertical="bottom"/>
    </x:xf>
    <x:xf numFmtId="165" fontId="6" fillId="0" borderId="3" xfId="0" applyNumberFormat="1" applyFont="1" applyFill="1" applyBorder="1" applyAlignment="1">
      <x:alignment horizontal="general" vertical="bottom"/>
    </x:xf>
    <x:xf numFmtId="167" fontId="1" fillId="3" borderId="0" xfId="0" applyNumberFormat="1" applyFont="1" applyFill="1" applyAlignment="1">
      <x:alignment horizontal="general" vertical="bottom"/>
    </x:xf>
    <x:xf numFmtId="165" fontId="6" fillId="3" borderId="2" xfId="0" applyNumberFormat="1" applyFont="1" applyFill="1" applyBorder="1" applyAlignment="1">
      <x:alignment horizontal="general" vertical="bottom"/>
    </x:xf>
    <x:xf numFmtId="165" fontId="6" fillId="0" borderId="2" xfId="0" applyNumberFormat="1" applyFont="1" applyFill="1" applyBorder="1" applyAlignment="1">
      <x:alignment horizontal="general" vertical="bottom"/>
    </x:xf>
    <x:xf numFmtId="167" fontId="2" fillId="3" borderId="2" xfId="0" applyNumberFormat="1" applyFont="1" applyFill="1" applyBorder="1" applyAlignment="1">
      <x:alignment horizontal="general" vertical="bottom"/>
    </x:xf>
    <x:xf numFmtId="167" fontId="4" fillId="3" borderId="0" xfId="0" applyNumberFormat="1" applyFont="1" applyFill="1" applyAlignment="1">
      <x:alignment horizontal="general" vertical="bottom"/>
    </x:xf>
    <x:xf numFmtId="0" fontId="2" fillId="2" borderId="1" xfId="0" applyNumberFormat="1" applyFont="1" applyFill="1" applyBorder="1" applyAlignment="1">
      <x:alignment horizontal="right" vertical="bottom"/>
    </x:xf>
    <x:xf numFmtId="0" fontId="2" fillId="3" borderId="1" xfId="0" applyNumberFormat="1" applyFont="1" applyFill="1" applyBorder="1" applyAlignment="1">
      <x:alignment horizontal="right" vertical="bottom"/>
    </x:xf>
    <x:xf numFmtId="0" fontId="2" fillId="4" borderId="1" xfId="0" applyNumberFormat="1" applyFont="1" applyFill="1" applyBorder="1" applyAlignment="1">
      <x:alignment horizontal="right" vertical="bottom"/>
    </x:xf>
    <x:xf numFmtId="165" fontId="1" fillId="0" borderId="0" xfId="0" applyNumberFormat="1" applyFont="1" applyFill="1" applyBorder="1" applyAlignment="1">
      <x:alignment horizontal="right" vertical="bottom"/>
    </x:xf>
    <x:xf numFmtId="167" fontId="5" fillId="0" borderId="0" xfId="0" applyNumberFormat="1" applyFont="1" applyFill="1" applyBorder="1" applyAlignment="1">
      <x:alignment horizontal="right" vertical="bottom"/>
    </x:xf>
    <x:xf numFmtId="0" fontId="2" fillId="2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3" fillId="0" borderId="0" xfId="0" applyNumberFormat="1" applyFont="1" applyFill="1" applyBorder="1" applyAlignment="1">
      <x:alignment horizontal="right" vertical="bottom"/>
    </x:xf>
    <x:xf numFmtId="165" fontId="1" fillId="3" borderId="0" xfId="0" applyNumberFormat="1" applyFont="1" applyFill="1" applyBorder="1" applyAlignment="1">
      <x:alignment horizontal="right" vertical="bottom"/>
    </x:xf>
    <x:xf numFmtId="0" fontId="1" fillId="3" borderId="0" xfId="0" applyNumberFormat="1" applyFont="1" applyFill="1" applyBorder="1" applyAlignment="1">
      <x:alignment horizontal="right" vertical="bottom"/>
    </x:xf>
    <x:xf numFmtId="0" fontId="2" fillId="2" borderId="1" xfId="0" applyNumberFormat="1" applyFont="1" applyFill="1" applyBorder="1" applyAlignment="1">
      <x:alignment horizontal="general" vertical="bottom" wrapText="1"/>
    </x:xf>
    <x:xf numFmtId="0" fontId="2" fillId="2" borderId="1" xfId="0" applyNumberFormat="1" applyFont="1" applyFill="1" applyBorder="1" applyAlignment="1">
      <x:alignment horizontal="right" vertical="bottom" wrapText="1"/>
    </x:xf>
    <x:xf numFmtId="0" fontId="2" fillId="2" borderId="1" xfId="0" applyNumberFormat="1" applyFont="1" applyFill="1" applyBorder="1" applyAlignment="1">
      <x:alignment horizontal="general" vertical="center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164" fontId="3" fillId="0" borderId="0" xfId="0" applyNumberFormat="1" applyFont="1" applyFill="1" applyBorder="1" applyAlignment="1">
      <x:alignment horizontal="general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4f54866fc4129" /><Relationship Type="http://schemas.openxmlformats.org/officeDocument/2006/relationships/theme" Target="/xl/theme/theme1.xml" Id="Ref99f36443064f5d" /><Relationship Type="http://schemas.openxmlformats.org/officeDocument/2006/relationships/sharedStrings" Target="/xl/sharedStrings.xml" Id="R9a78a10a21694645" /><Relationship Type="http://schemas.openxmlformats.org/officeDocument/2006/relationships/worksheet" Target="/xl/worksheets/sheet1.xml" Id="R2ce6d1a655b84b41" /><Relationship Type="http://schemas.openxmlformats.org/officeDocument/2006/relationships/worksheet" Target="/xl/worksheets/sheet2.xml" Id="R8a5f6405970f46d4" /><Relationship Type="http://schemas.openxmlformats.org/officeDocument/2006/relationships/worksheet" Target="/xl/worksheets/sheet3.xml" Id="Rd25196c3ce244316" /><Relationship Type="http://schemas.openxmlformats.org/officeDocument/2006/relationships/worksheet" Target="/xl/worksheets/sheet4.xml" Id="R401904d7b9ac4a74" /><Relationship Type="http://schemas.openxmlformats.org/officeDocument/2006/relationships/worksheet" Target="/xl/worksheets/sheet5.xml" Id="Ra0d8a545c65f4cd5" /><Relationship Type="http://schemas.openxmlformats.org/officeDocument/2006/relationships/worksheet" Target="/xl/worksheets/sheet6.xml" Id="Ra2e923c41f8e4d09" /><Relationship Type="http://schemas.openxmlformats.org/officeDocument/2006/relationships/worksheet" Target="/xl/worksheets/sheet7.xml" Id="R67f78f4578e046d1" /><Relationship Type="http://schemas.openxmlformats.org/officeDocument/2006/relationships/worksheet" Target="/xl/worksheets/sheet8.xml" Id="Rd1a5940a318c45b0" /><Relationship Type="http://schemas.openxmlformats.org/officeDocument/2006/relationships/worksheet" Target="/xl/worksheets/sheet9.xml" Id="R5d4c3be982ce4022" /><Relationship Type="http://schemas.openxmlformats.org/officeDocument/2006/relationships/worksheet" Target="/xl/worksheets/sheet10.xml" Id="R884a4f20d7b64952" /><Relationship Type="http://schemas.openxmlformats.org/officeDocument/2006/relationships/worksheet" Target="/xl/worksheets/sheet11.xml" Id="Re97c2a19b8c84769" /><Relationship Type="http://schemas.openxmlformats.org/officeDocument/2006/relationships/worksheet" Target="/xl/worksheets/sheet12.xml" Id="R173b65e3360b49fb" /><Relationship Type="http://schemas.openxmlformats.org/officeDocument/2006/relationships/worksheet" Target="/xl/worksheets/sheet13.xml" Id="Rd654bc8047574c25" /><Relationship Type="http://schemas.openxmlformats.org/officeDocument/2006/relationships/worksheet" Target="/xl/worksheets/sheet14.xml" Id="Rc3eeed2ad60c45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9e873bab8cb4602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209550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e873bab8cb46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a32a2da7aa1440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B3" s="1" t="s">
        <x:v>1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4" t="s">
        <x:v>9</x:v>
      </x:c>
      <x:c r="I5" s="1"/>
      <x:c r="J5" s="1"/>
      <x:c r="K5" s="1"/>
      <x:c r="L5" s="1"/>
      <x:c r="M5" s="1"/>
      <x:c r="N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52">
        <x:v>46268</x:v>
      </x:c>
      <x:c r="I6" s="1"/>
      <x:c r="J6" s="1"/>
      <x:c r="K6" s="1"/>
      <x:c r="L6" s="1"/>
      <x:c r="M6" s="1"/>
      <x:c r="N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49">
        <x:v>98</x:v>
      </x:c>
      <x:c r="I7" s="1"/>
      <x:c r="J7" s="1"/>
      <x:c r="K7" s="1"/>
      <x:c r="L7" s="1"/>
      <x:c r="M7" s="1"/>
      <x:c r="N7" s="1"/>
    </x:row>
    <x:row r="8">
      <x:c r="B8" s="1" t="s">
        <x:v>12</x:v>
      </x:c>
      <x:c r="C8" s="1"/>
      <x:c r="D8" s="1"/>
      <x:c r="E8" s="1"/>
      <x:c r="F8" s="1"/>
      <x:c r="G8" s="1"/>
      <x:c r="H8" s="11"/>
      <x:c r="I8" s="1"/>
      <x:c r="J8" s="1"/>
      <x:c r="K8" s="1"/>
      <x:c r="L8" s="1"/>
      <x:c r="M8" s="1"/>
      <x:c r="N8" s="1"/>
    </x:row>
    <x:row r="9">
      <x:c r="B9" s="1"/>
      <x:c r="C9" s="1"/>
      <x:c r="D9" s="1"/>
      <x:c r="E9" s="1"/>
      <x:c r="F9" s="1"/>
      <x:c r="G9" s="1"/>
      <x:c r="H9" s="11"/>
      <x:c r="I9" s="1"/>
      <x:c r="J9" s="1"/>
      <x:c r="K9" s="1"/>
      <x:c r="L9" s="1"/>
      <x:c r="M9" s="1"/>
      <x:c r="N9" s="1"/>
    </x:row>
    <x:row r="10">
      <x:c r="B10" s="1" t="s">
        <x:v>13</x:v>
      </x:c>
      <x:c r="C10" s="1" t="s">
        <x:v>0</x:v>
      </x:c>
      <x:c r="D10" s="1"/>
      <x:c r="E10" s="1"/>
      <x:c r="F10" s="1"/>
      <x:c r="G10" s="1"/>
      <x:c r="H10" s="11"/>
      <x:c r="I10" s="1"/>
      <x:c r="J10" s="1"/>
      <x:c r="K10" s="1"/>
      <x:c r="L10" s="1"/>
      <x:c r="M10" s="1"/>
      <x:c r="N10" s="1"/>
    </x:row>
    <x:row r="11">
      <x:c r="B11" s="1" t="s">
        <x:v>14</x:v>
      </x:c>
      <x:c r="C11" s="1" t="s">
        <x:v>15</x:v>
      </x:c>
      <x:c r="D11" s="1"/>
      <x:c r="E11" s="1"/>
      <x:c r="F11" s="1"/>
      <x:c r="G11" s="1"/>
      <x:c r="H11" s="11"/>
      <x:c r="I11" s="1"/>
      <x:c r="J11" s="1"/>
      <x:c r="K11" s="1"/>
      <x:c r="L11" s="1"/>
      <x:c r="M11" s="1"/>
      <x:c r="N11" s="1"/>
    </x:row>
    <x:row r="12">
      <x:c r="B12" s="1" t="s">
        <x:v>16</x:v>
      </x:c>
      <x:c r="C12" s="1" t="s">
        <x:v>17</x:v>
      </x:c>
      <x:c r="D12" s="1"/>
      <x:c r="E12" s="1"/>
      <x:c r="F12" s="1"/>
      <x:c r="G12" s="1"/>
      <x:c r="H12" s="11"/>
      <x:c r="I12" s="1"/>
      <x:c r="J12" s="1"/>
      <x:c r="K12" s="1"/>
      <x:c r="L12" s="1"/>
      <x:c r="M12" s="1"/>
      <x:c r="N12" s="1"/>
    </x:row>
    <x:row r="13">
      <x:c r="B13" s="1" t="s">
        <x:v>18</x:v>
      </x:c>
      <x:c r="C13" s="1" t="s">
        <x:v>19</x:v>
      </x:c>
      <x:c r="D13" s="1"/>
      <x:c r="E13" s="1"/>
      <x:c r="F13" s="1"/>
      <x:c r="G13" s="1"/>
      <x:c r="H13" s="11"/>
      <x:c r="I13" s="1"/>
      <x:c r="J13" s="1"/>
      <x:c r="K13" s="1"/>
      <x:c r="L13" s="1"/>
      <x:c r="M13" s="1"/>
      <x:c r="N13" s="1"/>
    </x:row>
    <x:row r="14">
      <x:c r="B14" s="1" t="s">
        <x:v>20</x:v>
      </x:c>
      <x:c r="C14" s="1" t="s">
        <x:v>21</x:v>
      </x:c>
      <x:c r="D14" s="1"/>
      <x:c r="E14" s="1"/>
      <x:c r="F14" s="1"/>
      <x:c r="G14" s="1"/>
      <x:c r="H14" s="11"/>
      <x:c r="I14" s="1"/>
      <x:c r="J14" s="1"/>
      <x:c r="K14" s="1"/>
      <x:c r="L14" s="1"/>
      <x:c r="M14" s="1"/>
      <x:c r="N14" s="1"/>
    </x:row>
    <x:row r="15">
      <x:c r="B15" s="1" t="s">
        <x:v>22</x:v>
      </x:c>
      <x:c r="C15" s="1" t="s">
        <x:v>23</x:v>
      </x:c>
      <x:c r="D15" s="1"/>
      <x:c r="E15" s="1"/>
      <x:c r="F15" s="1"/>
      <x:c r="G15" s="1"/>
      <x:c r="H15" s="11"/>
      <x:c r="I15" s="1"/>
      <x:c r="J15" s="1"/>
      <x:c r="K15" s="1"/>
      <x:c r="L15" s="1"/>
      <x:c r="M15" s="1"/>
      <x:c r="N15" s="1"/>
    </x:row>
    <x:row r="16">
      <x:c r="B16" s="1" t="s">
        <x:v>24</x:v>
      </x:c>
      <x:c r="C16" s="1" t="s">
        <x:v>25</x:v>
      </x:c>
      <x:c r="D16" s="1"/>
      <x:c r="E16" s="1"/>
      <x:c r="F16" s="1"/>
      <x:c r="G16" s="1"/>
      <x:c r="H16" s="11"/>
      <x:c r="I16" s="1"/>
      <x:c r="J16" s="1"/>
      <x:c r="K16" s="1"/>
      <x:c r="L16" s="1"/>
      <x:c r="M16" s="1"/>
      <x:c r="N16" s="1"/>
    </x:row>
    <x:row r="17">
      <x:c r="B17" s="1" t="s">
        <x:v>26</x:v>
      </x:c>
      <x:c r="C17" s="77">
        <x:v>46295</x:v>
      </x:c>
      <x:c r="D17" s="1"/>
      <x:c r="E17" s="1"/>
      <x:c r="F17" s="1"/>
      <x:c r="G17" s="1"/>
      <x:c r="H17" s="11"/>
      <x:c r="I17" s="1"/>
      <x:c r="J17" s="1"/>
      <x:c r="K17" s="1"/>
      <x:c r="L17" s="1"/>
      <x:c r="M17" s="1"/>
      <x:c r="N17" s="1"/>
    </x:row>
    <x:row r="18">
      <x:c r="B18" s="1" t="s">
        <x:v>27</x:v>
      </x:c>
      <x:c r="C18" s="1" t="s">
        <x:v>28</x:v>
      </x:c>
      <x:c r="D18" s="1"/>
      <x:c r="E18" s="1"/>
      <x:c r="F18" s="1"/>
      <x:c r="G18" s="1"/>
      <x:c r="H18" s="11"/>
      <x:c r="I18" s="1"/>
      <x:c r="J18" s="1"/>
      <x:c r="K18" s="1"/>
      <x:c r="L18" s="1"/>
      <x:c r="M18" s="1"/>
      <x:c r="N18" s="1"/>
    </x:row>
    <x:row r="19">
      <x:c r="B19" s="1" t="s">
        <x:v>29</x:v>
      </x:c>
      <x:c r="C19" s="1" t="s">
        <x:v>30</x:v>
      </x:c>
      <x:c r="D19" s="1"/>
      <x:c r="E19" s="1"/>
      <x:c r="F19" s="1"/>
      <x:c r="G19" s="1"/>
      <x:c r="H19" s="11"/>
      <x:c r="I19" s="1"/>
      <x:c r="J19" s="1"/>
      <x:c r="K19" s="1"/>
      <x:c r="L19" s="1"/>
      <x:c r="M19" s="1"/>
      <x:c r="N19" s="1"/>
    </x:row>
    <x:row r="20">
      <x:c r="B20" s="1" t="s">
        <x:v>31</x:v>
      </x:c>
      <x:c r="C20" s="1" t="s">
        <x:v>32</x:v>
      </x:c>
      <x:c r="D20" s="1"/>
      <x:c r="E20" s="1"/>
      <x:c r="F20" s="1"/>
      <x:c r="G20" s="1"/>
      <x:c r="H20" s="11"/>
      <x:c r="I20" s="1"/>
      <x:c r="J20" s="1"/>
      <x:c r="K20" s="1"/>
      <x:c r="L20" s="1"/>
      <x:c r="M20" s="1"/>
      <x:c r="N20" s="1"/>
    </x:row>
    <x:row r="21">
      <x:c r="B21" s="10" t="s">
        <x:v>33</x:v>
      </x:c>
      <x:c r="C21" s="10"/>
      <x:c r="D21" s="10"/>
      <x:c r="E21" s="10"/>
      <x:c r="F21" s="10"/>
      <x:c r="G21" s="10"/>
      <x:c r="H21" s="11"/>
      <x:c r="I21" s="1"/>
      <x:c r="J21" s="1" t="s">
        <x:v>34</x:v>
      </x:c>
      <x:c r="K21" s="1"/>
      <x:c r="L21" s="1"/>
      <x:c r="M21" s="1"/>
      <x:c r="N21" s="1"/>
    </x:row>
    <x:row r="22" ht="32" customHeight="1">
      <x:c r="B22" s="75" t="s">
        <x:v>35</x:v>
      </x:c>
      <x:c r="C22" s="76" t="s">
        <x:v>36</x:v>
      </x:c>
      <x:c r="D22" s="76" t="s">
        <x:v>37</x:v>
      </x:c>
      <x:c r="E22" s="76" t="s">
        <x:v>38</x:v>
      </x:c>
      <x:c r="F22" s="76" t="s">
        <x:v>39</x:v>
      </x:c>
      <x:c r="G22" s="76" t="s">
        <x:v>40</x:v>
      </x:c>
      <x:c r="H22" s="11"/>
      <x:c r="I22" s="1"/>
      <x:c r="J22" s="1" t="s">
        <x:v>41</x:v>
      </x:c>
      <x:c r="K22" s="1"/>
      <x:c r="L22" s="1"/>
      <x:c r="M22" s="1"/>
      <x:c r="N22" s="1"/>
    </x:row>
    <x:row r="23">
      <x:c r="B23" s="8" t="s">
        <x:v>42</x:v>
      </x:c>
      <x:c r="C23" s="13" t="n">
        <x:f>'Income Statement'!H10</x:f>
        <x:v>51480.78288846153</x:v>
      </x:c>
      <x:c r="D23" s="13" t="n">
        <x:f>Inputs!C46</x:f>
        <x:v>51250.26</x:v>
      </x:c>
      <x:c r="E23" s="8" t="n">
        <x:f>C23-D23</x:f>
        <x:v>230.52288846152805</x:v>
      </x:c>
      <x:c r="F23" s="13" t="n">
        <x:f>Guidance!H31</x:f>
        <x:v>50000</x:v>
      </x:c>
      <x:c r="G23" s="8" t="n">
        <x:f>C23-F23</x:f>
        <x:v>1480.78288846153</x:v>
      </x:c>
      <x:c r="H23" s="11"/>
      <x:c r="I23" s="1"/>
      <x:c r="J23" s="1"/>
      <x:c r="K23" s="1"/>
      <x:c r="L23" s="1"/>
      <x:c r="M23" s="1"/>
      <x:c r="N23" s="1"/>
    </x:row>
    <x:row r="24">
      <x:c r="B24" s="8" t="s">
        <x:v>43</x:v>
      </x:c>
      <x:c r="C24" s="13" t="n">
        <x:f>'Income Statement'!H45</x:f>
        <x:v>36493.71095692057</x:v>
      </x:c>
      <x:c r="D24" s="13" t="n">
        <x:f>Inputs!C56</x:f>
        <x:v>35951.27</x:v>
      </x:c>
      <x:c r="E24" s="8" t="n">
        <x:f>C24-D24</x:f>
        <x:v>542.4409569205745</x:v>
      </x:c>
      <x:c r="F24" s="66" t="s">
        <x:v>44</x:v>
      </x:c>
      <x:c r="G24" s="8"/>
      <x:c r="H24" s="11"/>
      <x:c r="I24" s="1"/>
      <x:c r="J24" s="1"/>
      <x:c r="K24" s="1"/>
      <x:c r="L24" s="1"/>
      <x:c r="M24" s="1"/>
      <x:c r="N24" s="1"/>
    </x:row>
    <x:row r="25">
      <x:c r="B25" s="8" t="s">
        <x:v>45</x:v>
      </x:c>
      <x:c r="C25" s="26" t="n">
        <x:f>'Income Statement'!H48</x:f>
        <x:v>31.65109363132747</x:v>
      </x:c>
      <x:c r="D25" s="26" t="n">
        <x:f>Inputs!C29</x:f>
        <x:v>31.6</x:v>
      </x:c>
      <x:c r="E25" s="30" t="n">
        <x:f>C25-D25</x:f>
        <x:v>0.05109363132746836</x:v>
      </x:c>
      <x:c r="F25" s="67" t="n">
        <x:f>Guidance!H37</x:f>
        <x:v>31</x:v>
      </x:c>
      <x:c r="G25" s="30" t="n">
        <x:f>C25-F25</x:f>
        <x:v>0.6510936313274698</x:v>
      </x:c>
      <x:c r="H25" s="11"/>
      <x:c r="I25" s="1"/>
      <x:c r="J25" s="1"/>
      <x:c r="K25" s="1"/>
      <x:c r="L25" s="1"/>
      <x:c r="M25" s="1"/>
      <x:c r="N25" s="1"/>
    </x:row>
    <x:row r="26">
      <x:c r="B26" s="8" t="s">
        <x:v>46</x:v>
      </x:c>
      <x:c r="C26" s="13" t="n">
        <x:f>'Income Statement'!H32</x:f>
        <x:v>36193.71095692057</x:v>
      </x:c>
      <x:c r="D26" s="13" t="n">
        <x:f>Inputs!C57</x:f>
        <x:v>36026.28</x:v>
      </x:c>
      <x:c r="E26" s="8" t="n">
        <x:f>C26-D26</x:f>
        <x:v>167.4309569205725</x:v>
      </x:c>
      <x:c r="F26" s="66" t="s">
        <x:v>44</x:v>
      </x:c>
      <x:c r="G26" s="8"/>
      <x:c r="H26" s="11"/>
      <x:c r="I26" s="1"/>
      <x:c r="J26" s="1"/>
      <x:c r="K26" s="1"/>
      <x:c r="L26" s="1"/>
      <x:c r="M26" s="1"/>
      <x:c r="N26" s="1"/>
    </x:row>
    <x:row r="27">
      <x:c r="B27" s="8" t="s">
        <x:v>47</x:v>
      </x:c>
      <x:c r="C27" s="26" t="n">
        <x:f>'Income Statement'!H33</x:f>
        <x:v>31.500183600453063</x:v>
      </x:c>
      <x:c r="D27" s="26" t="n">
        <x:f>Inputs!C38</x:f>
        <x:v>31.58</x:v>
      </x:c>
      <x:c r="E27" s="30" t="n">
        <x:f>C27-D27</x:f>
        <x:v>-0.0798163995469352</x:v>
      </x:c>
      <x:c r="F27" s="26" t="n">
        <x:f>Guidance!H36</x:f>
        <x:v>30.73</x:v>
      </x:c>
      <x:c r="G27" s="30" t="n">
        <x:f>C27-F27</x:f>
        <x:v>0.7701836004530627</x:v>
      </x:c>
      <x:c r="H27" s="11"/>
      <x:c r="I27" s="1"/>
      <x:c r="J27" s="1"/>
      <x:c r="K27" s="1"/>
      <x:c r="L27" s="1"/>
      <x:c r="M27" s="1"/>
      <x:c r="N27" s="1"/>
    </x:row>
    <x:row r="28">
      <x:c r="B28" s="33" t="s">
        <x:v>48</x:v>
      </x:c>
      <x:c r="C28" s="37" t="str">
        <x:f>IF(AND(ABS('Revenue summary'!C60)&lt;0.01,ABS('Revenue summary'!D60)&lt;0.01,ABS('Revenue summary'!E60)&lt;0.01,ABS('Revenue summary'!F60)&lt;0.01,ABS('Revenue summary'!G60)&lt;0.01,ABS('Revenue summary'!C32)&lt;0.01,ABS('Revenue summary'!D32)&lt;0.01,ABS('Revenue summary'!E32)&lt;0.01,ABS('Revenue summary'!F32)&lt;0.01,ABS('Revenue summary'!G32)&lt;0.01,ABS(Geo!D43)&lt;0.01,ABS('Balance Sheet'!H42)&lt;0.01,ABS('Income Statement'!H36)&lt;0.01,ABS(C29)&lt;0.01,ABS(C30)&lt;0.01),"PASS","FAIL")</x:f>
        <x:v>PASS</x:v>
      </x:c>
      <x:c r="D28" s="33"/>
      <x:c r="E28" s="33"/>
      <x:c r="F28" s="33"/>
      <x:c r="G28" s="33"/>
      <x:c r="H28" s="11"/>
      <x:c r="I28" s="1"/>
      <x:c r="J28" s="1"/>
      <x:c r="K28" s="1"/>
      <x:c r="L28" s="1"/>
      <x:c r="M28" s="1"/>
      <x:c r="N28" s="1"/>
    </x:row>
    <x:row r="29">
      <x:c r="B29" s="1" t="s">
        <x:v>49</x:v>
      </x:c>
      <x:c r="C29" s="28" t="n">
        <x:f>C23-'Income Statement'!H10</x:f>
        <x:v>0</x:v>
      </x:c>
      <x:c r="D29" s="1"/>
      <x:c r="E29" s="1"/>
      <x:c r="F29" s="1"/>
      <x:c r="G29" s="1"/>
      <x:c r="H29" s="11"/>
      <x:c r="I29" s="1"/>
      <x:c r="J29" s="1"/>
      <x:c r="K29" s="1"/>
      <x:c r="L29" s="1"/>
      <x:c r="M29" s="1"/>
      <x:c r="N29" s="1"/>
    </x:row>
    <x:row r="30">
      <x:c r="B30" s="1" t="s">
        <x:v>50</x:v>
      </x:c>
      <x:c r="C30" s="26" t="n">
        <x:f>C25-'Income Statement'!H48</x:f>
        <x:v>0</x:v>
      </x:c>
      <x:c r="D30" s="1"/>
      <x:c r="E30" s="1"/>
      <x:c r="F30" s="1"/>
      <x:c r="G30" s="1"/>
      <x:c r="H30" s="11"/>
      <x:c r="I30" s="1"/>
      <x:c r="J30" s="1"/>
      <x:c r="K30" s="1"/>
      <x:c r="L30" s="1"/>
      <x:c r="M30" s="1"/>
      <x:c r="N30" s="1"/>
    </x:row>
    <x:row r="31">
      <x:c r="B31" s="1" t="s">
        <x:v>51</x:v>
      </x:c>
      <x:c r="C31" s="43" t="n">
        <x:f>Inputs!L47</x:f>
        <x:v>0.57</x:v>
      </x:c>
      <x:c r="D31" s="1"/>
      <x:c r="E31" s="1"/>
      <x:c r="F31" s="1"/>
      <x:c r="G31" s="1"/>
      <x:c r="H31" s="11"/>
      <x:c r="I31" s="1"/>
      <x:c r="J31" s="1"/>
      <x:c r="K31" s="1"/>
      <x:c r="L31" s="1"/>
      <x:c r="M31" s="1"/>
      <x:c r="N31" s="1"/>
    </x:row>
    <x:row r="32">
      <x:c r="B32" s="1" t="s">
        <x:v>52</x:v>
      </x:c>
      <x:c r="C32" s="28" t="str">
        <x:f>Inputs!L61</x:f>
        <x:v>medium</x:v>
      </x:c>
      <x:c r="D32" s="1"/>
      <x:c r="E32" s="1"/>
      <x:c r="F32" s="1"/>
      <x:c r="G32" s="1"/>
      <x:c r="H32" s="11"/>
      <x:c r="I32" s="1"/>
      <x:c r="J32" s="1"/>
      <x:c r="K32" s="1"/>
      <x:c r="L32" s="1"/>
      <x:c r="M32" s="1"/>
      <x:c r="N32" s="1"/>
    </x:row>
    <x:row r="33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  <x:drawing xmlns:r="http://schemas.openxmlformats.org/officeDocument/2006/relationships" r:id="R1a32a2da7aa1440e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53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54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55</x:v>
      </x:c>
      <x:c r="C10" s="4">
        <x:v>8984</x:v>
      </x:c>
      <x:c r="D10" s="4">
        <x:v>28578</x:v>
      </x:c>
      <x:c r="E10" s="4">
        <x:v>10812</x:v>
      </x:c>
      <x:c r="F10" s="4">
        <x:v>18768</x:v>
      </x:c>
      <x:c r="G10" s="4">
        <x:v>31328</x:v>
      </x:c>
      <x:c r="H10" s="6" t="n">
        <x:f>G10*(1+Inputs!L54)*H7/G7</x:f>
        <x:v>38798.52307692307</x:v>
      </x:c>
      <x:c r="I10" s="1"/>
      <x:c r="J10" s="1"/>
      <x:c r="K10" s="1"/>
      <x:c r="L10" s="1"/>
    </x:row>
    <x:row r="11">
      <x:c r="B11" s="1" t="s">
        <x:v>56</x:v>
      </x:c>
      <x:c r="C11" s="5"/>
      <x:c r="D11" s="17" t="n">
        <x:f>IFERROR(D10/Inputs!N84-1,0)</x:f>
        <x:v>0.6234732716014315</x:v>
      </x:c>
      <x:c r="E11" s="17" t="n">
        <x:f>IFERROR(E10/Inputs!N81-1,0)</x:f>
        <x:v>0.6893750000000001</x:v>
      </x:c>
      <x:c r="F11" s="17" t="n">
        <x:f>IFERROR(F10/Inputs!N82-1,0)</x:f>
        <x:v>2.0651641352278296</x:v>
      </x:c>
      <x:c r="G11" s="17" t="n">
        <x:f>IFERROR(G10/Inputs!N83-1,0)</x:f>
        <x:v>3.430490736812332</x:v>
      </x:c>
      <x:c r="H11" s="21" t="n">
        <x:f>H10/C10-1</x:f>
        <x:v>3.3186245633262548</x:v>
      </x:c>
      <x:c r="I11" s="1"/>
      <x:c r="J11" s="1"/>
      <x:c r="K11" s="1"/>
      <x:c r="L11" s="1"/>
    </x:row>
    <x:row r="12">
      <x:c r="B12" s="1" t="s">
        <x:v>57</x:v>
      </x:c>
      <x:c r="C12" s="5"/>
      <x:c r="D12" s="5"/>
      <x:c r="E12" s="5" t="n">
        <x:f>IFERROR(E10/C10-1,0)</x:f>
        <x:v>0.20347284060552084</x:v>
      </x:c>
      <x:c r="F12" s="5" t="n">
        <x:f>IFERROR(F10/E10-1,0)</x:f>
        <x:v>0.7358490566037736</x:v>
      </x:c>
      <x:c r="G12" s="5" t="n">
        <x:f>IFERROR(G10/F10-1,0)</x:f>
        <x:v>0.6692242114236999</x:v>
      </x:c>
      <x:c r="H12" s="21" t="n">
        <x:f>H10/G10-1</x:f>
        <x:v>0.23846153846153828</x:v>
      </x:c>
      <x:c r="I12" s="1"/>
      <x:c r="J12" s="1"/>
      <x:c r="K12" s="1"/>
      <x:c r="L12" s="1"/>
    </x:row>
    <x:row r="13">
      <x:c r="B13" s="1" t="s">
        <x:v>58</x:v>
      </x:c>
      <x:c r="C13" s="5"/>
      <x:c r="D13" s="5" t="n">
        <x:f>(1+D16)/((1+D14)*(1+D15))-1</x:f>
        <x:v>0.6234732716014315</x:v>
      </x:c>
      <x:c r="E13" s="5" t="n">
        <x:f>(1+E16)/((1+E14)*(1+E15))-1</x:f>
        <x:v>0.6893750000000001</x:v>
      </x:c>
      <x:c r="F13" s="5" t="n">
        <x:f>(1+F16)/((1+F14)*(1+F15))-1</x:f>
        <x:v>2.0651641352278296</x:v>
      </x:c>
      <x:c r="G13" s="5" t="n">
        <x:f>(1+G16)/((1+G14)*(1+G15))-1</x:f>
        <x:v>3.430490736812332</x:v>
      </x:c>
      <x:c r="H13" s="21" t="n">
        <x:f>(1+H16)/((1+H14)*(1+H15))-1</x:f>
        <x:v>3.3186245633262548</x:v>
      </x:c>
      <x:c r="I13" s="1"/>
      <x:c r="J13" s="1"/>
      <x:c r="K13" s="1"/>
      <x:c r="L13" s="1"/>
    </x:row>
    <x:row r="14">
      <x:c r="B14" s="1" t="s">
        <x:v>59</x:v>
      </x:c>
      <x:c r="C14" s="5"/>
      <x:c r="D14" s="17" t="n">
        <x:f>Inputs!L48</x:f>
        <x:v>0</x:v>
      </x:c>
      <x:c r="E14" s="17" t="n">
        <x:f>Inputs!L48</x:f>
        <x:v>0</x:v>
      </x:c>
      <x:c r="F14" s="17" t="n">
        <x:f>Inputs!L48</x:f>
        <x:v>0</x:v>
      </x:c>
      <x:c r="G14" s="17" t="n">
        <x:f>Inputs!L48</x:f>
        <x:v>0</x:v>
      </x:c>
      <x:c r="H14" s="40" t="n">
        <x:f>Inputs!L48</x:f>
        <x:v>0</x:v>
      </x:c>
      <x:c r="I14" s="1"/>
      <x:c r="J14" s="1"/>
      <x:c r="K14" s="1"/>
      <x:c r="L14" s="1"/>
    </x:row>
    <x:row r="15">
      <x:c r="B15" s="1" t="s">
        <x:v>60</x:v>
      </x:c>
      <x:c r="C15" s="5"/>
      <x:c r="D15" s="17" t="n">
        <x:f>Inputs!L49</x:f>
        <x:v>0</x:v>
      </x:c>
      <x:c r="E15" s="17" t="n">
        <x:f>Inputs!L49</x:f>
        <x:v>0</x:v>
      </x:c>
      <x:c r="F15" s="17" t="n">
        <x:f>Inputs!L49</x:f>
        <x:v>0</x:v>
      </x:c>
      <x:c r="G15" s="17" t="n">
        <x:f>Inputs!L49</x:f>
        <x:v>0</x:v>
      </x:c>
      <x:c r="H15" s="40" t="n">
        <x:f>Inputs!L49</x:f>
        <x:v>0</x:v>
      </x:c>
      <x:c r="I15" s="1"/>
      <x:c r="J15" s="1"/>
      <x:c r="K15" s="1"/>
      <x:c r="L15" s="1"/>
    </x:row>
    <x:row r="16">
      <x:c r="B16" s="1" t="s">
        <x:v>61</x:v>
      </x:c>
      <x:c r="C16" s="5"/>
      <x:c r="D16" s="5" t="n">
        <x:f>D11</x:f>
        <x:v>0.6234732716014315</x:v>
      </x:c>
      <x:c r="E16" s="5" t="n">
        <x:f>E11</x:f>
        <x:v>0.6893750000000001</x:v>
      </x:c>
      <x:c r="F16" s="5" t="n">
        <x:f>F11</x:f>
        <x:v>2.0651641352278296</x:v>
      </x:c>
      <x:c r="G16" s="5" t="n">
        <x:f>G11</x:f>
        <x:v>3.430490736812332</x:v>
      </x:c>
      <x:c r="H16" s="21" t="n">
        <x:f>H10/C10-1</x:f>
        <x:v>3.3186245633262548</x:v>
      </x:c>
      <x:c r="I16" s="1"/>
      <x:c r="J16" s="1"/>
      <x:c r="K16" s="1"/>
      <x:c r="L16" s="1"/>
    </x:row>
    <x:row r="17">
      <x:c r="B17" s="1" t="s">
        <x:v>62</x:v>
      </x:c>
      <x:c r="C17" s="4">
        <x:v>2252</x:v>
      </x:c>
      <x:c r="D17" s="4">
        <x:v>8503</x:v>
      </x:c>
      <x:c r="E17" s="4">
        <x:v>2743</x:v>
      </x:c>
      <x:c r="F17" s="4">
        <x:v>4997</x:v>
      </x:c>
      <x:c r="G17" s="4">
        <x:v>9943</x:v>
      </x:c>
      <x:c r="H17" s="6" t="n">
        <x:f>G17*(1+Inputs!L55)*H7/G7</x:f>
        <x:v>12528.179999999998</x:v>
      </x:c>
      <x:c r="I17" s="1"/>
      <x:c r="J17" s="1"/>
      <x:c r="K17" s="1"/>
      <x:c r="L17" s="1"/>
    </x:row>
    <x:row r="18">
      <x:c r="B18" s="1" t="s">
        <x:v>56</x:v>
      </x:c>
      <x:c r="C18" s="5"/>
      <x:c r="D18" s="17" t="n">
        <x:f>IFERROR(D17/Inputs!O84-1,0)</x:f>
        <x:v>0.1765601217656012</x:v>
      </x:c>
      <x:c r="E18" s="17" t="n">
        <x:f>IFERROR(E17/Inputs!O81-1,0)</x:f>
        <x:v>0.22400713966979025</x:v>
      </x:c>
      <x:c r="F18" s="17" t="n">
        <x:f>IFERROR(F17/Inputs!O82-1,0)</x:f>
        <x:v>1.6938005390835578</x:v>
      </x:c>
      <x:c r="G18" s="17" t="n">
        <x:f>IFERROR(G17/Inputs!O83-1,0)</x:f>
        <x:v>3.613921113689095</x:v>
      </x:c>
      <x:c r="H18" s="21" t="n">
        <x:f>H17/C17-1</x:f>
        <x:v>4.5631349911190044</x:v>
      </x:c>
      <x:c r="I18" s="1"/>
      <x:c r="J18" s="1"/>
      <x:c r="K18" s="1"/>
      <x:c r="L18" s="1"/>
    </x:row>
    <x:row r="19">
      <x:c r="B19" s="1" t="s">
        <x:v>57</x:v>
      </x:c>
      <x:c r="C19" s="5"/>
      <x:c r="D19" s="5"/>
      <x:c r="E19" s="5" t="n">
        <x:f>IFERROR(E17/C17-1,0)</x:f>
        <x:v>0.21802841918294846</x:v>
      </x:c>
      <x:c r="F19" s="5" t="n">
        <x:f>IFERROR(F17/E17-1,0)</x:f>
        <x:v>0.8217280349981773</x:v>
      </x:c>
      <x:c r="G19" s="5" t="n">
        <x:f>IFERROR(G17/F17-1,0)</x:f>
        <x:v>0.9897938763257954</x:v>
      </x:c>
      <x:c r="H19" s="21" t="n">
        <x:f>H17/G17-1</x:f>
        <x:v>0.2599999999999998</x:v>
      </x:c>
      <x:c r="I19" s="1"/>
      <x:c r="J19" s="1"/>
      <x:c r="K19" s="1"/>
      <x:c r="L19" s="1"/>
    </x:row>
    <x:row r="20">
      <x:c r="B20" s="1" t="s">
        <x:v>58</x:v>
      </x:c>
      <x:c r="C20" s="5"/>
      <x:c r="D20" s="5" t="n">
        <x:f>(1+D23)/((1+D21)*(1+D22))-1</x:f>
        <x:v>0.1765601217656012</x:v>
      </x:c>
      <x:c r="E20" s="5" t="n">
        <x:f>(1+E23)/((1+E21)*(1+E22))-1</x:f>
        <x:v>0.22400713966979025</x:v>
      </x:c>
      <x:c r="F20" s="5" t="n">
        <x:f>(1+F23)/((1+F21)*(1+F22))-1</x:f>
        <x:v>1.6938005390835578</x:v>
      </x:c>
      <x:c r="G20" s="5" t="n">
        <x:f>(1+G23)/((1+G21)*(1+G22))-1</x:f>
        <x:v>3.613921113689095</x:v>
      </x:c>
      <x:c r="H20" s="21" t="n">
        <x:f>(1+H23)/((1+H21)*(1+H22))-1</x:f>
        <x:v>4.5631349911190044</x:v>
      </x:c>
      <x:c r="I20" s="1"/>
      <x:c r="J20" s="1"/>
      <x:c r="K20" s="1"/>
      <x:c r="L20" s="1"/>
    </x:row>
    <x:row r="21">
      <x:c r="B21" s="1" t="s">
        <x:v>59</x:v>
      </x:c>
      <x:c r="C21" s="5"/>
      <x:c r="D21" s="17" t="n">
        <x:f>Inputs!L48</x:f>
        <x:v>0</x:v>
      </x:c>
      <x:c r="E21" s="17" t="n">
        <x:f>Inputs!L48</x:f>
        <x:v>0</x:v>
      </x:c>
      <x:c r="F21" s="17" t="n">
        <x:f>Inputs!L48</x:f>
        <x:v>0</x:v>
      </x:c>
      <x:c r="G21" s="17" t="n">
        <x:f>Inputs!L48</x:f>
        <x:v>0</x:v>
      </x:c>
      <x:c r="H21" s="40" t="n">
        <x:f>Inputs!L48</x:f>
        <x:v>0</x:v>
      </x:c>
      <x:c r="I21" s="1"/>
      <x:c r="J21" s="1"/>
      <x:c r="K21" s="1"/>
      <x:c r="L21" s="1"/>
    </x:row>
    <x:row r="22">
      <x:c r="B22" s="1" t="s">
        <x:v>60</x:v>
      </x:c>
      <x:c r="C22" s="5"/>
      <x:c r="D22" s="17" t="n">
        <x:f>Inputs!L49</x:f>
        <x:v>0</x:v>
      </x:c>
      <x:c r="E22" s="17" t="n">
        <x:f>Inputs!L49</x:f>
        <x:v>0</x:v>
      </x:c>
      <x:c r="F22" s="17" t="n">
        <x:f>Inputs!L49</x:f>
        <x:v>0</x:v>
      </x:c>
      <x:c r="G22" s="17" t="n">
        <x:f>Inputs!L49</x:f>
        <x:v>0</x:v>
      </x:c>
      <x:c r="H22" s="40" t="n">
        <x:f>Inputs!L49</x:f>
        <x:v>0</x:v>
      </x:c>
      <x:c r="I22" s="1"/>
      <x:c r="J22" s="1"/>
      <x:c r="K22" s="1"/>
      <x:c r="L22" s="1"/>
    </x:row>
    <x:row r="23">
      <x:c r="B23" s="1" t="s">
        <x:v>61</x:v>
      </x:c>
      <x:c r="C23" s="5"/>
      <x:c r="D23" s="5" t="n">
        <x:f>D18</x:f>
        <x:v>0.1765601217656012</x:v>
      </x:c>
      <x:c r="E23" s="5" t="n">
        <x:f>E18</x:f>
        <x:v>0.22400713966979025</x:v>
      </x:c>
      <x:c r="F23" s="5" t="n">
        <x:f>F18</x:f>
        <x:v>1.6938005390835578</x:v>
      </x:c>
      <x:c r="G23" s="5" t="n">
        <x:f>G18</x:f>
        <x:v>3.613921113689095</x:v>
      </x:c>
      <x:c r="H23" s="21" t="n">
        <x:f>H17/C17-1</x:f>
        <x:v>4.5631349911190044</x:v>
      </x:c>
      <x:c r="I23" s="1"/>
      <x:c r="J23" s="1"/>
      <x:c r="K23" s="1"/>
      <x:c r="L23" s="1"/>
    </x:row>
    <x:row r="24">
      <x:c r="B24" s="1" t="s">
        <x:v>63</x:v>
      </x:c>
      <x:c r="C24" s="4">
        <x:v>79</x:v>
      </x:c>
      <x:c r="D24" s="4">
        <x:v>297</x:v>
      </x:c>
      <x:c r="E24" s="4">
        <x:v>88</x:v>
      </x:c>
      <x:c r="F24" s="4">
        <x:v>95</x:v>
      </x:c>
      <x:c r="G24" s="4">
        <x:v>185</x:v>
      </x:c>
      <x:c r="H24" s="19" t="n">
        <x:f>H53-SUM(H10,H17)</x:f>
        <x:v>154.0798115384605</x:v>
      </x:c>
      <x:c r="I24" s="1"/>
      <x:c r="J24" s="1"/>
      <x:c r="K24" s="1"/>
      <x:c r="L24" s="1"/>
    </x:row>
    <x:row r="25">
      <x:c r="B25" s="1" t="s">
        <x:v>56</x:v>
      </x:c>
      <x:c r="C25" s="5"/>
      <x:c r="D25" s="17" t="n">
        <x:f>IFERROR(D24/Inputs!P84-1,0)</x:f>
        <x:v>0.05693950177935947</x:v>
      </x:c>
      <x:c r="E25" s="17" t="n">
        <x:f>IFERROR(E24/Inputs!P81-1,0)</x:f>
        <x:v>0.2941176470588236</x:v>
      </x:c>
      <x:c r="F25" s="17" t="n">
        <x:f>IFERROR(F24/Inputs!P82-1,0)</x:f>
        <x:v>0.2666666666666666</x:v>
      </x:c>
      <x:c r="G25" s="17" t="n">
        <x:f>IFERROR(G24/Inputs!P83-1,0)</x:f>
        <x:v>1.4666666666666668</x:v>
      </x:c>
      <x:c r="H25" s="21" t="n">
        <x:f>H24/C24-1</x:f>
        <x:v>0.9503773612463353</x:v>
      </x:c>
      <x:c r="I25" s="1"/>
      <x:c r="J25" s="1"/>
      <x:c r="K25" s="1"/>
      <x:c r="L25" s="1"/>
    </x:row>
    <x:row r="26">
      <x:c r="B26" s="1" t="s">
        <x:v>57</x:v>
      </x:c>
      <x:c r="C26" s="5"/>
      <x:c r="D26" s="5"/>
      <x:c r="E26" s="5" t="n">
        <x:f>IFERROR(E24/C24-1,0)</x:f>
        <x:v>0.11392405063291133</x:v>
      </x:c>
      <x:c r="F26" s="5" t="n">
        <x:f>IFERROR(F24/E24-1,0)</x:f>
        <x:v>0.07954545454545459</x:v>
      </x:c>
      <x:c r="G26" s="5" t="n">
        <x:f>IFERROR(G24/F24-1,0)</x:f>
        <x:v>0.9473684210526316</x:v>
      </x:c>
      <x:c r="H26" s="21" t="n">
        <x:f>H24/G24-1</x:f>
        <x:v>-0.16713615384615954</x:v>
      </x:c>
      <x:c r="I26" s="1"/>
      <x:c r="J26" s="1"/>
      <x:c r="K26" s="1"/>
      <x:c r="L26" s="1"/>
    </x:row>
    <x:row r="27">
      <x:c r="B27" s="1" t="s">
        <x:v>58</x:v>
      </x:c>
      <x:c r="C27" s="5"/>
      <x:c r="D27" s="5" t="n">
        <x:f>(1+D30)/((1+D28)*(1+D29))-1</x:f>
        <x:v>0.05693950177935947</x:v>
      </x:c>
      <x:c r="E27" s="5" t="n">
        <x:f>(1+E30)/((1+E28)*(1+E29))-1</x:f>
        <x:v>0.2941176470588236</x:v>
      </x:c>
      <x:c r="F27" s="5" t="n">
        <x:f>(1+F30)/((1+F28)*(1+F29))-1</x:f>
        <x:v>0.2666666666666666</x:v>
      </x:c>
      <x:c r="G27" s="5" t="n">
        <x:f>(1+G30)/((1+G28)*(1+G29))-1</x:f>
        <x:v>1.4666666666666668</x:v>
      </x:c>
      <x:c r="H27" s="21" t="n">
        <x:f>(1+H30)/((1+H28)*(1+H29))-1</x:f>
        <x:v>0.9503773612463353</x:v>
      </x:c>
      <x:c r="I27" s="1"/>
      <x:c r="J27" s="1"/>
      <x:c r="K27" s="1"/>
      <x:c r="L27" s="1"/>
    </x:row>
    <x:row r="28">
      <x:c r="B28" s="1" t="s">
        <x:v>59</x:v>
      </x:c>
      <x:c r="C28" s="5"/>
      <x:c r="D28" s="17" t="n">
        <x:f>Inputs!L48</x:f>
        <x:v>0</x:v>
      </x:c>
      <x:c r="E28" s="17" t="n">
        <x:f>Inputs!L48</x:f>
        <x:v>0</x:v>
      </x:c>
      <x:c r="F28" s="17" t="n">
        <x:f>Inputs!L48</x:f>
        <x:v>0</x:v>
      </x:c>
      <x:c r="G28" s="17" t="n">
        <x:f>Inputs!L48</x:f>
        <x:v>0</x:v>
      </x:c>
      <x:c r="H28" s="40" t="n">
        <x:f>Inputs!L48</x:f>
        <x:v>0</x:v>
      </x:c>
      <x:c r="I28" s="1"/>
      <x:c r="J28" s="1"/>
      <x:c r="K28" s="1"/>
      <x:c r="L28" s="1"/>
    </x:row>
    <x:row r="29">
      <x:c r="B29" s="1" t="s">
        <x:v>60</x:v>
      </x:c>
      <x:c r="C29" s="5"/>
      <x:c r="D29" s="17" t="n">
        <x:f>Inputs!L49</x:f>
        <x:v>0</x:v>
      </x:c>
      <x:c r="E29" s="17" t="n">
        <x:f>Inputs!L49</x:f>
        <x:v>0</x:v>
      </x:c>
      <x:c r="F29" s="17" t="n">
        <x:f>Inputs!L49</x:f>
        <x:v>0</x:v>
      </x:c>
      <x:c r="G29" s="17" t="n">
        <x:f>Inputs!L49</x:f>
        <x:v>0</x:v>
      </x:c>
      <x:c r="H29" s="40" t="n">
        <x:f>Inputs!L49</x:f>
        <x:v>0</x:v>
      </x:c>
      <x:c r="I29" s="1"/>
      <x:c r="J29" s="1"/>
      <x:c r="K29" s="1"/>
      <x:c r="L29" s="1"/>
    </x:row>
    <x:row r="30">
      <x:c r="B30" s="1" t="s">
        <x:v>61</x:v>
      </x:c>
      <x:c r="C30" s="5"/>
      <x:c r="D30" s="5" t="n">
        <x:f>D25</x:f>
        <x:v>0.05693950177935947</x:v>
      </x:c>
      <x:c r="E30" s="5" t="n">
        <x:f>E25</x:f>
        <x:v>0.2941176470588236</x:v>
      </x:c>
      <x:c r="F30" s="5" t="n">
        <x:f>F25</x:f>
        <x:v>0.2666666666666666</x:v>
      </x:c>
      <x:c r="G30" s="5" t="n">
        <x:f>G25</x:f>
        <x:v>1.4666666666666668</x:v>
      </x:c>
      <x:c r="H30" s="21" t="n">
        <x:f>H24/C24-1</x:f>
        <x:v>0.9503773612463353</x:v>
      </x:c>
      <x:c r="I30" s="1"/>
      <x:c r="J30" s="1"/>
      <x:c r="K30" s="1"/>
      <x:c r="L30" s="1"/>
    </x:row>
    <x:row r="31">
      <x:c r="B31" s="39" t="s">
        <x:v>64</x:v>
      </x:c>
      <x:c r="C31" s="41" t="n">
        <x:f>SUM(C10,C17,C24)</x:f>
        <x:v>11315</x:v>
      </x:c>
      <x:c r="D31" s="41" t="n">
        <x:f>SUM(D10,D17,D24)</x:f>
        <x:v>37378</x:v>
      </x:c>
      <x:c r="E31" s="41" t="n">
        <x:f>SUM(E10,E17,E24)</x:f>
        <x:v>13643</x:v>
      </x:c>
      <x:c r="F31" s="41" t="n">
        <x:f>SUM(F10,F17,F24)</x:f>
        <x:v>23860</x:v>
      </x:c>
      <x:c r="G31" s="41" t="n">
        <x:f>SUM(G10,G17,G24)</x:f>
        <x:v>41456</x:v>
      </x:c>
      <x:c r="H31" s="42" t="n">
        <x:f>SUM(H10,H17,H24)</x:f>
        <x:v>51480.78288846153</x:v>
      </x:c>
      <x:c r="I31" s="1"/>
      <x:c r="J31" s="1"/>
      <x:c r="K31" s="1"/>
      <x:c r="L31" s="1"/>
    </x:row>
    <x:row r="32">
      <x:c r="B32" s="1" t="s">
        <x:v>65</x:v>
      </x:c>
      <x:c r="C32" s="8" t="n">
        <x:f>C31-C53</x:f>
        <x:v>0</x:v>
      </x:c>
      <x:c r="D32" s="8" t="n">
        <x:f>D31-D53</x:f>
        <x:v>0</x:v>
      </x:c>
      <x:c r="E32" s="8" t="n">
        <x:f>E31-E53</x:f>
        <x:v>0</x:v>
      </x:c>
      <x:c r="F32" s="8" t="n">
        <x:f>F31-F53</x:f>
        <x:v>0</x:v>
      </x:c>
      <x:c r="G32" s="8" t="n">
        <x:f>G31-G53</x:f>
        <x:v>0</x:v>
      </x:c>
      <x:c r="H32" s="19" t="n">
        <x:f>H31-H53</x:f>
        <x:v>0</x:v>
      </x:c>
      <x:c r="I32" s="1"/>
      <x:c r="J32" s="1" t="s">
        <x:v>66</x:v>
      </x:c>
      <x:c r="K32" s="1"/>
      <x:c r="L32" s="1"/>
    </x:row>
    <x:row r="33">
      <x:c r="B33" s="1" t="s">
        <x:v>67</x:v>
      </x:c>
      <x:c r="C33" s="8"/>
      <x:c r="D33" s="8"/>
      <x:c r="E33" s="8"/>
      <x:c r="F33" s="8"/>
      <x:c r="G33" s="8"/>
      <x:c r="H33" s="19"/>
      <x:c r="I33" s="1"/>
      <x:c r="J33" s="1"/>
      <x:c r="K33" s="1"/>
      <x:c r="L33" s="1"/>
    </x:row>
    <x:row r="34">
      <x:c r="B34" s="1" t="s">
        <x:v>68</x:v>
      </x:c>
      <x:c r="C34" s="13" t="n">
        <x:f>'Segment - Cloud Memory'!C20</x:f>
        <x:v>4543</x:v>
      </x:c>
      <x:c r="D34" s="13" t="n">
        <x:f>'Segment - Cloud Memory'!D20</x:f>
        <x:v>13524</x:v>
      </x:c>
      <x:c r="E34" s="13" t="n">
        <x:f>'Segment - Cloud Memory'!E20</x:f>
        <x:v>5284</x:v>
      </x:c>
      <x:c r="F34" s="13" t="n">
        <x:f>'Segment - Cloud Memory'!F20</x:f>
        <x:v>7749</x:v>
      </x:c>
      <x:c r="G34" s="13" t="n">
        <x:f>'Segment - Cloud Memory'!G20</x:f>
        <x:v>13769</x:v>
      </x:c>
      <x:c r="H34" s="6" t="n">
        <x:f>'Segment - Cloud Memory'!H20</x:f>
        <x:v>17293.11200076923</x:v>
      </x:c>
      <x:c r="I34" s="1"/>
      <x:c r="J34" s="1"/>
      <x:c r="K34" s="1"/>
      <x:c r="L34" s="1"/>
    </x:row>
    <x:row r="35">
      <x:c r="B35" s="1" t="s">
        <x:v>56</x:v>
      </x:c>
      <x:c r="C35" s="17" t="n">
        <x:f>IFERROR(C34/Inputs!Q85-1,0)</x:f>
        <x:v>2.135265700483092</x:v>
      </x:c>
      <x:c r="D35" s="17" t="n">
        <x:f>IFERROR(D34/Inputs!Q84-1,0)</x:f>
        <x:v>2.5664556962025316</x:v>
      </x:c>
      <x:c r="E35" s="17" t="n">
        <x:f>IFERROR(E34/Inputs!Q81-1,0)</x:f>
        <x:v>0.9954682779456194</x:v>
      </x:c>
      <x:c r="F35" s="17" t="n">
        <x:f>IFERROR(F34/Inputs!Q82-1,0)</x:f>
        <x:v>1.6294536817102139</x:v>
      </x:c>
      <x:c r="G35" s="17" t="n">
        <x:f>IFERROR(G34/Inputs!Q83-1,0)</x:f>
        <x:v>3.066450088600118</x:v>
      </x:c>
      <x:c r="H35" s="21" t="n">
        <x:f>H34/C34-1</x:f>
        <x:v>2.806540171862036</x:v>
      </x:c>
      <x:c r="I35" s="1"/>
      <x:c r="J35" s="1"/>
      <x:c r="K35" s="1"/>
      <x:c r="L35" s="1"/>
    </x:row>
    <x:row r="36">
      <x:c r="B36" s="1" t="s">
        <x:v>57</x:v>
      </x:c>
      <x:c r="C36" s="5"/>
      <x:c r="D36" s="5"/>
      <x:c r="E36" s="5" t="n">
        <x:f>IFERROR(E34/C34-1,0)</x:f>
        <x:v>0.16310807836231556</x:v>
      </x:c>
      <x:c r="F36" s="5" t="n">
        <x:f>IFERROR(F34/E34-1,0)</x:f>
        <x:v>0.4665026495079485</x:v>
      </x:c>
      <x:c r="G36" s="5" t="n">
        <x:f>IFERROR(G34/F34-1,0)</x:f>
        <x:v>0.7768744354110209</x:v>
      </x:c>
      <x:c r="H36" s="21" t="n">
        <x:f>H34/G34-1</x:f>
        <x:v>0.2559453846153845</x:v>
      </x:c>
      <x:c r="I36" s="1"/>
      <x:c r="J36" s="1"/>
      <x:c r="K36" s="1"/>
      <x:c r="L36" s="1"/>
    </x:row>
    <x:row r="37">
      <x:c r="B37" s="1" t="s">
        <x:v>69</x:v>
      </x:c>
      <x:c r="C37" s="5" t="n">
        <x:f>IFERROR(C34/C53,0)</x:f>
        <x:v>0.4015024304021211</x:v>
      </x:c>
      <x:c r="D37" s="5" t="n">
        <x:f>IFERROR(D34/D53,0)</x:f>
        <x:v>0.3618171116699663</x:v>
      </x:c>
      <x:c r="E37" s="5" t="n">
        <x:f>IFERROR(E34/E53,0)</x:f>
        <x:v>0.38730484497544526</x:v>
      </x:c>
      <x:c r="F37" s="5" t="n">
        <x:f>IFERROR(F34/F53,0)</x:f>
        <x:v>0.3247694886839899</x:v>
      </x:c>
      <x:c r="G37" s="5" t="n">
        <x:f>IFERROR(G34/G53,0)</x:f>
        <x:v>0.3321352759552296</x:v>
      </x:c>
      <x:c r="H37" s="21" t="n">
        <x:f>H34/H53</x:f>
        <x:v>0.3359139280814077</x:v>
      </x:c>
      <x:c r="I37" s="1"/>
      <x:c r="J37" s="1"/>
      <x:c r="K37" s="1"/>
      <x:c r="L37" s="1"/>
    </x:row>
    <x:row r="38">
      <x:c r="B38" s="1" t="s">
        <x:v>70</x:v>
      </x:c>
      <x:c r="C38" s="13" t="n">
        <x:f>'Segment - Core Data Center'!C20</x:f>
        <x:v>1577</x:v>
      </x:c>
      <x:c r="D38" s="13" t="n">
        <x:f>'Segment - Core Data Center'!D20</x:f>
        <x:v>7229</x:v>
      </x:c>
      <x:c r="E38" s="13" t="n">
        <x:f>'Segment - Core Data Center'!E20</x:f>
        <x:v>2379</x:v>
      </x:c>
      <x:c r="F38" s="13" t="n">
        <x:f>'Segment - Core Data Center'!F20</x:f>
        <x:v>5687</x:v>
      </x:c>
      <x:c r="G38" s="13" t="n">
        <x:f>'Segment - Core Data Center'!G20</x:f>
        <x:v>11524</x:v>
      </x:c>
      <x:c r="H38" s="6" t="n">
        <x:f>'Segment - Core Data Center'!H20</x:f>
        <x:v>14430.698519999998</x:v>
      </x:c>
      <x:c r="I38" s="1"/>
      <x:c r="J38" s="1"/>
      <x:c r="K38" s="1"/>
      <x:c r="L38" s="1"/>
    </x:row>
    <x:row r="39">
      <x:c r="B39" s="1" t="s">
        <x:v>56</x:v>
      </x:c>
      <x:c r="C39" s="17" t="n">
        <x:f>IFERROR(C38/Inputs!R85-1,0)</x:f>
        <x:v>-0.22998046875</x:v>
      </x:c>
      <x:c r="D39" s="17" t="n">
        <x:f>IFERROR(D38/Inputs!R84-1,0)</x:f>
        <x:v>0.4504414125200642</x:v>
      </x:c>
      <x:c r="E39" s="17" t="n">
        <x:f>IFERROR(E38/Inputs!R81-1,0)</x:f>
        <x:v>0.03795811518324599</x:v>
      </x:c>
      <x:c r="F39" s="17" t="n">
        <x:f>IFERROR(F38/Inputs!R82-1,0)</x:f>
        <x:v>2.107650273224044</x:v>
      </x:c>
      <x:c r="G39" s="17" t="n">
        <x:f>IFERROR(G38/Inputs!R83-1,0)</x:f>
        <x:v>6.53202614379085</x:v>
      </x:c>
      <x:c r="H39" s="21" t="n">
        <x:f>H38/C38-1</x:f>
        <x:v>8.150728294229548</x:v>
      </x:c>
      <x:c r="I39" s="1"/>
      <x:c r="J39" s="1"/>
      <x:c r="K39" s="1"/>
      <x:c r="L39" s="1"/>
    </x:row>
    <x:row r="40">
      <x:c r="B40" s="1" t="s">
        <x:v>57</x:v>
      </x:c>
      <x:c r="C40" s="5"/>
      <x:c r="D40" s="5"/>
      <x:c r="E40" s="5" t="n">
        <x:f>IFERROR(E38/C38-1,0)</x:f>
        <x:v>0.50856055802156</x:v>
      </x:c>
      <x:c r="F40" s="5" t="n">
        <x:f>IFERROR(F38/E38-1,0)</x:f>
        <x:v>1.3905002101723412</x:v>
      </x:c>
      <x:c r="G40" s="5" t="n">
        <x:f>IFERROR(G38/F38-1,0)</x:f>
        <x:v>1.0263759451380343</x:v>
      </x:c>
      <x:c r="H40" s="21" t="n">
        <x:f>H38/G38-1</x:f>
        <x:v>0.25222999999999973</x:v>
      </x:c>
      <x:c r="I40" s="1"/>
      <x:c r="J40" s="1"/>
      <x:c r="K40" s="1"/>
      <x:c r="L40" s="1"/>
    </x:row>
    <x:row r="41">
      <x:c r="B41" s="1" t="s">
        <x:v>69</x:v>
      </x:c>
      <x:c r="C41" s="5" t="n">
        <x:f>IFERROR(C38/C53,0)</x:f>
        <x:v>0.13937251436146708</x:v>
      </x:c>
      <x:c r="D41" s="5" t="n">
        <x:f>IFERROR(D38/D53,0)</x:f>
        <x:v>0.1934025362512708</x:v>
      </x:c>
      <x:c r="E41" s="5" t="n">
        <x:f>IFERROR(E38/E53,0)</x:f>
        <x:v>0.1743751374331159</x:v>
      </x:c>
      <x:c r="F41" s="5" t="n">
        <x:f>IFERROR(F38/F53,0)</x:f>
        <x:v>0.23834870075440068</x:v>
      </x:c>
      <x:c r="G41" s="5" t="n">
        <x:f>IFERROR(G38/G53,0)</x:f>
        <x:v>0.27798147433423387</x:v>
      </x:c>
      <x:c r="H41" s="21" t="n">
        <x:f>H38/H53</x:f>
        <x:v>0.2803123361831075</x:v>
      </x:c>
      <x:c r="I41" s="1"/>
      <x:c r="J41" s="1"/>
      <x:c r="K41" s="1"/>
      <x:c r="L41" s="1"/>
    </x:row>
    <x:row r="42">
      <x:c r="B42" s="1" t="s">
        <x:v>71</x:v>
      </x:c>
      <x:c r="C42" s="13" t="n">
        <x:f>'Segment - Mobile and Client'!C20</x:f>
        <x:v>3760</x:v>
      </x:c>
      <x:c r="D42" s="13" t="n">
        <x:f>'Segment - Mobile and Client'!D20</x:f>
        <x:v>11859</x:v>
      </x:c>
      <x:c r="E42" s="13" t="n">
        <x:f>'Segment - Mobile and Client'!E20</x:f>
        <x:v>4255</x:v>
      </x:c>
      <x:c r="F42" s="13" t="n">
        <x:f>'Segment - Mobile and Client'!F20</x:f>
        <x:v>7711</x:v>
      </x:c>
      <x:c r="G42" s="13" t="n">
        <x:f>'Segment - Mobile and Client'!G20</x:f>
        <x:v>11521</x:v>
      </x:c>
      <x:c r="H42" s="6" t="n">
        <x:f>'Segment - Mobile and Client'!H20</x:f>
        <x:v>14051.93328</x:v>
      </x:c>
      <x:c r="I42" s="1"/>
      <x:c r="J42" s="1"/>
      <x:c r="K42" s="1"/>
      <x:c r="L42" s="1"/>
    </x:row>
    <x:row r="43">
      <x:c r="B43" s="1" t="s">
        <x:v>56</x:v>
      </x:c>
      <x:c r="C43" s="17" t="n">
        <x:f>IFERROR(C42/Inputs!S85-1,0)</x:f>
        <x:v>0.24544551175886054</x:v>
      </x:c>
      <x:c r="D43" s="17" t="n">
        <x:f>IFERROR(D42/Inputs!S84-1,0)</x:f>
        <x:v>0.016456672666495198</x:v>
      </x:c>
      <x:c r="E43" s="17" t="n">
        <x:f>IFERROR(E42/Inputs!S81-1,0)</x:f>
        <x:v>0.6315184049079754</x:v>
      </x:c>
      <x:c r="F43" s="17" t="n">
        <x:f>IFERROR(F42/Inputs!S82-1,0)</x:f>
        <x:v>2.4485688729874777</x:v>
      </x:c>
      <x:c r="G43" s="17" t="n">
        <x:f>IFERROR(G42/Inputs!S83-1,0)</x:f>
        <x:v>2.5394777265745008</x:v>
      </x:c>
      <x:c r="H43" s="21" t="n">
        <x:f>H42/C42-1</x:f>
        <x:v>2.73721629787234</x:v>
      </x:c>
      <x:c r="I43" s="1"/>
      <x:c r="J43" s="1"/>
      <x:c r="K43" s="1"/>
      <x:c r="L43" s="1"/>
    </x:row>
    <x:row r="44">
      <x:c r="B44" s="1" t="s">
        <x:v>57</x:v>
      </x:c>
      <x:c r="C44" s="5"/>
      <x:c r="D44" s="5"/>
      <x:c r="E44" s="5" t="n">
        <x:f>IFERROR(E42/C42-1,0)</x:f>
        <x:v>0.13164893617021267</x:v>
      </x:c>
      <x:c r="F44" s="5" t="n">
        <x:f>IFERROR(F42/E42-1,0)</x:f>
        <x:v>0.8122209165687426</x:v>
      </x:c>
      <x:c r="G44" s="5" t="n">
        <x:f>IFERROR(G42/F42-1,0)</x:f>
        <x:v>0.4940993386071846</x:v>
      </x:c>
      <x:c r="H44" s="21" t="n">
        <x:f>H42/G42-1</x:f>
        <x:v>0.21967999999999988</x:v>
      </x:c>
      <x:c r="I44" s="1"/>
      <x:c r="J44" s="1"/>
      <x:c r="K44" s="1"/>
      <x:c r="L44" s="1"/>
    </x:row>
    <x:row r="45">
      <x:c r="B45" s="1" t="s">
        <x:v>69</x:v>
      </x:c>
      <x:c r="C45" s="5" t="n">
        <x:f>IFERROR(C42/C53,0)</x:f>
        <x:v>0.3323022536456032</x:v>
      </x:c>
      <x:c r="D45" s="5" t="n">
        <x:f>IFERROR(D42/D53,0)</x:f>
        <x:v>0.3172721921986195</x:v>
      </x:c>
      <x:c r="E45" s="5" t="n">
        <x:f>IFERROR(E42/E53,0)</x:f>
        <x:v>0.31188155097852377</x:v>
      </x:c>
      <x:c r="F45" s="5" t="n">
        <x:f>IFERROR(F42/F53,0)</x:f>
        <x:v>0.32317686504610227</x:v>
      </x:c>
      <x:c r="G45" s="5" t="n">
        <x:f>IFERROR(G42/G53,0)</x:f>
        <x:v>0.277909108452335</x:v>
      </x:c>
      <x:c r="H45" s="21" t="n">
        <x:f>H42/H53</x:f>
        <x:v>0.2729549259273111</x:v>
      </x:c>
      <x:c r="I45" s="1"/>
      <x:c r="J45" s="1"/>
      <x:c r="K45" s="1"/>
      <x:c r="L45" s="1"/>
    </x:row>
    <x:row r="46">
      <x:c r="B46" s="1" t="s">
        <x:v>72</x:v>
      </x:c>
      <x:c r="C46" s="13" t="n">
        <x:f>'Segment - Automotive &amp; Embedded'!C20</x:f>
        <x:v>1434</x:v>
      </x:c>
      <x:c r="D46" s="13" t="n">
        <x:f>'Segment - Automotive &amp; Embedded'!D20</x:f>
        <x:v>4753</x:v>
      </x:c>
      <x:c r="E46" s="13" t="n">
        <x:f>'Segment - Automotive &amp; Embedded'!E20</x:f>
        <x:v>1720</x:v>
      </x:c>
      <x:c r="F46" s="13" t="n">
        <x:f>'Segment - Automotive &amp; Embedded'!F20</x:f>
        <x:v>2708</x:v>
      </x:c>
      <x:c r="G46" s="13" t="n">
        <x:f>'Segment - Automotive &amp; Embedded'!G20</x:f>
        <x:v>4634</x:v>
      </x:c>
      <x:c r="H46" s="6" t="n">
        <x:f>'Segment - Automotive &amp; Embedded'!H20</x:f>
        <x:v>5695.439087692307</x:v>
      </x:c>
      <x:c r="I46" s="1"/>
      <x:c r="J46" s="1"/>
      <x:c r="K46" s="1"/>
      <x:c r="L46" s="1"/>
    </x:row>
    <x:row r="47">
      <x:c r="B47" s="1" t="s">
        <x:v>56</x:v>
      </x:c>
      <x:c r="C47" s="17" t="n">
        <x:f>IFERROR(C46/Inputs!T85-1,0)</x:f>
        <x:v>0.1658536585365853</x:v>
      </x:c>
      <x:c r="D47" s="17" t="n">
        <x:f>IFERROR(D46/Inputs!T84-1,0)</x:f>
        <x:v>0.02634420211617372</x:v>
      </x:c>
      <x:c r="E47" s="17" t="n">
        <x:f>IFERROR(E46/Inputs!T81-1,0)</x:f>
        <x:v>0.4853195164075994</x:v>
      </x:c>
      <x:c r="F47" s="17" t="n">
        <x:f>IFERROR(F46/Inputs!T82-1,0)</x:f>
        <x:v>1.618955512572534</x:v>
      </x:c>
      <x:c r="G47" s="17" t="n">
        <x:f>IFERROR(G46/Inputs!T83-1,0)</x:f>
        <x:v>3.111801242236025</x:v>
      </x:c>
      <x:c r="H47" s="21" t="n">
        <x:f>H46/C46-1</x:f>
        <x:v>2.971714844973715</x:v>
      </x:c>
      <x:c r="I47" s="1"/>
      <x:c r="J47" s="1"/>
      <x:c r="K47" s="1"/>
      <x:c r="L47" s="1"/>
    </x:row>
    <x:row r="48">
      <x:c r="B48" s="1" t="s">
        <x:v>57</x:v>
      </x:c>
      <x:c r="C48" s="5"/>
      <x:c r="D48" s="5"/>
      <x:c r="E48" s="5" t="n">
        <x:f>IFERROR(E46/C46-1,0)</x:f>
        <x:v>0.19944211994421202</x:v>
      </x:c>
      <x:c r="F48" s="5" t="n">
        <x:f>IFERROR(F46/E46-1,0)</x:f>
        <x:v>0.5744186046511628</x:v>
      </x:c>
      <x:c r="G48" s="5" t="n">
        <x:f>IFERROR(G46/F46-1,0)</x:f>
        <x:v>0.7112259970457901</x:v>
      </x:c>
      <x:c r="H48" s="21" t="n">
        <x:f>H46/G46-1</x:f>
        <x:v>0.22905461538461536</x:v>
      </x:c>
      <x:c r="I48" s="1"/>
      <x:c r="J48" s="1"/>
      <x:c r="K48" s="1"/>
      <x:c r="L48" s="1"/>
    </x:row>
    <x:row r="49">
      <x:c r="B49" s="1" t="s">
        <x:v>69</x:v>
      </x:c>
      <x:c r="C49" s="5" t="n">
        <x:f>IFERROR(C46/C53,0)</x:f>
        <x:v>0.12673442333186036</x:v>
      </x:c>
      <x:c r="D49" s="5" t="n">
        <x:f>IFERROR(D46/D53,0)</x:f>
        <x:v>0.12716036171009684</x:v>
      </x:c>
      <x:c r="E49" s="5" t="n">
        <x:f>IFERROR(E46/E53,0)</x:f>
        <x:v>0.1260719783038921</x:v>
      </x:c>
      <x:c r="F49" s="5" t="n">
        <x:f>IFERROR(F46/F53,0)</x:f>
        <x:v>0.1134953897736798</x:v>
      </x:c>
      <x:c r="G49" s="5" t="n">
        <x:f>IFERROR(G46/G53,0)</x:f>
        <x:v>0.11178116557313779</x:v>
      </x:c>
      <x:c r="H49" s="21" t="n">
        <x:f>H46/H53</x:f>
        <x:v>0.11063233245757098</x:v>
      </x:c>
      <x:c r="I49" s="1"/>
      <x:c r="J49" s="1"/>
      <x:c r="K49" s="1"/>
      <x:c r="L49" s="1"/>
    </x:row>
    <x:row r="50">
      <x:c r="B50" s="1" t="s">
        <x:v>73</x:v>
      </x:c>
      <x:c r="C50" s="4">
        <x:v>1</x:v>
      </x:c>
      <x:c r="D50" s="4">
        <x:v>13</x:v>
      </x:c>
      <x:c r="E50" s="4">
        <x:v>5</x:v>
      </x:c>
      <x:c r="F50" s="4">
        <x:v>5</x:v>
      </x:c>
      <x:c r="G50" s="4">
        <x:v>8</x:v>
      </x:c>
      <x:c r="H50" s="6" t="n">
        <x:f>G50*(1+Inputs!L18)</x:f>
        <x:v>9.6</x:v>
      </x:c>
      <x:c r="I50" s="1"/>
      <x:c r="J50" s="1"/>
      <x:c r="K50" s="1"/>
      <x:c r="L50" s="1"/>
    </x:row>
    <x:row r="51">
      <x:c r="B51" s="1" t="s">
        <x:v>56</x:v>
      </x:c>
      <x:c r="C51" s="17" t="n">
        <x:f>IFERROR(C50/Inputs!U85-1,0)</x:f>
        <x:v>-0.75</x:v>
      </x:c>
      <x:c r="D51" s="17" t="n">
        <x:f>IFERROR(D50/Inputs!U84-1,0)</x:f>
        <x:v>-0.6486486486486487</x:v>
      </x:c>
      <x:c r="E51" s="17" t="n">
        <x:f>IFERROR(E50/Inputs!U81-1,0)</x:f>
        <x:v>0.6666666666666667</x:v>
      </x:c>
      <x:c r="F51" s="17" t="n">
        <x:f>IFERROR(F50/Inputs!U82-1,0)</x:f>
        <x:v>-0.16666666666666663</x:v>
      </x:c>
      <x:c r="G51" s="17" t="n">
        <x:f>IFERROR(G50/Inputs!U83-1,0)</x:f>
        <x:v>1.6666666666666665</x:v>
      </x:c>
      <x:c r="H51" s="21" t="n">
        <x:f>H50/C50-1</x:f>
        <x:v>8.6</x:v>
      </x:c>
      <x:c r="I51" s="1"/>
      <x:c r="J51" s="1"/>
      <x:c r="K51" s="1"/>
      <x:c r="L51" s="1"/>
    </x:row>
    <x:row r="52">
      <x:c r="B52" s="1" t="s">
        <x:v>57</x:v>
      </x:c>
      <x:c r="C52" s="5"/>
      <x:c r="D52" s="5"/>
      <x:c r="E52" s="5" t="n">
        <x:f>IFERROR(E50/C50-1,0)</x:f>
        <x:v>4</x:v>
      </x:c>
      <x:c r="F52" s="5" t="n">
        <x:f>IFERROR(F50/E50-1,0)</x:f>
        <x:v>0</x:v>
      </x:c>
      <x:c r="G52" s="5" t="n">
        <x:f>IFERROR(G50/F50-1,0)</x:f>
        <x:v>0.6000000000000001</x:v>
      </x:c>
      <x:c r="H52" s="21" t="n">
        <x:f>H50/G50-1</x:f>
        <x:v>0.19999999999999996</x:v>
      </x:c>
      <x:c r="I52" s="1"/>
      <x:c r="J52" s="1"/>
      <x:c r="K52" s="1"/>
      <x:c r="L52" s="1"/>
    </x:row>
    <x:row r="53">
      <x:c r="B53" s="39" t="s">
        <x:v>74</x:v>
      </x:c>
      <x:c r="C53" s="41" t="n">
        <x:f>SUM(C34,C38,C42,C46,C50)</x:f>
        <x:v>11315</x:v>
      </x:c>
      <x:c r="D53" s="41" t="n">
        <x:f>SUM(D34,D38,D42,D46,D50)</x:f>
        <x:v>37378</x:v>
      </x:c>
      <x:c r="E53" s="41" t="n">
        <x:f>SUM(E34,E38,E42,E46,E50)</x:f>
        <x:v>13643</x:v>
      </x:c>
      <x:c r="F53" s="41" t="n">
        <x:f>SUM(F34,F38,F42,F46,F50)</x:f>
        <x:v>23860</x:v>
      </x:c>
      <x:c r="G53" s="41" t="n">
        <x:f>SUM(G34,G38,G42,G46,G50)</x:f>
        <x:v>41456</x:v>
      </x:c>
      <x:c r="H53" s="42" t="n">
        <x:f>SUM(H34,H38,H42,H46,H50)</x:f>
        <x:v>51480.78288846153</x:v>
      </x:c>
      <x:c r="I53" s="1"/>
      <x:c r="J53" s="1"/>
      <x:c r="K53" s="1"/>
      <x:c r="L53" s="1"/>
    </x:row>
    <x:row r="54">
      <x:c r="B54" s="1" t="s">
        <x:v>56</x:v>
      </x:c>
      <x:c r="C54" s="17" t="n">
        <x:f>IFERROR(C53/Inputs!V85-1,0)</x:f>
        <x:v>0.45999999999999996</x:v>
      </x:c>
      <x:c r="D54" s="17" t="n">
        <x:f>IFERROR(D53/Inputs!V84-1,0)</x:f>
        <x:v>0.4885110111106685</x:v>
      </x:c>
      <x:c r="E54" s="17" t="n">
        <x:f>IFERROR(E53/Inputs!V81-1,0)</x:f>
        <x:v>0.5665403605465611</x:v>
      </x:c>
      <x:c r="F54" s="17" t="n">
        <x:f>IFERROR(F53/Inputs!V82-1,0)</x:f>
        <x:v>1.9628709797590962</x:v>
      </x:c>
      <x:c r="G54" s="17" t="n">
        <x:f>IFERROR(G53/Inputs!V83-1,0)</x:f>
        <x:v>3.457155144608107</x:v>
      </x:c>
      <x:c r="H54" s="21" t="n">
        <x:f>H53/C53-1</x:f>
        <x:v>3.549781960977599</x:v>
      </x:c>
      <x:c r="I54" s="1"/>
      <x:c r="J54" s="1"/>
      <x:c r="K54" s="1"/>
      <x:c r="L54" s="1"/>
    </x:row>
    <x:row r="55">
      <x:c r="B55" s="1" t="s">
        <x:v>57</x:v>
      </x:c>
      <x:c r="C55" s="5"/>
      <x:c r="D55" s="5"/>
      <x:c r="E55" s="5" t="n">
        <x:f>IFERROR(E53/C53-1,0)</x:f>
        <x:v>0.20574458683163943</x:v>
      </x:c>
      <x:c r="F55" s="5" t="n">
        <x:f>IFERROR(F53/E53-1,0)</x:f>
        <x:v>0.74888221065748</x:v>
      </x:c>
      <x:c r="G55" s="5" t="n">
        <x:f>IFERROR(G53/F53-1,0)</x:f>
        <x:v>0.737468566638726</x:v>
      </x:c>
      <x:c r="H55" s="21" t="n">
        <x:f>H53/G53-1</x:f>
        <x:v>0.24181741818944258</x:v>
      </x:c>
      <x:c r="I55" s="1"/>
      <x:c r="J55" s="1"/>
      <x:c r="K55" s="1"/>
      <x:c r="L55" s="1"/>
    </x:row>
    <x:row r="56">
      <x:c r="B56" s="1" t="s">
        <x:v>58</x:v>
      </x:c>
      <x:c r="C56" s="5" t="n">
        <x:f>(1+C59)/((1+C57)*(1+C58))-1</x:f>
        <x:v>0.45999999999999996</x:v>
      </x:c>
      <x:c r="D56" s="5" t="n">
        <x:f>(1+D59)/((1+D57)*(1+D58))-1</x:f>
        <x:v>0.4885110111106685</x:v>
      </x:c>
      <x:c r="E56" s="5" t="n">
        <x:f>(1+E59)/((1+E57)*(1+E58))-1</x:f>
        <x:v>0.5665403605465611</x:v>
      </x:c>
      <x:c r="F56" s="5" t="n">
        <x:f>(1+F59)/((1+F57)*(1+F58))-1</x:f>
        <x:v>1.9628709797590962</x:v>
      </x:c>
      <x:c r="G56" s="5" t="n">
        <x:f>(1+G59)/((1+G57)*(1+G58))-1</x:f>
        <x:v>3.457155144608107</x:v>
      </x:c>
      <x:c r="H56" s="21" t="n">
        <x:f>(1+H59)/((1+H57)*(1+H58))-1</x:f>
        <x:v>3.549781960977599</x:v>
      </x:c>
      <x:c r="I56" s="1"/>
      <x:c r="J56" s="1"/>
      <x:c r="K56" s="1"/>
      <x:c r="L56" s="1"/>
    </x:row>
    <x:row r="57">
      <x:c r="B57" s="1" t="s">
        <x:v>59</x:v>
      </x:c>
      <x:c r="C57" s="17" t="n">
        <x:f>Inputs!L48</x:f>
        <x:v>0</x:v>
      </x:c>
      <x:c r="D57" s="17" t="n">
        <x:f>Inputs!L48</x:f>
        <x:v>0</x:v>
      </x:c>
      <x:c r="E57" s="17" t="n">
        <x:f>Inputs!L48</x:f>
        <x:v>0</x:v>
      </x:c>
      <x:c r="F57" s="17" t="n">
        <x:f>Inputs!L48</x:f>
        <x:v>0</x:v>
      </x:c>
      <x:c r="G57" s="17" t="n">
        <x:f>Inputs!L48</x:f>
        <x:v>0</x:v>
      </x:c>
      <x:c r="H57" s="40" t="n">
        <x:f>Inputs!L48</x:f>
        <x:v>0</x:v>
      </x:c>
      <x:c r="I57" s="1"/>
      <x:c r="J57" s="1"/>
      <x:c r="K57" s="1"/>
      <x:c r="L57" s="1"/>
    </x:row>
    <x:row r="58">
      <x:c r="B58" s="1" t="s">
        <x:v>60</x:v>
      </x:c>
      <x:c r="C58" s="17" t="n">
        <x:f>Inputs!L49</x:f>
        <x:v>0</x:v>
      </x:c>
      <x:c r="D58" s="17" t="n">
        <x:f>Inputs!L49</x:f>
        <x:v>0</x:v>
      </x:c>
      <x:c r="E58" s="17" t="n">
        <x:f>Inputs!L49</x:f>
        <x:v>0</x:v>
      </x:c>
      <x:c r="F58" s="17" t="n">
        <x:f>Inputs!L49</x:f>
        <x:v>0</x:v>
      </x:c>
      <x:c r="G58" s="17" t="n">
        <x:f>Inputs!L49</x:f>
        <x:v>0</x:v>
      </x:c>
      <x:c r="H58" s="40" t="n">
        <x:f>Inputs!L49</x:f>
        <x:v>0</x:v>
      </x:c>
      <x:c r="I58" s="1"/>
      <x:c r="J58" s="1"/>
      <x:c r="K58" s="1"/>
      <x:c r="L58" s="1"/>
    </x:row>
    <x:row r="59">
      <x:c r="B59" s="1" t="s">
        <x:v>61</x:v>
      </x:c>
      <x:c r="C59" s="5" t="n">
        <x:f>C54</x:f>
        <x:v>0.45999999999999996</x:v>
      </x:c>
      <x:c r="D59" s="5" t="n">
        <x:f>D54</x:f>
        <x:v>0.4885110111106685</x:v>
      </x:c>
      <x:c r="E59" s="5" t="n">
        <x:f>E54</x:f>
        <x:v>0.5665403605465611</x:v>
      </x:c>
      <x:c r="F59" s="5" t="n">
        <x:f>F54</x:f>
        <x:v>1.9628709797590962</x:v>
      </x:c>
      <x:c r="G59" s="5" t="n">
        <x:f>G54</x:f>
        <x:v>3.457155144608107</x:v>
      </x:c>
      <x:c r="H59" s="21" t="n">
        <x:f>H53/C53-1</x:f>
        <x:v>3.549781960977599</x:v>
      </x:c>
      <x:c r="I59" s="1"/>
      <x:c r="J59" s="1"/>
      <x:c r="K59" s="1"/>
      <x:c r="L59" s="1"/>
    </x:row>
    <x:row r="60">
      <x:c r="B60" s="1" t="s">
        <x:v>75</x:v>
      </x:c>
      <x:c r="C60" s="13" t="n">
        <x:f>C53-Inputs!H12</x:f>
        <x:v>0</x:v>
      </x:c>
      <x:c r="D60" s="13" t="n">
        <x:f>D53-Inputs!L86</x:f>
        <x:v>0</x:v>
      </x:c>
      <x:c r="E60" s="13" t="n">
        <x:f>E53-Inputs!H13</x:f>
        <x:v>0</x:v>
      </x:c>
      <x:c r="F60" s="13" t="n">
        <x:f>F53-Inputs!H14</x:f>
        <x:v>0</x:v>
      </x:c>
      <x:c r="G60" s="13" t="n">
        <x:f>G53-Inputs!H15</x:f>
        <x:v>0</x:v>
      </x:c>
      <x:c r="H60" s="19" t="n">
        <x:f>H53-H65</x:f>
        <x:v>0</x:v>
      </x:c>
      <x:c r="I60" s="1"/>
      <x:c r="J60" s="1" t="s">
        <x:v>76</x:v>
      </x:c>
      <x:c r="K60" s="1"/>
      <x:c r="L60" s="1"/>
    </x:row>
    <x:row r="61">
      <x:c r="B61" s="39" t="s">
        <x:v>77</x:v>
      </x:c>
      <x:c r="C61" s="41" t="n">
        <x:f>SUM(C34,C38)</x:f>
        <x:v>6120</x:v>
      </x:c>
      <x:c r="D61" s="41" t="n">
        <x:f>SUM(D34,D38)</x:f>
        <x:v>20753</x:v>
      </x:c>
      <x:c r="E61" s="41" t="n">
        <x:f>SUM(E34,E38)</x:f>
        <x:v>7663</x:v>
      </x:c>
      <x:c r="F61" s="41" t="n">
        <x:f>SUM(F34,F38)</x:f>
        <x:v>13436</x:v>
      </x:c>
      <x:c r="G61" s="41" t="n">
        <x:f>SUM(G34,G38)</x:f>
        <x:v>25293</x:v>
      </x:c>
      <x:c r="H61" s="42" t="n">
        <x:f>SUM(H34,H38)</x:f>
        <x:v>31723.810520769228</x:v>
      </x:c>
      <x:c r="I61" s="1"/>
      <x:c r="J61" s="1"/>
      <x:c r="K61" s="1"/>
      <x:c r="L61" s="1"/>
    </x:row>
    <x:row r="62">
      <x:c r="B62" s="1" t="s">
        <x:v>69</x:v>
      </x:c>
      <x:c r="C62" s="5" t="n">
        <x:f>C61/C53</x:f>
        <x:v>0.5408749447635881</x:v>
      </x:c>
      <x:c r="D62" s="5" t="n">
        <x:f>D61/D53</x:f>
        <x:v>0.5552196479212371</x:v>
      </x:c>
      <x:c r="E62" s="5" t="n">
        <x:f>E61/E53</x:f>
        <x:v>0.5616799824085612</x:v>
      </x:c>
      <x:c r="F62" s="5" t="n">
        <x:f>F61/F53</x:f>
        <x:v>0.5631181894383906</x:v>
      </x:c>
      <x:c r="G62" s="5" t="n">
        <x:f>G61/G53</x:f>
        <x:v>0.6101167502894635</x:v>
      </x:c>
      <x:c r="H62" s="21" t="n">
        <x:f>H61/H53</x:f>
        <x:v>0.6162262642645152</x:v>
      </x:c>
      <x:c r="I62" s="1"/>
      <x:c r="J62" s="1"/>
      <x:c r="K62" s="1"/>
      <x:c r="L62" s="1"/>
    </x:row>
    <x:row r="63">
      <x:c r="B63" s="39" t="s">
        <x:v>78</x:v>
      </x:c>
      <x:c r="C63" s="41" t="n">
        <x:f>SUM(C42,C46)</x:f>
        <x:v>5194</x:v>
      </x:c>
      <x:c r="D63" s="41" t="n">
        <x:f>SUM(D42,D46)</x:f>
        <x:v>16612</x:v>
      </x:c>
      <x:c r="E63" s="41" t="n">
        <x:f>SUM(E42,E46)</x:f>
        <x:v>5975</x:v>
      </x:c>
      <x:c r="F63" s="41" t="n">
        <x:f>SUM(F42,F46)</x:f>
        <x:v>10419</x:v>
      </x:c>
      <x:c r="G63" s="41" t="n">
        <x:f>SUM(G42,G46)</x:f>
        <x:v>16155</x:v>
      </x:c>
      <x:c r="H63" s="42" t="n">
        <x:f>SUM(H42,H46)</x:f>
        <x:v>19747.372367692307</x:v>
      </x:c>
      <x:c r="I63" s="1"/>
      <x:c r="J63" s="1"/>
      <x:c r="K63" s="1"/>
      <x:c r="L63" s="1"/>
    </x:row>
    <x:row r="64">
      <x:c r="B64" s="1" t="s">
        <x:v>69</x:v>
      </x:c>
      <x:c r="C64" s="5" t="n">
        <x:f>C63/C53</x:f>
        <x:v>0.45903667697746353</x:v>
      </x:c>
      <x:c r="D64" s="5" t="n">
        <x:f>D63/D53</x:f>
        <x:v>0.44443255390871633</x:v>
      </x:c>
      <x:c r="E64" s="5" t="n">
        <x:f>E63/E53</x:f>
        <x:v>0.4379535292824159</x:v>
      </x:c>
      <x:c r="F64" s="5" t="n">
        <x:f>F63/F53</x:f>
        <x:v>0.43667225481978206</x:v>
      </x:c>
      <x:c r="G64" s="5" t="n">
        <x:f>G63/G53</x:f>
        <x:v>0.3896902740254728</x:v>
      </x:c>
      <x:c r="H64" s="21" t="n">
        <x:f>H63/H53</x:f>
        <x:v>0.38358725838488206</x:v>
      </x:c>
      <x:c r="I64" s="1"/>
      <x:c r="J64" s="1"/>
      <x:c r="K64" s="1"/>
      <x:c r="L64" s="1"/>
    </x:row>
    <x:row r="65">
      <x:c r="B65" s="39" t="s">
        <x:v>79</x:v>
      </x:c>
      <x:c r="C65" s="41" t="n">
        <x:f>SUM(C34,C38,C42,C46,C50)</x:f>
        <x:v>11315</x:v>
      </x:c>
      <x:c r="D65" s="41" t="n">
        <x:f>SUM(D34,D38,D42,D46,D50)</x:f>
        <x:v>37378</x:v>
      </x:c>
      <x:c r="E65" s="41" t="n">
        <x:f>SUM(E34,E38,E42,E46,E50)</x:f>
        <x:v>13643</x:v>
      </x:c>
      <x:c r="F65" s="41" t="n">
        <x:f>SUM(F34,F38,F42,F46,F50)</x:f>
        <x:v>23860</x:v>
      </x:c>
      <x:c r="G65" s="41" t="n">
        <x:f>SUM(G34,G38,G42,G46,G50)</x:f>
        <x:v>41456</x:v>
      </x:c>
      <x:c r="H65" s="42" t="n">
        <x:f>SUM(H34,H38,H42,H46,H50)</x:f>
        <x:v>51480.78288846153</x:v>
      </x:c>
      <x:c r="I65" s="1"/>
      <x:c r="J65" s="1"/>
      <x:c r="K65" s="1"/>
      <x:c r="L65" s="1"/>
    </x:row>
    <x:row r="66">
      <x:c r="B66" s="1" t="s">
        <x:v>80</x:v>
      </x:c>
      <x:c r="C66" s="8" t="n">
        <x:f>SUM(C37,C41,C45,C49,C50/C53)-1</x:f>
        <x:v>-1.1102230246251565e-16</x:v>
      </x:c>
      <x:c r="D66" s="8" t="n">
        <x:f>SUM(D37,D41,D45,D49,D50/D53)-1</x:f>
        <x:v>-1.1102230246251565e-16</x:v>
      </x:c>
      <x:c r="E66" s="8" t="n">
        <x:f>SUM(E37,E41,E45,E49,E50/E53)-1</x:f>
        <x:v>0</x:v>
      </x:c>
      <x:c r="F66" s="8" t="n">
        <x:f>SUM(F37,F41,F45,F49,F50/F53)-1</x:f>
        <x:v>-1.1102230246251565e-16</x:v>
      </x:c>
      <x:c r="G66" s="8" t="n">
        <x:f>SUM(G37,G41,G45,G49,G50/G53)-1</x:f>
        <x:v>0</x:v>
      </x:c>
      <x:c r="H66" s="19" t="n">
        <x:f>SUM(H37,H41,H45,H49,H50/H53)-1</x:f>
        <x:v>0</x:v>
      </x:c>
      <x:c r="I66" s="1"/>
      <x:c r="J66" s="1"/>
      <x:c r="K66" s="1"/>
      <x:c r="L66" s="1"/>
    </x:row>
    <x:row r="67">
      <x:c r="B67" s="1" t="s">
        <x:v>81</x:v>
      </x:c>
      <x:c r="C67" s="5" t="n">
        <x:f>C50/C53</x:f>
        <x:v>0.00008837825894829872</x:v>
      </x:c>
      <x:c r="D67" s="5" t="n">
        <x:f>D50/D53</x:f>
        <x:v>0.00034779817004655146</x:v>
      </x:c>
      <x:c r="E67" s="5" t="n">
        <x:f>E50/E53</x:f>
        <x:v>0.00036648830902294216</x:v>
      </x:c>
      <x:c r="F67" s="5" t="n">
        <x:f>F50/F53</x:f>
        <x:v>0.00020955574182732607</x:v>
      </x:c>
      <x:c r="G67" s="5" t="n">
        <x:f>G50/G53</x:f>
        <x:v>0.00019297568506368199</x:v>
      </x:c>
      <x:c r="H67" s="5" t="n">
        <x:f>H50/H53</x:f>
        <x:v>0.00018647735060283365</x:v>
      </x:c>
      <x:c r="I67" s="1"/>
      <x:c r="J67" s="1"/>
      <x:c r="K67" s="1"/>
      <x:c r="L67" s="1"/>
    </x:row>
    <x:row r="68">
      <x:c r="B68" s="1" t="s">
        <x:v>82</x:v>
      </x:c>
      <x:c r="C68" s="1"/>
      <x:c r="D68" s="1"/>
      <x:c r="E68" s="1"/>
      <x:c r="F68" s="1"/>
      <x:c r="G68" s="1"/>
      <x:c r="H68" s="11"/>
      <x:c r="I68" s="1"/>
      <x:c r="J68" s="1"/>
      <x:c r="K68" s="1"/>
      <x:c r="L68" s="1"/>
    </x:row>
    <x:row r="69">
      <x:c r="B69" s="1" t="s">
        <x:v>83</x:v>
      </x:c>
      <x:c r="C69" s="5" t="n">
        <x:f>C35</x:f>
        <x:v>2.135265700483092</x:v>
      </x:c>
      <x:c r="D69" s="5" t="n">
        <x:f>D35</x:f>
        <x:v>2.5664556962025316</x:v>
      </x:c>
      <x:c r="E69" s="5" t="n">
        <x:f>E35</x:f>
        <x:v>0.9954682779456194</x:v>
      </x:c>
      <x:c r="F69" s="5" t="n">
        <x:f>F35</x:f>
        <x:v>1.6294536817102139</x:v>
      </x:c>
      <x:c r="G69" s="5" t="n">
        <x:f>G35</x:f>
        <x:v>3.066450088600118</x:v>
      </x:c>
      <x:c r="H69" s="21" t="n">
        <x:f>H34/C34-1</x:f>
        <x:v>2.806540171862036</x:v>
      </x:c>
      <x:c r="I69" s="1"/>
      <x:c r="J69" s="1"/>
      <x:c r="K69" s="1"/>
      <x:c r="L69" s="1"/>
    </x:row>
    <x:row r="70">
      <x:c r="B70" s="1" t="s">
        <x:v>58</x:v>
      </x:c>
      <x:c r="C70" s="5" t="n">
        <x:f>(1+C69)/((1+C71)*(1+C72))-1</x:f>
        <x:v>2.135265700483092</x:v>
      </x:c>
      <x:c r="D70" s="5" t="n">
        <x:f>(1+D69)/((1+D71)*(1+D72))-1</x:f>
        <x:v>2.5664556962025316</x:v>
      </x:c>
      <x:c r="E70" s="5" t="n">
        <x:f>(1+E69)/((1+E71)*(1+E72))-1</x:f>
        <x:v>0.9954682779456194</x:v>
      </x:c>
      <x:c r="F70" s="5" t="n">
        <x:f>(1+F69)/((1+F71)*(1+F72))-1</x:f>
        <x:v>1.6294536817102139</x:v>
      </x:c>
      <x:c r="G70" s="5" t="n">
        <x:f>(1+G69)/((1+G71)*(1+G72))-1</x:f>
        <x:v>3.066450088600118</x:v>
      </x:c>
      <x:c r="H70" s="21" t="n">
        <x:f>(1+H69)/((1+H71)*(1+H72))-1</x:f>
        <x:v>2.806540171862036</x:v>
      </x:c>
      <x:c r="I70" s="1"/>
      <x:c r="J70" s="1"/>
      <x:c r="K70" s="1"/>
      <x:c r="L70" s="1"/>
    </x:row>
    <x:row r="71">
      <x:c r="B71" s="1" t="s">
        <x:v>59</x:v>
      </x:c>
      <x:c r="C71" s="17" t="n">
        <x:f>Inputs!L48</x:f>
        <x:v>0</x:v>
      </x:c>
      <x:c r="D71" s="17" t="n">
        <x:f>Inputs!L48</x:f>
        <x:v>0</x:v>
      </x:c>
      <x:c r="E71" s="17" t="n">
        <x:f>Inputs!L48</x:f>
        <x:v>0</x:v>
      </x:c>
      <x:c r="F71" s="17" t="n">
        <x:f>Inputs!L48</x:f>
        <x:v>0</x:v>
      </x:c>
      <x:c r="G71" s="17" t="n">
        <x:f>Inputs!L48</x:f>
        <x:v>0</x:v>
      </x:c>
      <x:c r="H71" s="40" t="n">
        <x:f>Inputs!L48</x:f>
        <x:v>0</x:v>
      </x:c>
      <x:c r="I71" s="1"/>
      <x:c r="J71" s="1"/>
      <x:c r="K71" s="1"/>
      <x:c r="L71" s="1"/>
    </x:row>
    <x:row r="72">
      <x:c r="B72" s="1" t="s">
        <x:v>84</x:v>
      </x:c>
      <x:c r="C72" s="17" t="n">
        <x:f>Inputs!L49</x:f>
        <x:v>0</x:v>
      </x:c>
      <x:c r="D72" s="17" t="n">
        <x:f>Inputs!L49</x:f>
        <x:v>0</x:v>
      </x:c>
      <x:c r="E72" s="17" t="n">
        <x:f>Inputs!L49</x:f>
        <x:v>0</x:v>
      </x:c>
      <x:c r="F72" s="17" t="n">
        <x:f>Inputs!L49</x:f>
        <x:v>0</x:v>
      </x:c>
      <x:c r="G72" s="17" t="n">
        <x:f>Inputs!L49</x:f>
        <x:v>0</x:v>
      </x:c>
      <x:c r="H72" s="40" t="n">
        <x:f>Inputs!L49</x:f>
        <x:v>0</x:v>
      </x:c>
      <x:c r="I72" s="1"/>
      <x:c r="J72" s="1"/>
      <x:c r="K72" s="1"/>
      <x:c r="L72" s="1"/>
    </x:row>
    <x:row r="73">
      <x:c r="B73" s="1" t="s">
        <x:v>61</x:v>
      </x:c>
      <x:c r="C73" s="5" t="n">
        <x:f>C69</x:f>
        <x:v>2.135265700483092</x:v>
      </x:c>
      <x:c r="D73" s="5" t="n">
        <x:f>D69</x:f>
        <x:v>2.5664556962025316</x:v>
      </x:c>
      <x:c r="E73" s="5" t="n">
        <x:f>E69</x:f>
        <x:v>0.9954682779456194</x:v>
      </x:c>
      <x:c r="F73" s="5" t="n">
        <x:f>F69</x:f>
        <x:v>1.6294536817102139</x:v>
      </x:c>
      <x:c r="G73" s="5" t="n">
        <x:f>G69</x:f>
        <x:v>3.066450088600118</x:v>
      </x:c>
      <x:c r="H73" s="21" t="n">
        <x:f>H69</x:f>
        <x:v>2.806540171862036</x:v>
      </x:c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1"/>
      <x:c r="I74" s="1"/>
      <x:c r="J74" s="1"/>
      <x:c r="K74" s="1"/>
      <x:c r="L74" s="1"/>
    </x:row>
    <x:row r="75">
      <x:c r="B75" s="1" t="s">
        <x:v>85</x:v>
      </x:c>
      <x:c r="C75" s="5" t="n">
        <x:f>C39</x:f>
        <x:v>-0.22998046875</x:v>
      </x:c>
      <x:c r="D75" s="5" t="n">
        <x:f>D39</x:f>
        <x:v>0.4504414125200642</x:v>
      </x:c>
      <x:c r="E75" s="5" t="n">
        <x:f>E39</x:f>
        <x:v>0.03795811518324599</x:v>
      </x:c>
      <x:c r="F75" s="5" t="n">
        <x:f>F39</x:f>
        <x:v>2.107650273224044</x:v>
      </x:c>
      <x:c r="G75" s="5" t="n">
        <x:f>G39</x:f>
        <x:v>6.53202614379085</x:v>
      </x:c>
      <x:c r="H75" s="21" t="n">
        <x:f>H38/C38-1</x:f>
        <x:v>8.150728294229548</x:v>
      </x:c>
      <x:c r="I75" s="1"/>
      <x:c r="J75" s="1"/>
      <x:c r="K75" s="1"/>
      <x:c r="L75" s="1"/>
    </x:row>
    <x:row r="76">
      <x:c r="B76" s="1" t="s">
        <x:v>58</x:v>
      </x:c>
      <x:c r="C76" s="5" t="n">
        <x:f>(1+C75)/((1+C77)*(1+C78))-1</x:f>
        <x:v>-0.22998046875</x:v>
      </x:c>
      <x:c r="D76" s="5" t="n">
        <x:f>(1+D75)/((1+D77)*(1+D78))-1</x:f>
        <x:v>0.4504414125200642</x:v>
      </x:c>
      <x:c r="E76" s="5" t="n">
        <x:f>(1+E75)/((1+E77)*(1+E78))-1</x:f>
        <x:v>0.03795811518324599</x:v>
      </x:c>
      <x:c r="F76" s="5" t="n">
        <x:f>(1+F75)/((1+F77)*(1+F78))-1</x:f>
        <x:v>2.107650273224044</x:v>
      </x:c>
      <x:c r="G76" s="5" t="n">
        <x:f>(1+G75)/((1+G77)*(1+G78))-1</x:f>
        <x:v>6.53202614379085</x:v>
      </x:c>
      <x:c r="H76" s="21" t="n">
        <x:f>(1+H75)/((1+H77)*(1+H78))-1</x:f>
        <x:v>8.150728294229548</x:v>
      </x:c>
      <x:c r="I76" s="1"/>
      <x:c r="J76" s="1"/>
      <x:c r="K76" s="1"/>
      <x:c r="L76" s="1"/>
    </x:row>
    <x:row r="77">
      <x:c r="B77" s="1" t="s">
        <x:v>59</x:v>
      </x:c>
      <x:c r="C77" s="17" t="n">
        <x:f>Inputs!L48</x:f>
        <x:v>0</x:v>
      </x:c>
      <x:c r="D77" s="17" t="n">
        <x:f>Inputs!L48</x:f>
        <x:v>0</x:v>
      </x:c>
      <x:c r="E77" s="17" t="n">
        <x:f>Inputs!L48</x:f>
        <x:v>0</x:v>
      </x:c>
      <x:c r="F77" s="17" t="n">
        <x:f>Inputs!L48</x:f>
        <x:v>0</x:v>
      </x:c>
      <x:c r="G77" s="17" t="n">
        <x:f>Inputs!L48</x:f>
        <x:v>0</x:v>
      </x:c>
      <x:c r="H77" s="40" t="n">
        <x:f>Inputs!L48</x:f>
        <x:v>0</x:v>
      </x:c>
      <x:c r="I77" s="1"/>
      <x:c r="J77" s="1"/>
      <x:c r="K77" s="1"/>
      <x:c r="L77" s="1"/>
    </x:row>
    <x:row r="78">
      <x:c r="B78" s="1" t="s">
        <x:v>84</x:v>
      </x:c>
      <x:c r="C78" s="17" t="n">
        <x:f>Inputs!L49</x:f>
        <x:v>0</x:v>
      </x:c>
      <x:c r="D78" s="17" t="n">
        <x:f>Inputs!L49</x:f>
        <x:v>0</x:v>
      </x:c>
      <x:c r="E78" s="17" t="n">
        <x:f>Inputs!L49</x:f>
        <x:v>0</x:v>
      </x:c>
      <x:c r="F78" s="17" t="n">
        <x:f>Inputs!L49</x:f>
        <x:v>0</x:v>
      </x:c>
      <x:c r="G78" s="17" t="n">
        <x:f>Inputs!L49</x:f>
        <x:v>0</x:v>
      </x:c>
      <x:c r="H78" s="40" t="n">
        <x:f>Inputs!L49</x:f>
        <x:v>0</x:v>
      </x:c>
      <x:c r="I78" s="1"/>
      <x:c r="J78" s="1"/>
      <x:c r="K78" s="1"/>
      <x:c r="L78" s="1"/>
    </x:row>
    <x:row r="79">
      <x:c r="B79" s="1" t="s">
        <x:v>61</x:v>
      </x:c>
      <x:c r="C79" s="5" t="n">
        <x:f>C75</x:f>
        <x:v>-0.22998046875</x:v>
      </x:c>
      <x:c r="D79" s="5" t="n">
        <x:f>D75</x:f>
        <x:v>0.4504414125200642</x:v>
      </x:c>
      <x:c r="E79" s="5" t="n">
        <x:f>E75</x:f>
        <x:v>0.03795811518324599</x:v>
      </x:c>
      <x:c r="F79" s="5" t="n">
        <x:f>F75</x:f>
        <x:v>2.107650273224044</x:v>
      </x:c>
      <x:c r="G79" s="5" t="n">
        <x:f>G75</x:f>
        <x:v>6.53202614379085</x:v>
      </x:c>
      <x:c r="H79" s="21" t="n">
        <x:f>H75</x:f>
        <x:v>8.150728294229548</x:v>
      </x:c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1"/>
      <x:c r="I80" s="1"/>
      <x:c r="J80" s="1"/>
      <x:c r="K80" s="1"/>
      <x:c r="L80" s="1"/>
    </x:row>
    <x:row r="81">
      <x:c r="B81" s="1" t="s">
        <x:v>86</x:v>
      </x:c>
      <x:c r="C81" s="5" t="n">
        <x:f>C43</x:f>
        <x:v>0.24544551175886054</x:v>
      </x:c>
      <x:c r="D81" s="5" t="n">
        <x:f>D43</x:f>
        <x:v>0.016456672666495198</x:v>
      </x:c>
      <x:c r="E81" s="5" t="n">
        <x:f>E43</x:f>
        <x:v>0.6315184049079754</x:v>
      </x:c>
      <x:c r="F81" s="5" t="n">
        <x:f>F43</x:f>
        <x:v>2.4485688729874777</x:v>
      </x:c>
      <x:c r="G81" s="5" t="n">
        <x:f>G43</x:f>
        <x:v>2.5394777265745008</x:v>
      </x:c>
      <x:c r="H81" s="21" t="n">
        <x:f>H42/C42-1</x:f>
        <x:v>2.73721629787234</x:v>
      </x:c>
      <x:c r="I81" s="1"/>
      <x:c r="J81" s="1"/>
      <x:c r="K81" s="1"/>
      <x:c r="L81" s="1"/>
    </x:row>
    <x:row r="82">
      <x:c r="B82" s="1" t="s">
        <x:v>58</x:v>
      </x:c>
      <x:c r="C82" s="5" t="n">
        <x:f>(1+C81)/((1+C83)*(1+C84))-1</x:f>
        <x:v>0.24544551175886054</x:v>
      </x:c>
      <x:c r="D82" s="5" t="n">
        <x:f>(1+D81)/((1+D83)*(1+D84))-1</x:f>
        <x:v>0.016456672666495198</x:v>
      </x:c>
      <x:c r="E82" s="5" t="n">
        <x:f>(1+E81)/((1+E83)*(1+E84))-1</x:f>
        <x:v>0.6315184049079754</x:v>
      </x:c>
      <x:c r="F82" s="5" t="n">
        <x:f>(1+F81)/((1+F83)*(1+F84))-1</x:f>
        <x:v>2.4485688729874777</x:v>
      </x:c>
      <x:c r="G82" s="5" t="n">
        <x:f>(1+G81)/((1+G83)*(1+G84))-1</x:f>
        <x:v>2.5394777265745008</x:v>
      </x:c>
      <x:c r="H82" s="21" t="n">
        <x:f>(1+H81)/((1+H83)*(1+H84))-1</x:f>
        <x:v>2.73721629787234</x:v>
      </x:c>
      <x:c r="I82" s="1"/>
      <x:c r="J82" s="1"/>
      <x:c r="K82" s="1"/>
      <x:c r="L82" s="1"/>
    </x:row>
    <x:row r="83">
      <x:c r="B83" s="1" t="s">
        <x:v>59</x:v>
      </x:c>
      <x:c r="C83" s="17" t="n">
        <x:f>Inputs!L48</x:f>
        <x:v>0</x:v>
      </x:c>
      <x:c r="D83" s="17" t="n">
        <x:f>Inputs!L48</x:f>
        <x:v>0</x:v>
      </x:c>
      <x:c r="E83" s="17" t="n">
        <x:f>Inputs!L48</x:f>
        <x:v>0</x:v>
      </x:c>
      <x:c r="F83" s="17" t="n">
        <x:f>Inputs!L48</x:f>
        <x:v>0</x:v>
      </x:c>
      <x:c r="G83" s="17" t="n">
        <x:f>Inputs!L48</x:f>
        <x:v>0</x:v>
      </x:c>
      <x:c r="H83" s="40" t="n">
        <x:f>Inputs!L48</x:f>
        <x:v>0</x:v>
      </x:c>
      <x:c r="I83" s="1"/>
      <x:c r="J83" s="1"/>
      <x:c r="K83" s="1"/>
      <x:c r="L83" s="1"/>
    </x:row>
    <x:row r="84">
      <x:c r="B84" s="1" t="s">
        <x:v>84</x:v>
      </x:c>
      <x:c r="C84" s="17" t="n">
        <x:f>Inputs!L49</x:f>
        <x:v>0</x:v>
      </x:c>
      <x:c r="D84" s="17" t="n">
        <x:f>Inputs!L49</x:f>
        <x:v>0</x:v>
      </x:c>
      <x:c r="E84" s="17" t="n">
        <x:f>Inputs!L49</x:f>
        <x:v>0</x:v>
      </x:c>
      <x:c r="F84" s="17" t="n">
        <x:f>Inputs!L49</x:f>
        <x:v>0</x:v>
      </x:c>
      <x:c r="G84" s="17" t="n">
        <x:f>Inputs!L49</x:f>
        <x:v>0</x:v>
      </x:c>
      <x:c r="H84" s="40" t="n">
        <x:f>Inputs!L49</x:f>
        <x:v>0</x:v>
      </x:c>
      <x:c r="I84" s="1"/>
      <x:c r="J84" s="1"/>
      <x:c r="K84" s="1"/>
      <x:c r="L84" s="1"/>
    </x:row>
    <x:row r="85">
      <x:c r="B85" s="1" t="s">
        <x:v>61</x:v>
      </x:c>
      <x:c r="C85" s="5" t="n">
        <x:f>C81</x:f>
        <x:v>0.24544551175886054</x:v>
      </x:c>
      <x:c r="D85" s="5" t="n">
        <x:f>D81</x:f>
        <x:v>0.016456672666495198</x:v>
      </x:c>
      <x:c r="E85" s="5" t="n">
        <x:f>E81</x:f>
        <x:v>0.6315184049079754</x:v>
      </x:c>
      <x:c r="F85" s="5" t="n">
        <x:f>F81</x:f>
        <x:v>2.4485688729874777</x:v>
      </x:c>
      <x:c r="G85" s="5" t="n">
        <x:f>G81</x:f>
        <x:v>2.5394777265745008</x:v>
      </x:c>
      <x:c r="H85" s="21" t="n">
        <x:f>H81</x:f>
        <x:v>2.73721629787234</x:v>
      </x:c>
      <x:c r="I85" s="1"/>
      <x:c r="J85" s="1"/>
      <x:c r="K85" s="1"/>
      <x:c r="L85" s="1"/>
    </x:row>
    <x:row r="86">
      <x:c r="B86" s="1"/>
      <x:c r="C86" s="1"/>
      <x:c r="D86" s="1"/>
      <x:c r="E86" s="1"/>
      <x:c r="F86" s="1"/>
      <x:c r="G86" s="1"/>
      <x:c r="H86" s="11"/>
      <x:c r="I86" s="1"/>
      <x:c r="J86" s="1"/>
      <x:c r="K86" s="1"/>
      <x:c r="L86" s="1"/>
    </x:row>
    <x:row r="87">
      <x:c r="B87" s="1" t="s">
        <x:v>87</x:v>
      </x:c>
      <x:c r="C87" s="5" t="n">
        <x:f>C47</x:f>
        <x:v>0.1658536585365853</x:v>
      </x:c>
      <x:c r="D87" s="5" t="n">
        <x:f>D47</x:f>
        <x:v>0.02634420211617372</x:v>
      </x:c>
      <x:c r="E87" s="5" t="n">
        <x:f>E47</x:f>
        <x:v>0.4853195164075994</x:v>
      </x:c>
      <x:c r="F87" s="5" t="n">
        <x:f>F47</x:f>
        <x:v>1.618955512572534</x:v>
      </x:c>
      <x:c r="G87" s="5" t="n">
        <x:f>G47</x:f>
        <x:v>3.111801242236025</x:v>
      </x:c>
      <x:c r="H87" s="21" t="n">
        <x:f>H46/C46-1</x:f>
        <x:v>2.971714844973715</x:v>
      </x:c>
      <x:c r="I87" s="1"/>
      <x:c r="J87" s="1"/>
      <x:c r="K87" s="1"/>
      <x:c r="L87" s="1"/>
    </x:row>
    <x:row r="88">
      <x:c r="B88" s="1" t="s">
        <x:v>58</x:v>
      </x:c>
      <x:c r="C88" s="5" t="n">
        <x:f>(1+C87)/((1+C89)*(1+C90))-1</x:f>
        <x:v>0.1658536585365853</x:v>
      </x:c>
      <x:c r="D88" s="5" t="n">
        <x:f>(1+D87)/((1+D89)*(1+D90))-1</x:f>
        <x:v>0.02634420211617372</x:v>
      </x:c>
      <x:c r="E88" s="5" t="n">
        <x:f>(1+E87)/((1+E89)*(1+E90))-1</x:f>
        <x:v>0.4853195164075994</x:v>
      </x:c>
      <x:c r="F88" s="5" t="n">
        <x:f>(1+F87)/((1+F89)*(1+F90))-1</x:f>
        <x:v>1.618955512572534</x:v>
      </x:c>
      <x:c r="G88" s="5" t="n">
        <x:f>(1+G87)/((1+G89)*(1+G90))-1</x:f>
        <x:v>3.111801242236025</x:v>
      </x:c>
      <x:c r="H88" s="21" t="n">
        <x:f>(1+H87)/((1+H89)*(1+H90))-1</x:f>
        <x:v>2.971714844973715</x:v>
      </x:c>
      <x:c r="I88" s="1"/>
      <x:c r="J88" s="1"/>
      <x:c r="K88" s="1"/>
      <x:c r="L88" s="1"/>
    </x:row>
    <x:row r="89">
      <x:c r="B89" s="1" t="s">
        <x:v>59</x:v>
      </x:c>
      <x:c r="C89" s="17" t="n">
        <x:f>Inputs!L48</x:f>
        <x:v>0</x:v>
      </x:c>
      <x:c r="D89" s="17" t="n">
        <x:f>Inputs!L48</x:f>
        <x:v>0</x:v>
      </x:c>
      <x:c r="E89" s="17" t="n">
        <x:f>Inputs!L48</x:f>
        <x:v>0</x:v>
      </x:c>
      <x:c r="F89" s="17" t="n">
        <x:f>Inputs!L48</x:f>
        <x:v>0</x:v>
      </x:c>
      <x:c r="G89" s="17" t="n">
        <x:f>Inputs!L48</x:f>
        <x:v>0</x:v>
      </x:c>
      <x:c r="H89" s="40" t="n">
        <x:f>Inputs!L48</x:f>
        <x:v>0</x:v>
      </x:c>
      <x:c r="I89" s="1"/>
      <x:c r="J89" s="1"/>
      <x:c r="K89" s="1"/>
      <x:c r="L89" s="1"/>
    </x:row>
    <x:row r="90">
      <x:c r="B90" s="1" t="s">
        <x:v>84</x:v>
      </x:c>
      <x:c r="C90" s="17" t="n">
        <x:f>Inputs!L49</x:f>
        <x:v>0</x:v>
      </x:c>
      <x:c r="D90" s="17" t="n">
        <x:f>Inputs!L49</x:f>
        <x:v>0</x:v>
      </x:c>
      <x:c r="E90" s="17" t="n">
        <x:f>Inputs!L49</x:f>
        <x:v>0</x:v>
      </x:c>
      <x:c r="F90" s="17" t="n">
        <x:f>Inputs!L49</x:f>
        <x:v>0</x:v>
      </x:c>
      <x:c r="G90" s="17" t="n">
        <x:f>Inputs!L49</x:f>
        <x:v>0</x:v>
      </x:c>
      <x:c r="H90" s="40" t="n">
        <x:f>Inputs!L49</x:f>
        <x:v>0</x:v>
      </x:c>
      <x:c r="I90" s="1"/>
      <x:c r="J90" s="1"/>
      <x:c r="K90" s="1"/>
      <x:c r="L90" s="1"/>
    </x:row>
    <x:row r="91">
      <x:c r="B91" s="1" t="s">
        <x:v>61</x:v>
      </x:c>
      <x:c r="C91" s="5" t="n">
        <x:f>C87</x:f>
        <x:v>0.1658536585365853</x:v>
      </x:c>
      <x:c r="D91" s="5" t="n">
        <x:f>D87</x:f>
        <x:v>0.02634420211617372</x:v>
      </x:c>
      <x:c r="E91" s="5" t="n">
        <x:f>E87</x:f>
        <x:v>0.4853195164075994</x:v>
      </x:c>
      <x:c r="F91" s="5" t="n">
        <x:f>F87</x:f>
        <x:v>1.618955512572534</x:v>
      </x:c>
      <x:c r="G91" s="5" t="n">
        <x:f>G87</x:f>
        <x:v>3.111801242236025</x:v>
      </x:c>
      <x:c r="H91" s="21" t="n">
        <x:f>H87</x:f>
        <x:v>2.971714844973715</x:v>
      </x:c>
      <x:c r="I91" s="1"/>
      <x:c r="J91" s="1"/>
      <x:c r="K91" s="1"/>
      <x:c r="L91" s="1"/>
    </x:row>
    <x:row r="92">
      <x:c r="B92" s="1"/>
      <x:c r="C92" s="1"/>
      <x:c r="D92" s="1"/>
      <x:c r="E92" s="1"/>
      <x:c r="F92" s="1"/>
      <x:c r="G92" s="1"/>
      <x:c r="H92" s="11"/>
      <x:c r="I92" s="1"/>
      <x:c r="J92" s="1"/>
      <x:c r="K92" s="1"/>
      <x:c r="L92" s="1"/>
    </x:row>
    <x:row r="93">
      <x:c r="B93" s="1" t="s">
        <x:v>88</x:v>
      </x:c>
      <x:c r="C93" s="5" t="n">
        <x:f>C51</x:f>
        <x:v>-0.75</x:v>
      </x:c>
      <x:c r="D93" s="5" t="n">
        <x:f>D51</x:f>
        <x:v>-0.6486486486486487</x:v>
      </x:c>
      <x:c r="E93" s="5" t="n">
        <x:f>E51</x:f>
        <x:v>0.6666666666666667</x:v>
      </x:c>
      <x:c r="F93" s="5" t="n">
        <x:f>F51</x:f>
        <x:v>-0.16666666666666663</x:v>
      </x:c>
      <x:c r="G93" s="5" t="n">
        <x:f>G51</x:f>
        <x:v>1.6666666666666665</x:v>
      </x:c>
      <x:c r="H93" s="21" t="n">
        <x:f>H50/C50-1</x:f>
        <x:v>8.6</x:v>
      </x:c>
      <x:c r="I93" s="1"/>
      <x:c r="J93" s="1"/>
      <x:c r="K93" s="1"/>
      <x:c r="L93" s="1"/>
    </x:row>
    <x:row r="94">
      <x:c r="B94" s="1" t="s">
        <x:v>58</x:v>
      </x:c>
      <x:c r="C94" s="5" t="n">
        <x:f>(1+C93)/((1+C95)*(1+C96))-1</x:f>
        <x:v>-0.75</x:v>
      </x:c>
      <x:c r="D94" s="5" t="n">
        <x:f>(1+D93)/((1+D95)*(1+D96))-1</x:f>
        <x:v>-0.6486486486486487</x:v>
      </x:c>
      <x:c r="E94" s="5" t="n">
        <x:f>(1+E93)/((1+E95)*(1+E96))-1</x:f>
        <x:v>0.6666666666666667</x:v>
      </x:c>
      <x:c r="F94" s="5" t="n">
        <x:f>(1+F93)/((1+F95)*(1+F96))-1</x:f>
        <x:v>-0.16666666666666663</x:v>
      </x:c>
      <x:c r="G94" s="5" t="n">
        <x:f>(1+G93)/((1+G95)*(1+G96))-1</x:f>
        <x:v>1.6666666666666665</x:v>
      </x:c>
      <x:c r="H94" s="21" t="n">
        <x:f>(1+H93)/((1+H95)*(1+H96))-1</x:f>
        <x:v>8.6</x:v>
      </x:c>
      <x:c r="I94" s="1"/>
      <x:c r="J94" s="1"/>
      <x:c r="K94" s="1"/>
      <x:c r="L94" s="1"/>
    </x:row>
    <x:row r="95">
      <x:c r="B95" s="1" t="s">
        <x:v>59</x:v>
      </x:c>
      <x:c r="C95" s="17" t="n">
        <x:f>Inputs!L48</x:f>
        <x:v>0</x:v>
      </x:c>
      <x:c r="D95" s="17" t="n">
        <x:f>Inputs!L48</x:f>
        <x:v>0</x:v>
      </x:c>
      <x:c r="E95" s="17" t="n">
        <x:f>Inputs!L48</x:f>
        <x:v>0</x:v>
      </x:c>
      <x:c r="F95" s="17" t="n">
        <x:f>Inputs!L48</x:f>
        <x:v>0</x:v>
      </x:c>
      <x:c r="G95" s="17" t="n">
        <x:f>Inputs!L48</x:f>
        <x:v>0</x:v>
      </x:c>
      <x:c r="H95" s="40" t="n">
        <x:f>Inputs!L48</x:f>
        <x:v>0</x:v>
      </x:c>
      <x:c r="I95" s="1"/>
      <x:c r="J95" s="1"/>
      <x:c r="K95" s="1"/>
      <x:c r="L95" s="1"/>
    </x:row>
    <x:row r="96">
      <x:c r="B96" s="1" t="s">
        <x:v>84</x:v>
      </x:c>
      <x:c r="C96" s="17" t="n">
        <x:f>Inputs!L49</x:f>
        <x:v>0</x:v>
      </x:c>
      <x:c r="D96" s="17" t="n">
        <x:f>Inputs!L49</x:f>
        <x:v>0</x:v>
      </x:c>
      <x:c r="E96" s="17" t="n">
        <x:f>Inputs!L49</x:f>
        <x:v>0</x:v>
      </x:c>
      <x:c r="F96" s="17" t="n">
        <x:f>Inputs!L49</x:f>
        <x:v>0</x:v>
      </x:c>
      <x:c r="G96" s="17" t="n">
        <x:f>Inputs!L49</x:f>
        <x:v>0</x:v>
      </x:c>
      <x:c r="H96" s="40" t="n">
        <x:f>Inputs!L49</x:f>
        <x:v>0</x:v>
      </x:c>
      <x:c r="I96" s="1"/>
      <x:c r="J96" s="1"/>
      <x:c r="K96" s="1"/>
      <x:c r="L96" s="1"/>
    </x:row>
    <x:row r="97">
      <x:c r="B97" s="1" t="s">
        <x:v>61</x:v>
      </x:c>
      <x:c r="C97" s="5" t="n">
        <x:f>C93</x:f>
        <x:v>-0.75</x:v>
      </x:c>
      <x:c r="D97" s="5" t="n">
        <x:f>D93</x:f>
        <x:v>-0.6486486486486487</x:v>
      </x:c>
      <x:c r="E97" s="5" t="n">
        <x:f>E93</x:f>
        <x:v>0.6666666666666667</x:v>
      </x:c>
      <x:c r="F97" s="5" t="n">
        <x:f>F93</x:f>
        <x:v>-0.16666666666666663</x:v>
      </x:c>
      <x:c r="G97" s="5" t="n">
        <x:f>G93</x:f>
        <x:v>1.6666666666666665</x:v>
      </x:c>
      <x:c r="H97" s="21" t="n">
        <x:f>H93</x:f>
        <x:v>8.6</x:v>
      </x:c>
      <x:c r="I97" s="1"/>
      <x:c r="J97" s="1"/>
      <x:c r="K97" s="1"/>
      <x:c r="L97" s="1"/>
    </x:row>
    <x:row r="98">
      <x:c r="B98" s="1"/>
      <x:c r="C98" s="1"/>
      <x:c r="D98" s="1"/>
      <x:c r="E98" s="1"/>
      <x:c r="F98" s="1"/>
      <x:c r="G98" s="1"/>
      <x:c r="H98" s="11"/>
      <x:c r="I98" s="1"/>
      <x:c r="J98" s="1"/>
      <x:c r="K98" s="1"/>
      <x:c r="L98" s="1"/>
    </x:row>
    <x:row r="99"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>
      <x:c r="B100" s="1" t="s">
        <x:v>89</x:v>
      </x:c>
      <x:c r="C100" s="8"/>
      <x:c r="D100" s="8"/>
      <x:c r="E100" s="8"/>
      <x:c r="F100" s="8"/>
      <x:c r="G100" s="8"/>
      <x:c r="H100" s="19"/>
      <x:c r="I100" s="1"/>
      <x:c r="J100" s="1"/>
      <x:c r="K100" s="1"/>
      <x:c r="L100" s="1"/>
    </x:row>
    <x:row r="101">
      <x:c r="B101" s="1" t="s">
        <x:v>90</x:v>
      </x:c>
      <x:c r="C101" s="8"/>
      <x:c r="D101" s="8"/>
      <x:c r="E101" s="8" t="n">
        <x:f>E10-C10</x:f>
        <x:v>1828</x:v>
      </x:c>
      <x:c r="F101" s="8" t="n">
        <x:f>F10-E10</x:f>
        <x:v>7956</x:v>
      </x:c>
      <x:c r="G101" s="8" t="n">
        <x:f>G10-F10</x:f>
        <x:v>12560</x:v>
      </x:c>
      <x:c r="H101" s="19" t="n">
        <x:f>H10-G10</x:f>
        <x:v>7470.523076923069</x:v>
      </x:c>
      <x:c r="I101" s="1"/>
      <x:c r="J101" s="1"/>
      <x:c r="K101" s="1"/>
      <x:c r="L101" s="1"/>
    </x:row>
    <x:row r="102">
      <x:c r="B102" s="1" t="s">
        <x:v>91</x:v>
      </x:c>
      <x:c r="C102" s="8"/>
      <x:c r="D102" s="8"/>
      <x:c r="E102" s="8" t="n">
        <x:f>E17-C17</x:f>
        <x:v>491</x:v>
      </x:c>
      <x:c r="F102" s="8" t="n">
        <x:f>F17-E17</x:f>
        <x:v>2254</x:v>
      </x:c>
      <x:c r="G102" s="8" t="n">
        <x:f>G17-F17</x:f>
        <x:v>4946</x:v>
      </x:c>
      <x:c r="H102" s="19" t="n">
        <x:f>H17-G17</x:f>
        <x:v>2585.1799999999985</x:v>
      </x:c>
      <x:c r="I102" s="1"/>
      <x:c r="J102" s="1"/>
      <x:c r="K102" s="1"/>
      <x:c r="L102" s="1"/>
    </x:row>
    <x:row r="103">
      <x:c r="B103" s="1" t="s">
        <x:v>92</x:v>
      </x:c>
      <x:c r="C103" s="8"/>
      <x:c r="D103" s="8"/>
      <x:c r="E103" s="8" t="n">
        <x:f>E24-C24</x:f>
        <x:v>9</x:v>
      </x:c>
      <x:c r="F103" s="8" t="n">
        <x:f>F24-E24</x:f>
        <x:v>7</x:v>
      </x:c>
      <x:c r="G103" s="8" t="n">
        <x:f>G24-F24</x:f>
        <x:v>90</x:v>
      </x:c>
      <x:c r="H103" s="19" t="n">
        <x:f>H24-G24</x:f>
        <x:v>-30.92018846153951</x:v>
      </x:c>
      <x:c r="I103" s="1"/>
      <x:c r="J103" s="1"/>
      <x:c r="K103" s="1"/>
      <x:c r="L103" s="1"/>
    </x:row>
    <x:row r="104">
      <x:c r="B104" s="1" t="s">
        <x:v>93</x:v>
      </x:c>
      <x:c r="C104" s="8"/>
      <x:c r="D104" s="8"/>
      <x:c r="E104" s="8" t="n">
        <x:f>E34-C34</x:f>
        <x:v>741</x:v>
      </x:c>
      <x:c r="F104" s="8" t="n">
        <x:f>F34-E34</x:f>
        <x:v>2465</x:v>
      </x:c>
      <x:c r="G104" s="8" t="n">
        <x:f>G34-F34</x:f>
        <x:v>6020</x:v>
      </x:c>
      <x:c r="H104" s="19" t="n">
        <x:f>H34-G34</x:f>
        <x:v>3524.11200076923</x:v>
      </x:c>
      <x:c r="I104" s="1"/>
      <x:c r="J104" s="1"/>
      <x:c r="K104" s="1"/>
      <x:c r="L104" s="1"/>
    </x:row>
    <x:row r="105">
      <x:c r="B105" s="1" t="s">
        <x:v>94</x:v>
      </x:c>
      <x:c r="C105" s="8"/>
      <x:c r="D105" s="8"/>
      <x:c r="E105" s="8" t="n">
        <x:f>(E37-C37)*10000</x:f>
        <x:v>-141.97585426675818</x:v>
      </x:c>
      <x:c r="F105" s="8" t="n">
        <x:f>(F37-E37)*10000</x:f>
        <x:v>-625.3535629145534</x:v>
      </x:c>
      <x:c r="G105" s="8" t="n">
        <x:f>(G37-F37)*10000</x:f>
        <x:v>73.6578727123971</x:v>
      </x:c>
      <x:c r="H105" s="19" t="n">
        <x:f>(H37-G37)*10000</x:f>
        <x:v>37.786521261780614</x:v>
      </x:c>
      <x:c r="I105" s="1"/>
      <x:c r="J105" s="1"/>
      <x:c r="K105" s="1"/>
      <x:c r="L105" s="1"/>
    </x:row>
    <x:row r="106">
      <x:c r="B106" s="1" t="s">
        <x:v>95</x:v>
      </x:c>
      <x:c r="C106" s="8"/>
      <x:c r="D106" s="8"/>
      <x:c r="E106" s="8" t="n">
        <x:f>E38-C38</x:f>
        <x:v>802</x:v>
      </x:c>
      <x:c r="F106" s="8" t="n">
        <x:f>F38-E38</x:f>
        <x:v>3308</x:v>
      </x:c>
      <x:c r="G106" s="8" t="n">
        <x:f>G38-F38</x:f>
        <x:v>5837</x:v>
      </x:c>
      <x:c r="H106" s="19" t="n">
        <x:f>H38-G38</x:f>
        <x:v>2906.698519999998</x:v>
      </x:c>
      <x:c r="I106" s="1"/>
      <x:c r="J106" s="1"/>
      <x:c r="K106" s="1"/>
      <x:c r="L106" s="1"/>
    </x:row>
    <x:row r="107">
      <x:c r="B107" s="1" t="s">
        <x:v>96</x:v>
      </x:c>
      <x:c r="C107" s="8"/>
      <x:c r="D107" s="8"/>
      <x:c r="E107" s="8" t="n">
        <x:f>(E41-C41)*10000</x:f>
        <x:v>350.0262307164881</x:v>
      </x:c>
      <x:c r="F107" s="8" t="n">
        <x:f>(F41-E41)*10000</x:f>
        <x:v>639.7356332128479</x:v>
      </x:c>
      <x:c r="G107" s="8" t="n">
        <x:f>(G41-F41)*10000</x:f>
        <x:v>396.3277357983319</x:v>
      </x:c>
      <x:c r="H107" s="19" t="n">
        <x:f>(H41-G41)*10000</x:f>
        <x:v>23.308618488736556</x:v>
      </x:c>
      <x:c r="I107" s="1"/>
      <x:c r="J107" s="1"/>
      <x:c r="K107" s="1"/>
      <x:c r="L107" s="1"/>
    </x:row>
    <x:row r="108">
      <x:c r="B108" s="1" t="s">
        <x:v>97</x:v>
      </x:c>
      <x:c r="C108" s="8"/>
      <x:c r="D108" s="8"/>
      <x:c r="E108" s="8" t="n">
        <x:f>E42-C42</x:f>
        <x:v>495</x:v>
      </x:c>
      <x:c r="F108" s="8" t="n">
        <x:f>F42-E42</x:f>
        <x:v>3456</x:v>
      </x:c>
      <x:c r="G108" s="8" t="n">
        <x:f>G42-F42</x:f>
        <x:v>3810</x:v>
      </x:c>
      <x:c r="H108" s="19" t="n">
        <x:f>H42-G42</x:f>
        <x:v>2530.9332799999993</x:v>
      </x:c>
      <x:c r="I108" s="1"/>
      <x:c r="J108" s="1"/>
      <x:c r="K108" s="1"/>
      <x:c r="L108" s="1"/>
    </x:row>
    <x:row r="109">
      <x:c r="B109" s="1" t="s">
        <x:v>98</x:v>
      </x:c>
      <x:c r="C109" s="8"/>
      <x:c r="D109" s="8"/>
      <x:c r="E109" s="8" t="n">
        <x:f>(E45-C45)*10000</x:f>
        <x:v>-204.20702667079405</x:v>
      </x:c>
      <x:c r="F109" s="8" t="n">
        <x:f>(F45-E45)*10000</x:f>
        <x:v>112.953140675785</x:v>
      </x:c>
      <x:c r="G109" s="8" t="n">
        <x:f>(G45-F45)*10000</x:f>
        <x:v>-452.6775659376725</x:v>
      </x:c>
      <x:c r="H109" s="19" t="n">
        <x:f>(H45-G45)*10000</x:f>
        <x:v>-49.54182525023943</x:v>
      </x:c>
      <x:c r="I109" s="1"/>
      <x:c r="J109" s="1"/>
      <x:c r="K109" s="1"/>
      <x:c r="L109" s="1"/>
    </x:row>
    <x:row r="110">
      <x:c r="B110" s="1" t="s">
        <x:v>99</x:v>
      </x:c>
      <x:c r="C110" s="8"/>
      <x:c r="D110" s="8"/>
      <x:c r="E110" s="8" t="n">
        <x:f>E46-C46</x:f>
        <x:v>286</x:v>
      </x:c>
      <x:c r="F110" s="8" t="n">
        <x:f>F46-E46</x:f>
        <x:v>988</x:v>
      </x:c>
      <x:c r="G110" s="8" t="n">
        <x:f>G46-F46</x:f>
        <x:v>1926</x:v>
      </x:c>
      <x:c r="H110" s="19" t="n">
        <x:f>H46-G46</x:f>
        <x:v>1061.439087692307</x:v>
      </x:c>
      <x:c r="I110" s="1"/>
      <x:c r="J110" s="1"/>
      <x:c r="K110" s="1"/>
      <x:c r="L110" s="1"/>
    </x:row>
    <x:row r="111">
      <x:c r="B111" s="1" t="s">
        <x:v>100</x:v>
      </x:c>
      <x:c r="C111" s="8"/>
      <x:c r="D111" s="8"/>
      <x:c r="E111" s="8" t="n">
        <x:f>(E49-C49)*10000</x:f>
        <x:v>-6.624450279682503</x:v>
      </x:c>
      <x:c r="F111" s="8" t="n">
        <x:f>(F49-E49)*10000</x:f>
        <x:v>-125.76588530212304</x:v>
      </x:c>
      <x:c r="G111" s="8" t="n">
        <x:f>(G49-F49)*10000</x:f>
        <x:v>-17.142242005420137</x:v>
      </x:c>
      <x:c r="H111" s="19" t="n">
        <x:f>(H49-G49)*10000</x:f>
        <x:v>-11.48833115566808</x:v>
      </x:c>
      <x:c r="I111" s="1"/>
      <x:c r="J111" s="1"/>
      <x:c r="K111" s="1"/>
      <x:c r="L111" s="1"/>
    </x:row>
    <x:row r="112">
      <x:c r="B112" s="1" t="s">
        <x:v>101</x:v>
      </x:c>
      <x:c r="C112" s="8"/>
      <x:c r="D112" s="8"/>
      <x:c r="E112" s="8" t="n">
        <x:f>E50-C50</x:f>
        <x:v>4</x:v>
      </x:c>
      <x:c r="F112" s="8" t="n">
        <x:f>F50-E50</x:f>
        <x:v>0</x:v>
      </x:c>
      <x:c r="G112" s="8" t="n">
        <x:f>G50-F50</x:f>
        <x:v>3</x:v>
      </x:c>
      <x:c r="H112" s="19" t="n">
        <x:f>H50-G50</x:f>
        <x:v>1.5999999999999996</x:v>
      </x:c>
      <x:c r="I112" s="1"/>
      <x:c r="J112" s="1"/>
      <x:c r="K112" s="1"/>
      <x:c r="L112" s="1"/>
    </x:row>
    <x:row r="113">
      <x:c r="B113" s="1" t="s">
        <x:v>102</x:v>
      </x:c>
      <x:c r="C113" s="8"/>
      <x:c r="D113" s="8"/>
      <x:c r="E113" s="8" t="n">
        <x:f>(E67-C67)*10000</x:f>
        <x:v>2.7811005007464344</x:v>
      </x:c>
      <x:c r="F113" s="8" t="n">
        <x:f>(F67-E67)*10000</x:f>
        <x:v>-1.5693256719561608</x:v>
      </x:c>
      <x:c r="G113" s="8" t="n">
        <x:f>(G67-F67)*10000</x:f>
        <x:v>-0.16580056763644085</x:v>
      </x:c>
      <x:c r="H113" s="19" t="n">
        <x:f>(H67-G67)*10000</x:f>
        <x:v>-0.0649833446084833</x:v>
      </x:c>
      <x:c r="I113" s="1"/>
      <x:c r="J113" s="1"/>
      <x:c r="K113" s="1"/>
      <x:c r="L113" s="1"/>
    </x:row>
    <x:row r="114">
      <x:c r="B114" s="33" t="s">
        <x:v>103</x:v>
      </x:c>
      <x:c r="C114" s="12"/>
      <x:c r="D114" s="12"/>
      <x:c r="E114" s="12" t="n">
        <x:f>E53-C53</x:f>
        <x:v>2328</x:v>
      </x:c>
      <x:c r="F114" s="12" t="n">
        <x:f>F53-E53</x:f>
        <x:v>10217</x:v>
      </x:c>
      <x:c r="G114" s="12" t="n">
        <x:f>G53-F53</x:f>
        <x:v>17596</x:v>
      </x:c>
      <x:c r="H114" s="24" t="n">
        <x:f>H53-G53</x:f>
        <x:v>10024.78288846153</x:v>
      </x:c>
      <x:c r="I114" s="1"/>
      <x:c r="J114" s="1"/>
      <x:c r="K114" s="1"/>
      <x:c r="L114" s="1"/>
    </x:row>
    <x:row r="115">
      <x:c r="B115" s="33" t="s">
        <x:v>104</x:v>
      </x:c>
      <x:c r="C115" s="12"/>
      <x:c r="D115" s="12"/>
      <x:c r="E115" s="12" t="n">
        <x:f>SUM(E104,E106,E108,E110,E112)-E114</x:f>
        <x:v>0</x:v>
      </x:c>
      <x:c r="F115" s="12" t="n">
        <x:f>SUM(F104,F106,F108,F110,F112)-F114</x:f>
        <x:v>0</x:v>
      </x:c>
      <x:c r="G115" s="12" t="n">
        <x:f>SUM(G104,G106,G108,G110,G112)-G114</x:f>
        <x:v>0</x:v>
      </x:c>
      <x:c r="H115" s="24" t="n">
        <x:f>SUM(H104,H106,H108,H110,H112)-H114</x:f>
        <x:v>5.4569682106375694e-12</x:v>
      </x:c>
      <x:c r="I115" s="1"/>
      <x:c r="J115" s="1"/>
      <x:c r="K115" s="1"/>
      <x:c r="L115" s="1"/>
    </x:row>
    <x:row r="116">
      <x:c r="B116" s="1"/>
      <x:c r="C116" s="8"/>
      <x:c r="D116" s="8"/>
      <x:c r="E116" s="8"/>
      <x:c r="F116" s="8"/>
      <x:c r="G116" s="8"/>
      <x:c r="H116" s="19"/>
      <x:c r="I116" s="1"/>
      <x:c r="J116" s="1"/>
      <x:c r="K116" s="1"/>
      <x:c r="L116" s="1"/>
    </x:row>
    <x:row r="117">
      <x:c r="B117" s="1"/>
      <x:c r="C117" s="8"/>
      <x:c r="D117" s="8"/>
      <x:c r="E117" s="8"/>
      <x:c r="F117" s="8"/>
      <x:c r="G117" s="8"/>
      <x:c r="H117" s="19"/>
      <x:c r="I117" s="1"/>
      <x:c r="J117" s="1"/>
      <x:c r="K117" s="1"/>
      <x:c r="L117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105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106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107</x:v>
      </x:c>
      <x:c r="C10" s="8"/>
      <x:c r="D10" s="8"/>
      <x:c r="E10" s="8" t="n">
        <x:f>C20</x:f>
        <x:v>4543</x:v>
      </x:c>
      <x:c r="F10" s="8" t="n">
        <x:f>E20</x:f>
        <x:v>5284</x:v>
      </x:c>
      <x:c r="G10" s="8" t="n">
        <x:f>F20</x:f>
        <x:v>7749</x:v>
      </x:c>
      <x:c r="H10" s="19" t="n">
        <x:f>G20</x:f>
        <x:v>13769</x:v>
      </x:c>
      <x:c r="I10" s="1"/>
      <x:c r="J10" s="1"/>
      <x:c r="K10" s="1"/>
      <x:c r="L10" s="1"/>
    </x:row>
    <x:row r="11">
      <x:c r="B11" s="1" t="s">
        <x:v>108</x:v>
      </x:c>
      <x:c r="C11" s="8"/>
      <x:c r="D11" s="8"/>
      <x:c r="E11" s="8"/>
      <x:c r="F11" s="8"/>
      <x:c r="G11" s="8"/>
      <x:c r="H11" s="19" t="n">
        <x:f>H10/G7</x:f>
        <x:v>151.30769230769232</x:v>
      </x:c>
      <x:c r="I11" s="1"/>
      <x:c r="J11" s="1"/>
      <x:c r="K11" s="1"/>
      <x:c r="L11" s="1"/>
    </x:row>
    <x:row r="12">
      <x:c r="B12" s="1" t="s">
        <x:v>109</x:v>
      </x:c>
      <x:c r="C12" s="8"/>
      <x:c r="D12" s="8"/>
      <x:c r="E12" s="8"/>
      <x:c r="F12" s="8"/>
      <x:c r="G12" s="8"/>
      <x:c r="H12" s="19" t="n">
        <x:f>H7</x:f>
        <x:v>98</x:v>
      </x:c>
      <x:c r="I12" s="1"/>
      <x:c r="J12" s="1"/>
      <x:c r="K12" s="1"/>
      <x:c r="L12" s="1"/>
    </x:row>
    <x:row r="13">
      <x:c r="B13" s="1" t="s">
        <x:v>110</x:v>
      </x:c>
      <x:c r="C13" s="5"/>
      <x:c r="D13" s="5"/>
      <x:c r="E13" s="5"/>
      <x:c r="F13" s="5"/>
      <x:c r="G13" s="5"/>
      <x:c r="H13" s="20" t="n">
        <x:f>Inputs!L10</x:f>
        <x:v>0.015</x:v>
      </x:c>
      <x:c r="I13" s="1"/>
      <x:c r="J13" s="1"/>
      <x:c r="K13" s="1"/>
      <x:c r="L13" s="1"/>
    </x:row>
    <x:row r="14">
      <x:c r="B14" s="1" t="s">
        <x:v>111</x:v>
      </x:c>
      <x:c r="C14" s="8"/>
      <x:c r="D14" s="8"/>
      <x:c r="E14" s="8"/>
      <x:c r="F14" s="8"/>
      <x:c r="G14" s="8"/>
      <x:c r="H14" s="19" t="n">
        <x:f>H13*10000</x:f>
        <x:v>150</x:v>
      </x:c>
      <x:c r="I14" s="1"/>
      <x:c r="J14" s="1"/>
      <x:c r="K14" s="1"/>
      <x:c r="L14" s="1"/>
    </x:row>
    <x:row r="15">
      <x:c r="B15" s="1" t="s">
        <x:v>112</x:v>
      </x:c>
      <x:c r="C15" s="5"/>
      <x:c r="D15" s="5"/>
      <x:c r="E15" s="5"/>
      <x:c r="F15" s="5"/>
      <x:c r="G15" s="5"/>
      <x:c r="H15" s="20" t="n">
        <x:f>Inputs!L11</x:f>
        <x:v>0.149</x:v>
      </x:c>
      <x:c r="I15" s="1"/>
      <x:c r="J15" s="1"/>
      <x:c r="K15" s="1"/>
      <x:c r="L15" s="1"/>
    </x:row>
    <x:row r="16">
      <x:c r="B16" s="1" t="s">
        <x:v>113</x:v>
      </x:c>
      <x:c r="C16" s="8"/>
      <x:c r="D16" s="8"/>
      <x:c r="E16" s="8"/>
      <x:c r="F16" s="8"/>
      <x:c r="G16" s="8"/>
      <x:c r="H16" s="19" t="n">
        <x:f>H15*10000</x:f>
        <x:v>1490</x:v>
      </x:c>
      <x:c r="I16" s="1"/>
      <x:c r="J16" s="1"/>
      <x:c r="K16" s="1"/>
      <x:c r="L16" s="1"/>
    </x:row>
    <x:row r="17">
      <x:c r="B17" s="1" t="s">
        <x:v>114</x:v>
      </x:c>
      <x:c r="C17" s="8"/>
      <x:c r="D17" s="8"/>
      <x:c r="E17" s="8"/>
      <x:c r="F17" s="8"/>
      <x:c r="G17" s="8"/>
      <x:c r="H17" s="19" t="n">
        <x:f>H11*H12</x:f>
        <x:v>14828.153846153848</x:v>
      </x:c>
      <x:c r="I17" s="1"/>
      <x:c r="J17" s="1"/>
      <x:c r="K17" s="1"/>
      <x:c r="L17" s="1"/>
    </x:row>
    <x:row r="18">
      <x:c r="B18" s="1" t="s">
        <x:v>115</x:v>
      </x:c>
      <x:c r="C18" s="8"/>
      <x:c r="D18" s="8"/>
      <x:c r="E18" s="8"/>
      <x:c r="F18" s="8"/>
      <x:c r="G18" s="8"/>
      <x:c r="H18" s="19" t="n">
        <x:f>H17*(H47/H43-1)</x:f>
        <x:v>222.42230769230628</x:v>
      </x:c>
      <x:c r="I18" s="1"/>
      <x:c r="J18" s="1"/>
      <x:c r="K18" s="1"/>
      <x:c r="L18" s="1"/>
    </x:row>
    <x:row r="19">
      <x:c r="B19" s="1" t="s">
        <x:v>116</x:v>
      </x:c>
      <x:c r="C19" s="8"/>
      <x:c r="D19" s="8"/>
      <x:c r="E19" s="8"/>
      <x:c r="F19" s="8"/>
      <x:c r="G19" s="8"/>
      <x:c r="H19" s="19" t="n">
        <x:f>(H17+H18)*(H51-1)</x:f>
        <x:v>2242.5358469230773</x:v>
      </x:c>
      <x:c r="I19" s="1"/>
      <x:c r="J19" s="1"/>
      <x:c r="K19" s="1"/>
      <x:c r="L19" s="1"/>
    </x:row>
    <x:row r="20">
      <x:c r="B20" s="1" t="s">
        <x:v>117</x:v>
      </x:c>
      <x:c r="C20" s="22">
        <x:v>4543</x:v>
      </x:c>
      <x:c r="D20" s="22">
        <x:v>13524</x:v>
      </x:c>
      <x:c r="E20" s="22">
        <x:v>5284</x:v>
      </x:c>
      <x:c r="F20" s="22">
        <x:v>7749</x:v>
      </x:c>
      <x:c r="G20" s="22">
        <x:v>13769</x:v>
      </x:c>
      <x:c r="H20" s="9" t="n">
        <x:f>SUM(H17:H19)</x:f>
        <x:v>17293.11200076923</x:v>
      </x:c>
      <x:c r="I20" s="1"/>
      <x:c r="J20" s="1"/>
      <x:c r="K20" s="1"/>
      <x:c r="L20" s="1"/>
    </x:row>
    <x:row r="21">
      <x:c r="B21" s="1" t="s">
        <x:v>118</x:v>
      </x:c>
      <x:c r="C21" s="17" t="n">
        <x:f>IFERROR(C20/Inputs!Q85-1,0)</x:f>
        <x:v>2.135265700483092</x:v>
      </x:c>
      <x:c r="D21" s="17" t="n">
        <x:f>IFERROR(D20/Inputs!Q84-1,0)</x:f>
        <x:v>2.5664556962025316</x:v>
      </x:c>
      <x:c r="E21" s="17" t="n">
        <x:f>IFERROR(E20/Inputs!Q81-1,0)</x:f>
        <x:v>0.9954682779456194</x:v>
      </x:c>
      <x:c r="F21" s="17" t="n">
        <x:f>IFERROR(F20/Inputs!Q82-1,0)</x:f>
        <x:v>1.6294536817102139</x:v>
      </x:c>
      <x:c r="G21" s="17" t="n">
        <x:f>IFERROR(G20/Inputs!Q83-1,0)</x:f>
        <x:v>3.066450088600118</x:v>
      </x:c>
      <x:c r="H21" s="21" t="n">
        <x:f>H20/C20-1</x:f>
        <x:v>2.806540171862036</x:v>
      </x:c>
      <x:c r="I21" s="1"/>
      <x:c r="J21" s="1"/>
      <x:c r="K21" s="1"/>
      <x:c r="L21" s="1"/>
    </x:row>
    <x:row r="22">
      <x:c r="B22" s="1" t="s">
        <x:v>119</x:v>
      </x:c>
      <x:c r="C22" s="5"/>
      <x:c r="D22" s="5"/>
      <x:c r="E22" s="5" t="n">
        <x:f>IFERROR(E20/C20-1,0)</x:f>
        <x:v>0.16310807836231556</x:v>
      </x:c>
      <x:c r="F22" s="5" t="n">
        <x:f>IFERROR(F20/E20-1,0)</x:f>
        <x:v>0.4665026495079485</x:v>
      </x:c>
      <x:c r="G22" s="5" t="n">
        <x:f>IFERROR(G20/F20-1,0)</x:f>
        <x:v>0.7768744354110209</x:v>
      </x:c>
      <x:c r="H22" s="21" t="n">
        <x:f>H20/G20-1</x:f>
        <x:v>0.2559453846153845</x:v>
      </x:c>
      <x:c r="I22" s="1"/>
      <x:c r="J22" s="1"/>
      <x:c r="K22" s="1"/>
      <x:c r="L22" s="1"/>
    </x:row>
    <x:row r="23">
      <x:c r="B23" s="1" t="s">
        <x:v>120</x:v>
      </x:c>
      <x:c r="C23" s="17" t="n">
        <x:f>IFERROR(C20/'Revenue summary'!C53,0)</x:f>
        <x:v>0.4015024304021211</x:v>
      </x:c>
      <x:c r="D23" s="17" t="n">
        <x:f>IFERROR(D20/'Revenue summary'!D53,0)</x:f>
        <x:v>0.3618171116699663</x:v>
      </x:c>
      <x:c r="E23" s="17" t="n">
        <x:f>IFERROR(E20/'Revenue summary'!E53,0)</x:f>
        <x:v>0.38730484497544526</x:v>
      </x:c>
      <x:c r="F23" s="17" t="n">
        <x:f>IFERROR(F20/'Revenue summary'!F53,0)</x:f>
        <x:v>0.3247694886839899</x:v>
      </x:c>
      <x:c r="G23" s="17" t="n">
        <x:f>IFERROR(G20/'Revenue summary'!G53,0)</x:f>
        <x:v>0.3321352759552296</x:v>
      </x:c>
      <x:c r="H23" s="20" t="n">
        <x:f>IFERROR(H20/'Revenue summary'!H53,0)</x:f>
        <x:v>0.3359139280814077</x:v>
      </x:c>
      <x:c r="I23" s="1"/>
      <x:c r="J23" s="1"/>
      <x:c r="K23" s="1"/>
      <x:c r="L23" s="1"/>
    </x:row>
    <x:row r="24">
      <x:c r="B24" s="1" t="s">
        <x:v>121</x:v>
      </x:c>
      <x:c r="C24" s="5" t="n">
        <x:f>(1+C27)/((1+C25)*(1+C26))-1</x:f>
        <x:v>2.135265700483092</x:v>
      </x:c>
      <x:c r="D24" s="5" t="n">
        <x:f>(1+D27)/((1+D25)*(1+D26))-1</x:f>
        <x:v>2.5664556962025316</x:v>
      </x:c>
      <x:c r="E24" s="5" t="n">
        <x:f>(1+E27)/((1+E25)*(1+E26))-1</x:f>
        <x:v>0.9954682779456194</x:v>
      </x:c>
      <x:c r="F24" s="5" t="n">
        <x:f>(1+F27)/((1+F25)*(1+F26))-1</x:f>
        <x:v>1.6294536817102139</x:v>
      </x:c>
      <x:c r="G24" s="5" t="n">
        <x:f>(1+G27)/((1+G25)*(1+G26))-1</x:f>
        <x:v>3.066450088600118</x:v>
      </x:c>
      <x:c r="H24" s="21" t="n">
        <x:f>(1+H21)/((1+H25)*(1+H26))-1</x:f>
        <x:v>2.806540171862036</x:v>
      </x:c>
      <x:c r="I24" s="1"/>
      <x:c r="J24" s="1"/>
      <x:c r="K24" s="1"/>
      <x:c r="L24" s="1"/>
    </x:row>
    <x:row r="25">
      <x:c r="B25" s="1" t="s">
        <x:v>122</x:v>
      </x:c>
      <x:c r="C25" s="17" t="n">
        <x:f>Inputs!L48</x:f>
        <x:v>0</x:v>
      </x:c>
      <x:c r="D25" s="17" t="n">
        <x:f>Inputs!L48</x:f>
        <x:v>0</x:v>
      </x:c>
      <x:c r="E25" s="17" t="n">
        <x:f>Inputs!L48</x:f>
        <x:v>0</x:v>
      </x:c>
      <x:c r="F25" s="17" t="n">
        <x:f>Inputs!L48</x:f>
        <x:v>0</x:v>
      </x:c>
      <x:c r="G25" s="17" t="n">
        <x:f>Inputs!L48</x:f>
        <x:v>0</x:v>
      </x:c>
      <x:c r="H25" s="20" t="n">
        <x:f>Inputs!L48</x:f>
        <x:v>0</x:v>
      </x:c>
      <x:c r="I25" s="1"/>
      <x:c r="J25" s="1"/>
      <x:c r="K25" s="1"/>
      <x:c r="L25" s="1"/>
    </x:row>
    <x:row r="26">
      <x:c r="B26" s="1" t="s">
        <x:v>84</x:v>
      </x:c>
      <x:c r="C26" s="17" t="n">
        <x:f>Inputs!L49</x:f>
        <x:v>0</x:v>
      </x:c>
      <x:c r="D26" s="17" t="n">
        <x:f>Inputs!L49</x:f>
        <x:v>0</x:v>
      </x:c>
      <x:c r="E26" s="17" t="n">
        <x:f>Inputs!L49</x:f>
        <x:v>0</x:v>
      </x:c>
      <x:c r="F26" s="17" t="n">
        <x:f>Inputs!L49</x:f>
        <x:v>0</x:v>
      </x:c>
      <x:c r="G26" s="17" t="n">
        <x:f>Inputs!L49</x:f>
        <x:v>0</x:v>
      </x:c>
      <x:c r="H26" s="20" t="n">
        <x:f>Inputs!L49</x:f>
        <x:v>0</x:v>
      </x:c>
      <x:c r="I26" s="1"/>
      <x:c r="J26" s="1"/>
      <x:c r="K26" s="1"/>
      <x:c r="L26" s="1"/>
    </x:row>
    <x:row r="27">
      <x:c r="B27" s="1" t="s">
        <x:v>123</x:v>
      </x:c>
      <x:c r="C27" s="5" t="n">
        <x:f>C21</x:f>
        <x:v>2.135265700483092</x:v>
      </x:c>
      <x:c r="D27" s="5" t="n">
        <x:f>D21</x:f>
        <x:v>2.5664556962025316</x:v>
      </x:c>
      <x:c r="E27" s="5" t="n">
        <x:f>E21</x:f>
        <x:v>0.9954682779456194</x:v>
      </x:c>
      <x:c r="F27" s="5" t="n">
        <x:f>F21</x:f>
        <x:v>1.6294536817102139</x:v>
      </x:c>
      <x:c r="G27" s="5" t="n">
        <x:f>G21</x:f>
        <x:v>3.066450088600118</x:v>
      </x:c>
      <x:c r="H27" s="21" t="n">
        <x:f>H21</x:f>
        <x:v>2.806540171862036</x:v>
      </x:c>
      <x:c r="I27" s="1"/>
      <x:c r="J27" s="1"/>
      <x:c r="K27" s="1"/>
      <x:c r="L27" s="1"/>
    </x:row>
    <x:row r="28">
      <x:c r="B28" s="1"/>
      <x:c r="C28" s="16"/>
      <x:c r="D28" s="16"/>
      <x:c r="E28" s="16"/>
      <x:c r="F28" s="16"/>
      <x:c r="G28" s="16"/>
      <x:c r="H28" s="27"/>
      <x:c r="I28" s="1"/>
      <x:c r="J28" s="1"/>
      <x:c r="K28" s="1"/>
      <x:c r="L28" s="1"/>
    </x:row>
    <x:row r="29">
      <x:c r="B29" s="1" t="s">
        <x:v>124</x:v>
      </x:c>
      <x:c r="C29" s="8"/>
      <x:c r="D29" s="8"/>
      <x:c r="E29" s="8"/>
      <x:c r="F29" s="8"/>
      <x:c r="G29" s="8"/>
      <x:c r="H29" s="19"/>
      <x:c r="I29" s="1"/>
      <x:c r="J29" s="1"/>
      <x:c r="K29" s="1"/>
      <x:c r="L29" s="1"/>
    </x:row>
    <x:row r="30">
      <x:c r="B30" s="1" t="s">
        <x:v>125</x:v>
      </x:c>
      <x:c r="C30" s="13" t="n">
        <x:f>D30-Inputs!N90</x:f>
        <x:v>1842</x:v>
      </x:c>
      <x:c r="D30" s="4">
        <x:v>5867</x:v>
      </x:c>
      <x:c r="E30" s="4">
        <x:v>1817</x:v>
      </x:c>
      <x:c r="F30" s="4">
        <x:v>2002</x:v>
      </x:c>
      <x:c r="G30" s="4">
        <x:v>2278</x:v>
      </x:c>
      <x:c r="H30" s="6" t="n">
        <x:f>H20*(1-Inputs!L50)</x:f>
        <x:v>2559.3805761138465</x:v>
      </x:c>
      <x:c r="I30" s="1"/>
      <x:c r="J30" s="1"/>
      <x:c r="K30" s="1"/>
      <x:c r="L30" s="1"/>
    </x:row>
    <x:row r="31">
      <x:c r="B31" s="1" t="s">
        <x:v>126</x:v>
      </x:c>
      <x:c r="C31" s="12" t="n">
        <x:f>C20-C30</x:f>
        <x:v>2701</x:v>
      </x:c>
      <x:c r="D31" s="12" t="n">
        <x:f>D20-D30</x:f>
        <x:v>7657</x:v>
      </x:c>
      <x:c r="E31" s="12" t="n">
        <x:f>E20-E30</x:f>
        <x:v>3467</x:v>
      </x:c>
      <x:c r="F31" s="12" t="n">
        <x:f>F20-F30</x:f>
        <x:v>5747</x:v>
      </x:c>
      <x:c r="G31" s="12" t="n">
        <x:f>G20-G30</x:f>
        <x:v>11491</x:v>
      </x:c>
      <x:c r="H31" s="24" t="n">
        <x:f>H20-H30</x:f>
        <x:v>14733.731424655383</x:v>
      </x:c>
      <x:c r="I31" s="1"/>
      <x:c r="J31" s="1"/>
      <x:c r="K31" s="1"/>
      <x:c r="L31" s="1"/>
    </x:row>
    <x:row r="32">
      <x:c r="B32" s="1" t="s">
        <x:v>127</x:v>
      </x:c>
      <x:c r="C32" s="5" t="n">
        <x:f>C31/C20</x:f>
        <x:v>0.5945410521681708</x:v>
      </x:c>
      <x:c r="D32" s="5" t="n">
        <x:f>IFERROR(D31/D20,0)</x:f>
        <x:v>0.566178645371192</x:v>
      </x:c>
      <x:c r="E32" s="5" t="n">
        <x:f>IFERROR(E31/E20,0)</x:f>
        <x:v>0.6561317183951552</x:v>
      </x:c>
      <x:c r="F32" s="5" t="n">
        <x:f>IFERROR(F31/F20,0)</x:f>
        <x:v>0.7416440831074977</x:v>
      </x:c>
      <x:c r="G32" s="5" t="n">
        <x:f>IFERROR(G31/G20,0)</x:f>
        <x:v>0.8345558864115041</x:v>
      </x:c>
      <x:c r="H32" s="21" t="n">
        <x:f>H31/H20</x:f>
        <x:v>0.852</x:v>
      </x:c>
      <x:c r="I32" s="1"/>
      <x:c r="J32" s="1"/>
      <x:c r="K32" s="1"/>
      <x:c r="L32" s="1"/>
    </x:row>
    <x:row r="33">
      <x:c r="B33" s="1" t="s">
        <x:v>128</x:v>
      </x:c>
      <x:c r="C33" s="8"/>
      <x:c r="D33" s="8"/>
      <x:c r="E33" s="8" t="n">
        <x:f>(E32-C32)*10000</x:f>
        <x:v>615.9066622698439</x:v>
      </x:c>
      <x:c r="F33" s="8" t="n">
        <x:f>(F32-E32)*10000</x:f>
        <x:v>855.1236471234258</x:v>
      </x:c>
      <x:c r="G33" s="8" t="n">
        <x:f>(G32-F32)*10000</x:f>
        <x:v>929.1180330400639</x:v>
      </x:c>
      <x:c r="H33" s="19" t="n">
        <x:f>(H32-G32)*10000</x:f>
        <x:v>174.44113588495847</x:v>
      </x:c>
      <x:c r="I33" s="1"/>
      <x:c r="J33" s="1"/>
      <x:c r="K33" s="1"/>
      <x:c r="L33" s="1"/>
    </x:row>
    <x:row r="34">
      <x:c r="B34" s="1" t="s">
        <x:v>129</x:v>
      </x:c>
      <x:c r="C34" s="13" t="n">
        <x:f>D34-Inputs!N91</x:f>
        <x:v>464</x:v>
      </x:c>
      <x:c r="D34" s="4">
        <x:v>1315</x:v>
      </x:c>
      <x:c r="E34" s="4">
        <x:v>500</x:v>
      </x:c>
      <x:c r="F34" s="4">
        <x:v>536</x:v>
      </x:c>
      <x:c r="G34" s="4">
        <x:v>592</x:v>
      </x:c>
      <x:c r="H34" s="19" t="n">
        <x:f>G34*H7/G7</x:f>
        <x:v>637.5384615384615</x:v>
      </x:c>
      <x:c r="I34" s="1"/>
      <x:c r="J34" s="1"/>
      <x:c r="K34" s="1"/>
      <x:c r="L34" s="1"/>
    </x:row>
    <x:row r="35">
      <x:c r="B35" s="1" t="s">
        <x:v>130</x:v>
      </x:c>
      <x:c r="C35" s="13" t="n">
        <x:f>D35-Inputs!N92</x:f>
        <x:v>67</x:v>
      </x:c>
      <x:c r="D35" s="4">
        <x:v>213</x:v>
      </x:c>
      <x:c r="E35" s="4">
        <x:v>83</x:v>
      </x:c>
      <x:c r="F35" s="4">
        <x:v>83</x:v>
      </x:c>
      <x:c r="G35" s="4">
        <x:v>108</x:v>
      </x:c>
      <x:c r="H35" s="19" t="n">
        <x:f>G35*H7/G7</x:f>
        <x:v>116.3076923076923</x:v>
      </x:c>
      <x:c r="I35" s="1"/>
      <x:c r="J35" s="1"/>
      <x:c r="K35" s="1"/>
      <x:c r="L35" s="1"/>
    </x:row>
    <x:row r="36">
      <x:c r="B36" s="1" t="s">
        <x:v>131</x:v>
      </x:c>
      <x:c r="C36" s="13" t="n">
        <x:f>D36-Inputs!N93</x:f>
        <x:v>0</x:v>
      </x:c>
      <x:c r="D36" s="4">
        <x:v>0</x:v>
      </x:c>
      <x:c r="E36" s="4">
        <x:v>0</x:v>
      </x:c>
      <x:c r="F36" s="4">
        <x:v>1</x:v>
      </x:c>
      <x:c r="G36" s="4">
        <x:v>-2</x:v>
      </x:c>
      <x:c r="H36" s="19" t="n">
        <x:f>G36</x:f>
        <x:v>-2</x:v>
      </x:c>
      <x:c r="I36" s="1"/>
      <x:c r="J36" s="1"/>
      <x:c r="K36" s="1"/>
      <x:c r="L36" s="1"/>
    </x:row>
    <x:row r="37">
      <x:c r="B37" s="1" t="s">
        <x:v>132</x:v>
      </x:c>
      <x:c r="C37" s="7" t="n">
        <x:f>C31-SUM(C34:C36)</x:f>
        <x:v>2170</x:v>
      </x:c>
      <x:c r="D37" s="7" t="n">
        <x:f>D31-SUM(D34:D36)</x:f>
        <x:v>6129</x:v>
      </x:c>
      <x:c r="E37" s="7" t="n">
        <x:f>E31-SUM(E34:E36)</x:f>
        <x:v>2884</x:v>
      </x:c>
      <x:c r="F37" s="7" t="n">
        <x:f>F31-SUM(F34:F36)</x:f>
        <x:v>5127</x:v>
      </x:c>
      <x:c r="G37" s="7" t="n">
        <x:f>G31-SUM(G34:G36)</x:f>
        <x:v>10793</x:v>
      </x:c>
      <x:c r="H37" s="9" t="n">
        <x:f>H31-SUM(H34:H36)</x:f>
        <x:v>13981.885270809229</x:v>
      </x:c>
      <x:c r="I37" s="1"/>
      <x:c r="J37" s="1"/>
      <x:c r="K37" s="1"/>
      <x:c r="L37" s="1"/>
    </x:row>
    <x:row r="38">
      <x:c r="B38" s="1" t="s">
        <x:v>133</x:v>
      </x:c>
      <x:c r="C38" s="5" t="n">
        <x:f>C37/C20</x:f>
        <x:v>0.4776579352850539</x:v>
      </x:c>
      <x:c r="D38" s="5" t="n">
        <x:f>IFERROR(D37/D20,0)</x:f>
        <x:v>0.4531943212067436</x:v>
      </x:c>
      <x:c r="E38" s="5" t="n">
        <x:f>IFERROR(E37/E20,0)</x:f>
        <x:v>0.5457986373959122</x:v>
      </x:c>
      <x:c r="F38" s="5" t="n">
        <x:f>IFERROR(F37/F20,0)</x:f>
        <x:v>0.6616337591947348</x:v>
      </x:c>
      <x:c r="G38" s="5" t="n">
        <x:f>IFERROR(G37/G20,0)</x:f>
        <x:v>0.7838622993681459</x:v>
      </x:c>
      <x:c r="H38" s="21" t="n">
        <x:f>H37/H20</x:f>
        <x:v>0.8085233745197099</x:v>
      </x:c>
      <x:c r="I38" s="1"/>
      <x:c r="J38" s="1"/>
      <x:c r="K38" s="1"/>
      <x:c r="L38" s="1"/>
    </x:row>
    <x:row r="39">
      <x:c r="B39" s="1" t="s">
        <x:v>134</x:v>
      </x:c>
      <x:c r="C39" s="8"/>
      <x:c r="D39" s="8"/>
      <x:c r="E39" s="8" t="n">
        <x:f>(E38-C38)*10000</x:f>
        <x:v>681.4070211085826</x:v>
      </x:c>
      <x:c r="F39" s="8" t="n">
        <x:f>(F38-E38)*10000</x:f>
        <x:v>1158.3512179882262</x:v>
      </x:c>
      <x:c r="G39" s="8" t="n">
        <x:f>(G38-F38)*10000</x:f>
        <x:v>1222.2854017341112</x:v>
      </x:c>
      <x:c r="H39" s="19" t="n">
        <x:f>(H38-G38)*10000</x:f>
        <x:v>246.61075151564015</x:v>
      </x:c>
      <x:c r="I39" s="1"/>
      <x:c r="J39" s="1"/>
      <x:c r="K39" s="1"/>
      <x:c r="L39" s="1"/>
    </x:row>
    <x:row r="40">
      <x:c r="B40" s="1" t="s">
        <x:v>135</x:v>
      </x:c>
      <x:c r="C40" s="5"/>
      <x:c r="D40" s="17" t="n">
        <x:f>IFERROR(D37/Inputs!W84-1,0)</x:f>
        <x:v>24.118852459016395</x:v>
      </x:c>
      <x:c r="E40" s="17" t="n">
        <x:f>IFERROR(E37/Inputs!W81-1,0)</x:f>
        <x:v>1.7054409005628517</x:v>
      </x:c>
      <x:c r="F40" s="17" t="n">
        <x:f>IFERROR(F37/Inputs!W82-1,0)</x:f>
        <x:v>2.8840909090909093</x:v>
      </x:c>
      <x:c r="G40" s="17" t="n">
        <x:f>IFERROR(G37/Inputs!W83-1,0)</x:f>
        <x:v>5.8614113159567705</x:v>
      </x:c>
      <x:c r="H40" s="21" t="n">
        <x:f>H37/C37-1</x:f>
        <x:v>5.443265101755405</x:v>
      </x:c>
      <x:c r="I40" s="1"/>
      <x:c r="J40" s="1"/>
      <x:c r="K40" s="1"/>
      <x:c r="L40" s="1"/>
    </x:row>
    <x:row r="41">
      <x:c r="B41" s="1" t="s">
        <x:v>136</x:v>
      </x:c>
      <x:c r="C41" s="8"/>
      <x:c r="D41" s="8"/>
      <x:c r="E41" s="8" t="n">
        <x:f>E37-C37</x:f>
        <x:v>714</x:v>
      </x:c>
      <x:c r="F41" s="8" t="n">
        <x:f>F37-E37</x:f>
        <x:v>2243</x:v>
      </x:c>
      <x:c r="G41" s="8" t="n">
        <x:f>G37-F37</x:f>
        <x:v>5666</x:v>
      </x:c>
      <x:c r="H41" s="19" t="n">
        <x:f>H37-G37</x:f>
        <x:v>3188.885270809229</x:v>
      </x:c>
      <x:c r="I41" s="1"/>
      <x:c r="J41" s="1"/>
      <x:c r="K41" s="1"/>
      <x:c r="L41" s="1"/>
    </x:row>
    <x:row r="42">
      <x:c r="B42" s="1" t="s">
        <x:v>137</x:v>
      </x:c>
      <x:c r="C42" s="1"/>
      <x:c r="D42" s="1"/>
      <x:c r="E42" s="1"/>
      <x:c r="F42" s="1"/>
      <x:c r="G42" s="1"/>
      <x:c r="H42" s="11"/>
      <x:c r="I42" s="1"/>
      <x:c r="J42" s="1" t="s">
        <x:v>138</x:v>
      </x:c>
      <x:c r="K42" s="1"/>
      <x:c r="L42" s="1"/>
    </x:row>
    <x:row r="43">
      <x:c r="B43" s="1" t="s">
        <x:v>139</x:v>
      </x:c>
      <x:c r="C43" s="1"/>
      <x:c r="D43" s="1"/>
      <x:c r="E43" s="1"/>
      <x:c r="F43" s="1"/>
      <x:c r="G43" s="1"/>
      <x:c r="H43" s="11" t="n">
        <x:f>G47</x:f>
        <x:v>1</x:v>
      </x:c>
      <x:c r="I43" s="1"/>
      <x:c r="J43" s="1"/>
      <x:c r="K43" s="1"/>
      <x:c r="L43" s="1"/>
    </x:row>
    <x:row r="44">
      <x:c r="B44" s="1" t="s">
        <x:v>140</x:v>
      </x:c>
      <x:c r="C44" s="1"/>
      <x:c r="D44" s="1"/>
      <x:c r="E44" s="1"/>
      <x:c r="F44" s="1"/>
      <x:c r="G44" s="1"/>
      <x:c r="H44" s="11" t="n">
        <x:f>MAX(H43*H13,0)</x:f>
        <x:v>0.015</x:v>
      </x:c>
      <x:c r="I44" s="1"/>
      <x:c r="J44" s="1"/>
      <x:c r="K44" s="1"/>
      <x:c r="L44" s="1"/>
    </x:row>
    <x:row r="45">
      <x:c r="B45" s="1" t="s">
        <x:v>141</x:v>
      </x:c>
      <x:c r="C45" s="1"/>
      <x:c r="D45" s="1"/>
      <x:c r="E45" s="1"/>
      <x:c r="F45" s="1"/>
      <x:c r="G45" s="1"/>
      <x:c r="H45" s="11" t="n">
        <x:f>MIN(H43*H13,0)</x:f>
        <x:v>0</x:v>
      </x:c>
      <x:c r="I45" s="1"/>
      <x:c r="J45" s="1"/>
      <x:c r="K45" s="1"/>
      <x:c r="L45" s="1"/>
    </x:row>
    <x:row r="46">
      <x:c r="B46" s="1" t="s">
        <x:v>142</x:v>
      </x:c>
      <x:c r="C46" s="1"/>
      <x:c r="D46" s="1"/>
      <x:c r="E46" s="1"/>
      <x:c r="F46" s="1"/>
      <x:c r="G46" s="1"/>
      <x:c r="H46" s="11" t="n">
        <x:f>SUM(H44:H45)</x:f>
        <x:v>0.015</x:v>
      </x:c>
      <x:c r="I46" s="1"/>
      <x:c r="J46" s="1"/>
      <x:c r="K46" s="1"/>
      <x:c r="L46" s="1"/>
    </x:row>
    <x:row r="47">
      <x:c r="B47" s="1" t="s">
        <x:v>143</x:v>
      </x:c>
      <x:c r="C47" s="1"/>
      <x:c r="D47" s="1"/>
      <x:c r="E47" s="1"/>
      <x:c r="F47" s="1"/>
      <x:c r="G47" s="23" t="n">
        <x:f>Inputs!L64</x:f>
        <x:v>1</x:v>
      </x:c>
      <x:c r="H47" s="34" t="n">
        <x:f>H43+H46</x:f>
        <x:v>1.015</x:v>
      </x:c>
      <x:c r="I47" s="1"/>
      <x:c r="J47" s="1"/>
      <x:c r="K47" s="1"/>
      <x:c r="L47" s="1"/>
    </x:row>
    <x:row r="48">
      <x:c r="B48" s="1" t="s">
        <x:v>144</x:v>
      </x:c>
      <x:c r="C48" s="1"/>
      <x:c r="D48" s="1"/>
      <x:c r="E48" s="1"/>
      <x:c r="F48" s="1"/>
      <x:c r="G48" s="1"/>
      <x:c r="H48" s="11" t="n">
        <x:f>AVERAGE(H43,H47)</x:f>
        <x:v>1.0074999999999998</x:v>
      </x:c>
      <x:c r="I48" s="1"/>
      <x:c r="J48" s="1"/>
      <x:c r="K48" s="1"/>
      <x:c r="L48" s="1"/>
    </x:row>
    <x:row r="49">
      <x:c r="B49" s="1" t="s">
        <x:v>145</x:v>
      </x:c>
      <x:c r="C49" s="1"/>
      <x:c r="D49" s="1"/>
      <x:c r="E49" s="1"/>
      <x:c r="F49" s="1"/>
      <x:c r="G49" s="1"/>
      <x:c r="H49" s="11" t="n">
        <x:f>H47-G47</x:f>
        <x:v>0.014999999999999902</x:v>
      </x:c>
      <x:c r="I49" s="1"/>
      <x:c r="J49" s="1"/>
      <x:c r="K49" s="1"/>
      <x:c r="L49" s="1"/>
    </x:row>
    <x:row r="50">
      <x:c r="B50" s="1" t="s">
        <x:v>146</x:v>
      </x:c>
      <x:c r="C50" s="1"/>
      <x:c r="D50" s="1"/>
      <x:c r="E50" s="1"/>
      <x:c r="F50" s="1"/>
      <x:c r="G50" s="1"/>
      <x:c r="H50" s="21" t="n">
        <x:f>H47/G47-1</x:f>
        <x:v>0.014999999999999902</x:v>
      </x:c>
      <x:c r="I50" s="1"/>
      <x:c r="J50" s="1"/>
      <x:c r="K50" s="1"/>
      <x:c r="L50" s="1"/>
    </x:row>
    <x:row r="51">
      <x:c r="B51" s="1" t="s">
        <x:v>147</x:v>
      </x:c>
      <x:c r="C51" s="1"/>
      <x:c r="D51" s="1"/>
      <x:c r="E51" s="1"/>
      <x:c r="F51" s="1"/>
      <x:c r="G51" s="47" t="n">
        <x:f>Inputs!L64</x:f>
        <x:v>1</x:v>
      </x:c>
      <x:c r="H51" s="45" t="n">
        <x:f>Inputs!L64*(1+H15)</x:f>
        <x:v>1.149</x:v>
      </x:c>
      <x:c r="I51" s="1"/>
      <x:c r="J51" s="1"/>
      <x:c r="K51" s="1"/>
      <x:c r="L51" s="1"/>
    </x:row>
    <x:row r="52">
      <x:c r="B52" s="1" t="s">
        <x:v>148</x:v>
      </x:c>
      <x:c r="C52" s="1"/>
      <x:c r="D52" s="1"/>
      <x:c r="E52" s="1"/>
      <x:c r="F52" s="1"/>
      <x:c r="G52" s="1"/>
      <x:c r="H52" s="21" t="n">
        <x:f>H51-G51</x:f>
        <x:v>0.14900000000000002</x:v>
      </x:c>
      <x:c r="I52" s="1"/>
      <x:c r="J52" s="1"/>
      <x:c r="K52" s="1"/>
      <x:c r="L52" s="1"/>
    </x:row>
    <x:row r="53">
      <x:c r="B53" s="1" t="s">
        <x:v>149</x:v>
      </x:c>
      <x:c r="C53" s="1"/>
      <x:c r="D53" s="1"/>
      <x:c r="E53" s="1"/>
      <x:c r="F53" s="1"/>
      <x:c r="G53" s="69" t="s">
        <x:v>44</x:v>
      </x:c>
      <x:c r="H53" s="72" t="s">
        <x:v>44</x:v>
      </x:c>
      <x:c r="I53" s="1"/>
      <x:c r="J53" s="1"/>
      <x:c r="K53" s="1"/>
      <x:c r="L53" s="1"/>
    </x:row>
    <x:row r="54">
      <x:c r="B54" s="1" t="s">
        <x:v>150</x:v>
      </x:c>
      <x:c r="C54" s="13" t="n">
        <x:f>C37-(D37-Inputs!N94)</x:f>
        <x:v>0</x:v>
      </x:c>
      <x:c r="D54" s="8"/>
      <x:c r="E54" s="8"/>
      <x:c r="F54" s="8"/>
      <x:c r="G54" s="8"/>
      <x:c r="H54" s="8"/>
      <x:c r="I54" s="1"/>
      <x:c r="J54" s="1"/>
      <x:c r="K54" s="1"/>
      <x:c r="L54" s="1"/>
    </x:row>
    <x:row r="55">
      <x:c r="B55" s="1" t="s">
        <x:v>151</x:v>
      </x:c>
      <x:c r="C55" s="8"/>
      <x:c r="D55" s="8"/>
      <x:c r="E55" s="8" t="n">
        <x:f>E20-C20</x:f>
        <x:v>741</x:v>
      </x:c>
      <x:c r="F55" s="8" t="n">
        <x:f>F20-E20</x:f>
        <x:v>2465</x:v>
      </x:c>
      <x:c r="G55" s="8" t="n">
        <x:f>G20-F20</x:f>
        <x:v>6020</x:v>
      </x:c>
      <x:c r="H55" s="19" t="n">
        <x:f>H20-G20</x:f>
        <x:v>3524.11200076923</x:v>
      </x:c>
      <x:c r="I55" s="1"/>
      <x:c r="J55" s="1"/>
      <x:c r="K55" s="1"/>
      <x:c r="L55" s="1"/>
    </x:row>
    <x:row r="56">
      <x:c r="B56" s="1" t="s">
        <x:v>152</x:v>
      </x:c>
      <x:c r="C56" s="8"/>
      <x:c r="D56" s="8"/>
      <x:c r="E56" s="8" t="n">
        <x:f>(E23-C23)*10000</x:f>
        <x:v>-141.97585426675818</x:v>
      </x:c>
      <x:c r="F56" s="8" t="n">
        <x:f>(F23-E23)*10000</x:f>
        <x:v>-625.3535629145534</x:v>
      </x:c>
      <x:c r="G56" s="8" t="n">
        <x:f>(G23-F23)*10000</x:f>
        <x:v>73.6578727123971</x:v>
      </x:c>
      <x:c r="H56" s="19" t="n">
        <x:f>(H23-G23)*10000</x:f>
        <x:v>37.786521261780614</x:v>
      </x:c>
      <x:c r="I56" s="1"/>
      <x:c r="J56" s="1"/>
      <x:c r="K56" s="1"/>
      <x:c r="L56" s="1"/>
    </x:row>
    <x:row r="57">
      <x:c r="B57" s="1" t="s">
        <x:v>153</x:v>
      </x:c>
      <x:c r="C57" s="8"/>
      <x:c r="D57" s="8"/>
      <x:c r="E57" s="8"/>
      <x:c r="F57" s="8"/>
      <x:c r="G57" s="8"/>
      <x:c r="H57" s="19" t="n">
        <x:f>H20-C20</x:f>
        <x:v>12750.11200076923</x:v>
      </x:c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154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106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107</x:v>
      </x:c>
      <x:c r="C10" s="8"/>
      <x:c r="D10" s="8"/>
      <x:c r="E10" s="8" t="n">
        <x:f>C20</x:f>
        <x:v>1577</x:v>
      </x:c>
      <x:c r="F10" s="8" t="n">
        <x:f>E20</x:f>
        <x:v>2379</x:v>
      </x:c>
      <x:c r="G10" s="8" t="n">
        <x:f>F20</x:f>
        <x:v>5687</x:v>
      </x:c>
      <x:c r="H10" s="19" t="n">
        <x:f>G20</x:f>
        <x:v>11524</x:v>
      </x:c>
      <x:c r="I10" s="1"/>
      <x:c r="J10" s="1"/>
      <x:c r="K10" s="1"/>
      <x:c r="L10" s="1"/>
    </x:row>
    <x:row r="11">
      <x:c r="B11" s="1" t="s">
        <x:v>108</x:v>
      </x:c>
      <x:c r="C11" s="8"/>
      <x:c r="D11" s="8"/>
      <x:c r="E11" s="8"/>
      <x:c r="F11" s="8"/>
      <x:c r="G11" s="8"/>
      <x:c r="H11" s="19" t="n">
        <x:f>H10/G7</x:f>
        <x:v>126.63736263736264</x:v>
      </x:c>
      <x:c r="I11" s="1"/>
      <x:c r="J11" s="1"/>
      <x:c r="K11" s="1"/>
      <x:c r="L11" s="1"/>
    </x:row>
    <x:row r="12">
      <x:c r="B12" s="1" t="s">
        <x:v>109</x:v>
      </x:c>
      <x:c r="C12" s="8"/>
      <x:c r="D12" s="8"/>
      <x:c r="E12" s="8"/>
      <x:c r="F12" s="8"/>
      <x:c r="G12" s="8"/>
      <x:c r="H12" s="19" t="n">
        <x:f>H7</x:f>
        <x:v>98</x:v>
      </x:c>
      <x:c r="I12" s="1"/>
      <x:c r="J12" s="1"/>
      <x:c r="K12" s="1"/>
      <x:c r="L12" s="1"/>
    </x:row>
    <x:row r="13">
      <x:c r="B13" s="1" t="s">
        <x:v>110</x:v>
      </x:c>
      <x:c r="C13" s="5"/>
      <x:c r="D13" s="5"/>
      <x:c r="E13" s="5"/>
      <x:c r="F13" s="5"/>
      <x:c r="G13" s="5"/>
      <x:c r="H13" s="20" t="n">
        <x:f>Inputs!L12</x:f>
        <x:v>0.005</x:v>
      </x:c>
      <x:c r="I13" s="1"/>
      <x:c r="J13" s="1"/>
      <x:c r="K13" s="1"/>
      <x:c r="L13" s="1"/>
    </x:row>
    <x:row r="14">
      <x:c r="B14" s="1" t="s">
        <x:v>111</x:v>
      </x:c>
      <x:c r="C14" s="8"/>
      <x:c r="D14" s="8"/>
      <x:c r="E14" s="8"/>
      <x:c r="F14" s="8"/>
      <x:c r="G14" s="8"/>
      <x:c r="H14" s="19" t="n">
        <x:f>H13*10000</x:f>
        <x:v>50</x:v>
      </x:c>
      <x:c r="I14" s="1"/>
      <x:c r="J14" s="1"/>
      <x:c r="K14" s="1"/>
      <x:c r="L14" s="1"/>
    </x:row>
    <x:row r="15">
      <x:c r="B15" s="1" t="s">
        <x:v>112</x:v>
      </x:c>
      <x:c r="C15" s="5"/>
      <x:c r="D15" s="5"/>
      <x:c r="E15" s="5"/>
      <x:c r="F15" s="5"/>
      <x:c r="G15" s="5"/>
      <x:c r="H15" s="20" t="n">
        <x:f>Inputs!L13</x:f>
        <x:v>0.157</x:v>
      </x:c>
      <x:c r="I15" s="1"/>
      <x:c r="J15" s="1"/>
      <x:c r="K15" s="1"/>
      <x:c r="L15" s="1"/>
    </x:row>
    <x:row r="16">
      <x:c r="B16" s="1" t="s">
        <x:v>113</x:v>
      </x:c>
      <x:c r="C16" s="8"/>
      <x:c r="D16" s="8"/>
      <x:c r="E16" s="8"/>
      <x:c r="F16" s="8"/>
      <x:c r="G16" s="8"/>
      <x:c r="H16" s="19" t="n">
        <x:f>H15*10000</x:f>
        <x:v>1570</x:v>
      </x:c>
      <x:c r="I16" s="1"/>
      <x:c r="J16" s="1"/>
      <x:c r="K16" s="1"/>
      <x:c r="L16" s="1"/>
    </x:row>
    <x:row r="17">
      <x:c r="B17" s="1" t="s">
        <x:v>114</x:v>
      </x:c>
      <x:c r="C17" s="8"/>
      <x:c r="D17" s="8"/>
      <x:c r="E17" s="8"/>
      <x:c r="F17" s="8"/>
      <x:c r="G17" s="8"/>
      <x:c r="H17" s="19" t="n">
        <x:f>H11*H12</x:f>
        <x:v>12410.461538461539</x:v>
      </x:c>
      <x:c r="I17" s="1"/>
      <x:c r="J17" s="1"/>
      <x:c r="K17" s="1"/>
      <x:c r="L17" s="1"/>
    </x:row>
    <x:row r="18">
      <x:c r="B18" s="1" t="s">
        <x:v>115</x:v>
      </x:c>
      <x:c r="C18" s="8"/>
      <x:c r="D18" s="8"/>
      <x:c r="E18" s="8"/>
      <x:c r="F18" s="8"/>
      <x:c r="G18" s="8"/>
      <x:c r="H18" s="19" t="n">
        <x:f>H17*(H47/H43-1)</x:f>
        <x:v>62.05230769230637</x:v>
      </x:c>
      <x:c r="I18" s="1"/>
      <x:c r="J18" s="1"/>
      <x:c r="K18" s="1"/>
      <x:c r="L18" s="1"/>
    </x:row>
    <x:row r="19">
      <x:c r="B19" s="1" t="s">
        <x:v>116</x:v>
      </x:c>
      <x:c r="C19" s="8"/>
      <x:c r="D19" s="8"/>
      <x:c r="E19" s="8"/>
      <x:c r="F19" s="8"/>
      <x:c r="G19" s="8"/>
      <x:c r="H19" s="19" t="n">
        <x:f>(H17+H18)*(H51-1)</x:f>
        <x:v>1958.1846738461538</x:v>
      </x:c>
      <x:c r="I19" s="1"/>
      <x:c r="J19" s="1"/>
      <x:c r="K19" s="1"/>
      <x:c r="L19" s="1"/>
    </x:row>
    <x:row r="20">
      <x:c r="B20" s="1" t="s">
        <x:v>117</x:v>
      </x:c>
      <x:c r="C20" s="22">
        <x:v>1577</x:v>
      </x:c>
      <x:c r="D20" s="22">
        <x:v>7229</x:v>
      </x:c>
      <x:c r="E20" s="22">
        <x:v>2379</x:v>
      </x:c>
      <x:c r="F20" s="22">
        <x:v>5687</x:v>
      </x:c>
      <x:c r="G20" s="22">
        <x:v>11524</x:v>
      </x:c>
      <x:c r="H20" s="9" t="n">
        <x:f>SUM(H17:H19)</x:f>
        <x:v>14430.698519999998</x:v>
      </x:c>
      <x:c r="I20" s="1"/>
      <x:c r="J20" s="1"/>
      <x:c r="K20" s="1"/>
      <x:c r="L20" s="1"/>
    </x:row>
    <x:row r="21">
      <x:c r="B21" s="1" t="s">
        <x:v>118</x:v>
      </x:c>
      <x:c r="C21" s="17" t="n">
        <x:f>IFERROR(C20/Inputs!R85-1,0)</x:f>
        <x:v>-0.22998046875</x:v>
      </x:c>
      <x:c r="D21" s="17" t="n">
        <x:f>IFERROR(D20/Inputs!R84-1,0)</x:f>
        <x:v>0.4504414125200642</x:v>
      </x:c>
      <x:c r="E21" s="17" t="n">
        <x:f>IFERROR(E20/Inputs!R81-1,0)</x:f>
        <x:v>0.03795811518324599</x:v>
      </x:c>
      <x:c r="F21" s="17" t="n">
        <x:f>IFERROR(F20/Inputs!R82-1,0)</x:f>
        <x:v>2.107650273224044</x:v>
      </x:c>
      <x:c r="G21" s="17" t="n">
        <x:f>IFERROR(G20/Inputs!R83-1,0)</x:f>
        <x:v>6.53202614379085</x:v>
      </x:c>
      <x:c r="H21" s="21" t="n">
        <x:f>H20/C20-1</x:f>
        <x:v>8.150728294229548</x:v>
      </x:c>
      <x:c r="I21" s="1"/>
      <x:c r="J21" s="1"/>
      <x:c r="K21" s="1"/>
      <x:c r="L21" s="1"/>
    </x:row>
    <x:row r="22">
      <x:c r="B22" s="1" t="s">
        <x:v>119</x:v>
      </x:c>
      <x:c r="C22" s="5"/>
      <x:c r="D22" s="5"/>
      <x:c r="E22" s="5" t="n">
        <x:f>IFERROR(E20/C20-1,0)</x:f>
        <x:v>0.50856055802156</x:v>
      </x:c>
      <x:c r="F22" s="5" t="n">
        <x:f>IFERROR(F20/E20-1,0)</x:f>
        <x:v>1.3905002101723412</x:v>
      </x:c>
      <x:c r="G22" s="5" t="n">
        <x:f>IFERROR(G20/F20-1,0)</x:f>
        <x:v>1.0263759451380343</x:v>
      </x:c>
      <x:c r="H22" s="21" t="n">
        <x:f>H20/G20-1</x:f>
        <x:v>0.25222999999999973</x:v>
      </x:c>
      <x:c r="I22" s="1"/>
      <x:c r="J22" s="1"/>
      <x:c r="K22" s="1"/>
      <x:c r="L22" s="1"/>
    </x:row>
    <x:row r="23">
      <x:c r="B23" s="1" t="s">
        <x:v>120</x:v>
      </x:c>
      <x:c r="C23" s="17" t="n">
        <x:f>IFERROR(C20/'Revenue summary'!C53,0)</x:f>
        <x:v>0.13937251436146708</x:v>
      </x:c>
      <x:c r="D23" s="17" t="n">
        <x:f>IFERROR(D20/'Revenue summary'!D53,0)</x:f>
        <x:v>0.1934025362512708</x:v>
      </x:c>
      <x:c r="E23" s="17" t="n">
        <x:f>IFERROR(E20/'Revenue summary'!E53,0)</x:f>
        <x:v>0.1743751374331159</x:v>
      </x:c>
      <x:c r="F23" s="17" t="n">
        <x:f>IFERROR(F20/'Revenue summary'!F53,0)</x:f>
        <x:v>0.23834870075440068</x:v>
      </x:c>
      <x:c r="G23" s="17" t="n">
        <x:f>IFERROR(G20/'Revenue summary'!G53,0)</x:f>
        <x:v>0.27798147433423387</x:v>
      </x:c>
      <x:c r="H23" s="20" t="n">
        <x:f>IFERROR(H20/'Revenue summary'!H53,0)</x:f>
        <x:v>0.2803123361831075</x:v>
      </x:c>
      <x:c r="I23" s="1"/>
      <x:c r="J23" s="1"/>
      <x:c r="K23" s="1"/>
      <x:c r="L23" s="1"/>
    </x:row>
    <x:row r="24">
      <x:c r="B24" s="1" t="s">
        <x:v>121</x:v>
      </x:c>
      <x:c r="C24" s="5" t="n">
        <x:f>(1+C27)/((1+C25)*(1+C26))-1</x:f>
        <x:v>-0.22998046875</x:v>
      </x:c>
      <x:c r="D24" s="5" t="n">
        <x:f>(1+D27)/((1+D25)*(1+D26))-1</x:f>
        <x:v>0.4504414125200642</x:v>
      </x:c>
      <x:c r="E24" s="5" t="n">
        <x:f>(1+E27)/((1+E25)*(1+E26))-1</x:f>
        <x:v>0.03795811518324599</x:v>
      </x:c>
      <x:c r="F24" s="5" t="n">
        <x:f>(1+F27)/((1+F25)*(1+F26))-1</x:f>
        <x:v>2.107650273224044</x:v>
      </x:c>
      <x:c r="G24" s="5" t="n">
        <x:f>(1+G27)/((1+G25)*(1+G26))-1</x:f>
        <x:v>6.53202614379085</x:v>
      </x:c>
      <x:c r="H24" s="21" t="n">
        <x:f>(1+H21)/((1+H25)*(1+H26))-1</x:f>
        <x:v>8.150728294229548</x:v>
      </x:c>
      <x:c r="I24" s="1"/>
      <x:c r="J24" s="1"/>
      <x:c r="K24" s="1"/>
      <x:c r="L24" s="1"/>
    </x:row>
    <x:row r="25">
      <x:c r="B25" s="1" t="s">
        <x:v>122</x:v>
      </x:c>
      <x:c r="C25" s="17" t="n">
        <x:f>Inputs!L48</x:f>
        <x:v>0</x:v>
      </x:c>
      <x:c r="D25" s="17" t="n">
        <x:f>Inputs!L48</x:f>
        <x:v>0</x:v>
      </x:c>
      <x:c r="E25" s="17" t="n">
        <x:f>Inputs!L48</x:f>
        <x:v>0</x:v>
      </x:c>
      <x:c r="F25" s="17" t="n">
        <x:f>Inputs!L48</x:f>
        <x:v>0</x:v>
      </x:c>
      <x:c r="G25" s="17" t="n">
        <x:f>Inputs!L48</x:f>
        <x:v>0</x:v>
      </x:c>
      <x:c r="H25" s="20" t="n">
        <x:f>Inputs!L48</x:f>
        <x:v>0</x:v>
      </x:c>
      <x:c r="I25" s="1"/>
      <x:c r="J25" s="1"/>
      <x:c r="K25" s="1"/>
      <x:c r="L25" s="1"/>
    </x:row>
    <x:row r="26">
      <x:c r="B26" s="1" t="s">
        <x:v>84</x:v>
      </x:c>
      <x:c r="C26" s="17" t="n">
        <x:f>Inputs!L49</x:f>
        <x:v>0</x:v>
      </x:c>
      <x:c r="D26" s="17" t="n">
        <x:f>Inputs!L49</x:f>
        <x:v>0</x:v>
      </x:c>
      <x:c r="E26" s="17" t="n">
        <x:f>Inputs!L49</x:f>
        <x:v>0</x:v>
      </x:c>
      <x:c r="F26" s="17" t="n">
        <x:f>Inputs!L49</x:f>
        <x:v>0</x:v>
      </x:c>
      <x:c r="G26" s="17" t="n">
        <x:f>Inputs!L49</x:f>
        <x:v>0</x:v>
      </x:c>
      <x:c r="H26" s="20" t="n">
        <x:f>Inputs!L49</x:f>
        <x:v>0</x:v>
      </x:c>
      <x:c r="I26" s="1"/>
      <x:c r="J26" s="1"/>
      <x:c r="K26" s="1"/>
      <x:c r="L26" s="1"/>
    </x:row>
    <x:row r="27">
      <x:c r="B27" s="1" t="s">
        <x:v>123</x:v>
      </x:c>
      <x:c r="C27" s="5" t="n">
        <x:f>C21</x:f>
        <x:v>-0.22998046875</x:v>
      </x:c>
      <x:c r="D27" s="5" t="n">
        <x:f>D21</x:f>
        <x:v>0.4504414125200642</x:v>
      </x:c>
      <x:c r="E27" s="5" t="n">
        <x:f>E21</x:f>
        <x:v>0.03795811518324599</x:v>
      </x:c>
      <x:c r="F27" s="5" t="n">
        <x:f>F21</x:f>
        <x:v>2.107650273224044</x:v>
      </x:c>
      <x:c r="G27" s="5" t="n">
        <x:f>G21</x:f>
        <x:v>6.53202614379085</x:v>
      </x:c>
      <x:c r="H27" s="21" t="n">
        <x:f>H21</x:f>
        <x:v>8.150728294229548</x:v>
      </x:c>
      <x:c r="I27" s="1"/>
      <x:c r="J27" s="1"/>
      <x:c r="K27" s="1"/>
      <x:c r="L27" s="1"/>
    </x:row>
    <x:row r="28">
      <x:c r="B28" s="1"/>
      <x:c r="C28" s="16"/>
      <x:c r="D28" s="16"/>
      <x:c r="E28" s="16"/>
      <x:c r="F28" s="16"/>
      <x:c r="G28" s="16"/>
      <x:c r="H28" s="27"/>
      <x:c r="I28" s="1"/>
      <x:c r="J28" s="1"/>
      <x:c r="K28" s="1"/>
      <x:c r="L28" s="1"/>
    </x:row>
    <x:row r="29">
      <x:c r="B29" s="1" t="s">
        <x:v>124</x:v>
      </x:c>
      <x:c r="C29" s="8"/>
      <x:c r="D29" s="8"/>
      <x:c r="E29" s="8"/>
      <x:c r="F29" s="8"/>
      <x:c r="G29" s="8"/>
      <x:c r="H29" s="19"/>
      <x:c r="I29" s="1"/>
      <x:c r="J29" s="1"/>
      <x:c r="K29" s="1"/>
      <x:c r="L29" s="1"/>
    </x:row>
    <x:row r="30">
      <x:c r="B30" s="1" t="s">
        <x:v>125</x:v>
      </x:c>
      <x:c r="C30" s="13" t="n">
        <x:f>D30-Inputs!O90</x:f>
        <x:v>923</x:v>
      </x:c>
      <x:c r="D30" s="4">
        <x:v>3995</x:v>
      </x:c>
      <x:c r="E30" s="4">
        <x:v>1157</x:v>
      </x:c>
      <x:c r="F30" s="4">
        <x:v>1461</x:v>
      </x:c>
      <x:c r="G30" s="4">
        <x:v>1537</x:v>
      </x:c>
      <x:c r="H30" s="6" t="n">
        <x:f>H20*(1-Inputs!L51)</x:f>
        <x:v>1659.5303297999997</x:v>
      </x:c>
      <x:c r="I30" s="1"/>
      <x:c r="J30" s="1"/>
      <x:c r="K30" s="1"/>
      <x:c r="L30" s="1"/>
    </x:row>
    <x:row r="31">
      <x:c r="B31" s="1" t="s">
        <x:v>126</x:v>
      </x:c>
      <x:c r="C31" s="12" t="n">
        <x:f>C20-C30</x:f>
        <x:v>654</x:v>
      </x:c>
      <x:c r="D31" s="12" t="n">
        <x:f>D20-D30</x:f>
        <x:v>3234</x:v>
      </x:c>
      <x:c r="E31" s="12" t="n">
        <x:f>E20-E30</x:f>
        <x:v>1222</x:v>
      </x:c>
      <x:c r="F31" s="12" t="n">
        <x:f>F20-F30</x:f>
        <x:v>4226</x:v>
      </x:c>
      <x:c r="G31" s="12" t="n">
        <x:f>G20-G30</x:f>
        <x:v>9987</x:v>
      </x:c>
      <x:c r="H31" s="24" t="n">
        <x:f>H20-H30</x:f>
        <x:v>12771.168190199998</x:v>
      </x:c>
      <x:c r="I31" s="1"/>
      <x:c r="J31" s="1"/>
      <x:c r="K31" s="1"/>
      <x:c r="L31" s="1"/>
    </x:row>
    <x:row r="32">
      <x:c r="B32" s="1" t="s">
        <x:v>127</x:v>
      </x:c>
      <x:c r="C32" s="5" t="n">
        <x:f>C31/C20</x:f>
        <x:v>0.41471147748890297</x:v>
      </x:c>
      <x:c r="D32" s="5" t="n">
        <x:f>IFERROR(D31/D20,0)</x:f>
        <x:v>0.44736478074422464</x:v>
      </x:c>
      <x:c r="E32" s="5" t="n">
        <x:f>IFERROR(E31/E20,0)</x:f>
        <x:v>0.5136612021857924</x:v>
      </x:c>
      <x:c r="F32" s="5" t="n">
        <x:f>IFERROR(F31/F20,0)</x:f>
        <x:v>0.7430982943555478</x:v>
      </x:c>
      <x:c r="G32" s="5" t="n">
        <x:f>IFERROR(G31/G20,0)</x:f>
        <x:v>0.8666261714682402</x:v>
      </x:c>
      <x:c r="H32" s="21" t="n">
        <x:f>H31/H20</x:f>
        <x:v>0.885</x:v>
      </x:c>
      <x:c r="I32" s="1"/>
      <x:c r="J32" s="1"/>
      <x:c r="K32" s="1"/>
      <x:c r="L32" s="1"/>
    </x:row>
    <x:row r="33">
      <x:c r="B33" s="1" t="s">
        <x:v>128</x:v>
      </x:c>
      <x:c r="C33" s="8"/>
      <x:c r="D33" s="8"/>
      <x:c r="E33" s="8" t="n">
        <x:f>(E32-C32)*10000</x:f>
        <x:v>989.4972469688939</x:v>
      </x:c>
      <x:c r="F33" s="8" t="n">
        <x:f>(F32-E32)*10000</x:f>
        <x:v>2294.370921697554</x:v>
      </x:c>
      <x:c r="G33" s="8" t="n">
        <x:f>(G32-F32)*10000</x:f>
        <x:v>1235.278771126924</x:v>
      </x:c>
      <x:c r="H33" s="19" t="n">
        <x:f>(H32-G32)*10000</x:f>
        <x:v>183.73828531759838</x:v>
      </x:c>
      <x:c r="I33" s="1"/>
      <x:c r="J33" s="1"/>
      <x:c r="K33" s="1"/>
      <x:c r="L33" s="1"/>
    </x:row>
    <x:row r="34">
      <x:c r="B34" s="1" t="s">
        <x:v>129</x:v>
      </x:c>
      <x:c r="C34" s="13" t="n">
        <x:f>D34-Inputs!O91</x:f>
        <x:v>220</x:v>
      </x:c>
      <x:c r="D34" s="4">
        <x:v>864</x:v>
      </x:c>
      <x:c r="E34" s="4">
        <x:v>291</x:v>
      </x:c>
      <x:c r="F34" s="4">
        <x:v>358</x:v>
      </x:c>
      <x:c r="G34" s="4">
        <x:v>391</x:v>
      </x:c>
      <x:c r="H34" s="19" t="n">
        <x:f>G34*H7/G7</x:f>
        <x:v>421.0769230769231</x:v>
      </x:c>
      <x:c r="I34" s="1"/>
      <x:c r="J34" s="1"/>
      <x:c r="K34" s="1"/>
      <x:c r="L34" s="1"/>
    </x:row>
    <x:row r="35">
      <x:c r="B35" s="1" t="s">
        <x:v>130</x:v>
      </x:c>
      <x:c r="C35" s="13" t="n">
        <x:f>D35-Inputs!O92</x:f>
        <x:v>41</x:v>
      </x:c>
      <x:c r="D35" s="4">
        <x:v>188</x:v>
      </x:c>
      <x:c r="E35" s="4">
        <x:v>41</x:v>
      </x:c>
      <x:c r="F35" s="4">
        <x:v>57</x:v>
      </x:c>
      <x:c r="G35" s="4">
        <x:v>79</x:v>
      </x:c>
      <x:c r="H35" s="19" t="n">
        <x:f>G35*H7/G7</x:f>
        <x:v>85.07692307692308</x:v>
      </x:c>
      <x:c r="I35" s="1"/>
      <x:c r="J35" s="1"/>
      <x:c r="K35" s="1"/>
      <x:c r="L35" s="1"/>
    </x:row>
    <x:row r="36">
      <x:c r="B36" s="1" t="s">
        <x:v>131</x:v>
      </x:c>
      <x:c r="C36" s="13" t="n">
        <x:f>D36-Inputs!O93</x:f>
        <x:v>2</x:v>
      </x:c>
      <x:c r="D36" s="4">
        <x:v>2</x:v>
      </x:c>
      <x:c r="E36" s="4">
        <x:v>0</x:v>
      </x:c>
      <x:c r="F36" s="4">
        <x:v>2</x:v>
      </x:c>
      <x:c r="G36" s="4">
        <x:v>-2</x:v>
      </x:c>
      <x:c r="H36" s="19" t="n">
        <x:f>G36</x:f>
        <x:v>-2</x:v>
      </x:c>
      <x:c r="I36" s="1"/>
      <x:c r="J36" s="1"/>
      <x:c r="K36" s="1"/>
      <x:c r="L36" s="1"/>
    </x:row>
    <x:row r="37">
      <x:c r="B37" s="1" t="s">
        <x:v>132</x:v>
      </x:c>
      <x:c r="C37" s="7" t="n">
        <x:f>C31-SUM(C34:C36)</x:f>
        <x:v>391</x:v>
      </x:c>
      <x:c r="D37" s="7" t="n">
        <x:f>D31-SUM(D34:D36)</x:f>
        <x:v>2180</x:v>
      </x:c>
      <x:c r="E37" s="7" t="n">
        <x:f>E31-SUM(E34:E36)</x:f>
        <x:v>890</x:v>
      </x:c>
      <x:c r="F37" s="7" t="n">
        <x:f>F31-SUM(F34:F36)</x:f>
        <x:v>3809</x:v>
      </x:c>
      <x:c r="G37" s="7" t="n">
        <x:f>G31-SUM(G34:G36)</x:f>
        <x:v>9519</x:v>
      </x:c>
      <x:c r="H37" s="9" t="n">
        <x:f>H31-SUM(H34:H36)</x:f>
        <x:v>12267.014344046152</x:v>
      </x:c>
      <x:c r="I37" s="1"/>
      <x:c r="J37" s="1"/>
      <x:c r="K37" s="1"/>
      <x:c r="L37" s="1"/>
    </x:row>
    <x:row r="38">
      <x:c r="B38" s="1" t="s">
        <x:v>133</x:v>
      </x:c>
      <x:c r="C38" s="5" t="n">
        <x:f>C37/C20</x:f>
        <x:v>0.24793912492073558</x:v>
      </x:c>
      <x:c r="D38" s="5" t="n">
        <x:f>IFERROR(D37/D20,0)</x:f>
        <x:v>0.301563148429935</x:v>
      </x:c>
      <x:c r="E38" s="5" t="n">
        <x:f>IFERROR(E37/E20,0)</x:f>
        <x:v>0.3741067675493905</x:v>
      </x:c>
      <x:c r="F38" s="5" t="n">
        <x:f>IFERROR(F37/F20,0)</x:f>
        <x:v>0.6697731668718129</x:v>
      </x:c>
      <x:c r="G38" s="5" t="n">
        <x:f>IFERROR(G37/G20,0)</x:f>
        <x:v>0.8260152724748351</x:v>
      </x:c>
      <x:c r="H38" s="21" t="n">
        <x:f>H37/H20</x:f>
        <x:v>0.8500637946974554</x:v>
      </x:c>
      <x:c r="I38" s="1"/>
      <x:c r="J38" s="1"/>
      <x:c r="K38" s="1"/>
      <x:c r="L38" s="1"/>
    </x:row>
    <x:row r="39">
      <x:c r="B39" s="1" t="s">
        <x:v>134</x:v>
      </x:c>
      <x:c r="C39" s="8"/>
      <x:c r="D39" s="8"/>
      <x:c r="E39" s="8" t="n">
        <x:f>(E38-C38)*10000</x:f>
        <x:v>1261.676426286549</x:v>
      </x:c>
      <x:c r="F39" s="8" t="n">
        <x:f>(F38-E38)*10000</x:f>
        <x:v>2956.6639932242238</x:v>
      </x:c>
      <x:c r="G39" s="8" t="n">
        <x:f>(G38-F38)*10000</x:f>
        <x:v>1562.4210560302222</x:v>
      </x:c>
      <x:c r="H39" s="19" t="n">
        <x:f>(H38-G38)*10000</x:f>
        <x:v>240.4852222262033</x:v>
      </x:c>
      <x:c r="I39" s="1"/>
      <x:c r="J39" s="1"/>
      <x:c r="K39" s="1"/>
      <x:c r="L39" s="1"/>
    </x:row>
    <x:row r="40">
      <x:c r="B40" s="1" t="s">
        <x:v>135</x:v>
      </x:c>
      <x:c r="C40" s="5"/>
      <x:c r="D40" s="17" t="n">
        <x:f>IFERROR(D37/Inputs!X84-1,0)</x:f>
        <x:v>7.549019607843137</x:v>
      </x:c>
      <x:c r="E40" s="17" t="n">
        <x:f>IFERROR(E37/Inputs!X81-1,0)</x:f>
        <x:v>0.021814006888633664</x:v>
      </x:c>
      <x:c r="F40" s="17" t="n">
        <x:f>IFERROR(F37/Inputs!X82-1,0)</x:f>
        <x:v>5.23404255319149</x:v>
      </x:c>
      <x:c r="G40" s="17" t="n">
        <x:f>IFERROR(G37/Inputs!X83-1,0)</x:f>
        <x:v>30.006514657980457</x:v>
      </x:c>
      <x:c r="H40" s="21" t="n">
        <x:f>H37/C37-1</x:f>
        <x:v>30.373438220066888</x:v>
      </x:c>
      <x:c r="I40" s="1"/>
      <x:c r="J40" s="1"/>
      <x:c r="K40" s="1"/>
      <x:c r="L40" s="1"/>
    </x:row>
    <x:row r="41">
      <x:c r="B41" s="1" t="s">
        <x:v>136</x:v>
      </x:c>
      <x:c r="C41" s="8"/>
      <x:c r="D41" s="8"/>
      <x:c r="E41" s="8" t="n">
        <x:f>E37-C37</x:f>
        <x:v>499</x:v>
      </x:c>
      <x:c r="F41" s="8" t="n">
        <x:f>F37-E37</x:f>
        <x:v>2919</x:v>
      </x:c>
      <x:c r="G41" s="8" t="n">
        <x:f>G37-F37</x:f>
        <x:v>5710</x:v>
      </x:c>
      <x:c r="H41" s="19" t="n">
        <x:f>H37-G37</x:f>
        <x:v>2748.0143440461525</x:v>
      </x:c>
      <x:c r="I41" s="1"/>
      <x:c r="J41" s="1"/>
      <x:c r="K41" s="1"/>
      <x:c r="L41" s="1"/>
    </x:row>
    <x:row r="42">
      <x:c r="B42" s="1" t="s">
        <x:v>137</x:v>
      </x:c>
      <x:c r="C42" s="1"/>
      <x:c r="D42" s="1"/>
      <x:c r="E42" s="1"/>
      <x:c r="F42" s="1"/>
      <x:c r="G42" s="1"/>
      <x:c r="H42" s="11"/>
      <x:c r="I42" s="1"/>
      <x:c r="J42" s="1" t="s">
        <x:v>138</x:v>
      </x:c>
      <x:c r="K42" s="1"/>
      <x:c r="L42" s="1"/>
    </x:row>
    <x:row r="43">
      <x:c r="B43" s="1" t="s">
        <x:v>139</x:v>
      </x:c>
      <x:c r="C43" s="1"/>
      <x:c r="D43" s="1"/>
      <x:c r="E43" s="1"/>
      <x:c r="F43" s="1"/>
      <x:c r="G43" s="1"/>
      <x:c r="H43" s="11" t="n">
        <x:f>G47</x:f>
        <x:v>1</x:v>
      </x:c>
      <x:c r="I43" s="1"/>
      <x:c r="J43" s="1"/>
      <x:c r="K43" s="1"/>
      <x:c r="L43" s="1"/>
    </x:row>
    <x:row r="44">
      <x:c r="B44" s="1" t="s">
        <x:v>140</x:v>
      </x:c>
      <x:c r="C44" s="1"/>
      <x:c r="D44" s="1"/>
      <x:c r="E44" s="1"/>
      <x:c r="F44" s="1"/>
      <x:c r="G44" s="1"/>
      <x:c r="H44" s="11" t="n">
        <x:f>MAX(H43*H13,0)</x:f>
        <x:v>0.005</x:v>
      </x:c>
      <x:c r="I44" s="1"/>
      <x:c r="J44" s="1"/>
      <x:c r="K44" s="1"/>
      <x:c r="L44" s="1"/>
    </x:row>
    <x:row r="45">
      <x:c r="B45" s="1" t="s">
        <x:v>141</x:v>
      </x:c>
      <x:c r="C45" s="1"/>
      <x:c r="D45" s="1"/>
      <x:c r="E45" s="1"/>
      <x:c r="F45" s="1"/>
      <x:c r="G45" s="1"/>
      <x:c r="H45" s="11" t="n">
        <x:f>MIN(H43*H13,0)</x:f>
        <x:v>0</x:v>
      </x:c>
      <x:c r="I45" s="1"/>
      <x:c r="J45" s="1"/>
      <x:c r="K45" s="1"/>
      <x:c r="L45" s="1"/>
    </x:row>
    <x:row r="46">
      <x:c r="B46" s="1" t="s">
        <x:v>142</x:v>
      </x:c>
      <x:c r="C46" s="1"/>
      <x:c r="D46" s="1"/>
      <x:c r="E46" s="1"/>
      <x:c r="F46" s="1"/>
      <x:c r="G46" s="1"/>
      <x:c r="H46" s="11" t="n">
        <x:f>SUM(H44:H45)</x:f>
        <x:v>0.005</x:v>
      </x:c>
      <x:c r="I46" s="1"/>
      <x:c r="J46" s="1"/>
      <x:c r="K46" s="1"/>
      <x:c r="L46" s="1"/>
    </x:row>
    <x:row r="47">
      <x:c r="B47" s="1" t="s">
        <x:v>143</x:v>
      </x:c>
      <x:c r="C47" s="1"/>
      <x:c r="D47" s="1"/>
      <x:c r="E47" s="1"/>
      <x:c r="F47" s="1"/>
      <x:c r="G47" s="23" t="n">
        <x:f>Inputs!L64</x:f>
        <x:v>1</x:v>
      </x:c>
      <x:c r="H47" s="34" t="n">
        <x:f>H43+H46</x:f>
        <x:v>1.005</x:v>
      </x:c>
      <x:c r="I47" s="1"/>
      <x:c r="J47" s="1"/>
      <x:c r="K47" s="1"/>
      <x:c r="L47" s="1"/>
    </x:row>
    <x:row r="48">
      <x:c r="B48" s="1" t="s">
        <x:v>144</x:v>
      </x:c>
      <x:c r="C48" s="1"/>
      <x:c r="D48" s="1"/>
      <x:c r="E48" s="1"/>
      <x:c r="F48" s="1"/>
      <x:c r="G48" s="1"/>
      <x:c r="H48" s="11" t="n">
        <x:f>AVERAGE(H43,H47)</x:f>
        <x:v>1.0025</x:v>
      </x:c>
      <x:c r="I48" s="1"/>
      <x:c r="J48" s="1"/>
      <x:c r="K48" s="1"/>
      <x:c r="L48" s="1"/>
    </x:row>
    <x:row r="49">
      <x:c r="B49" s="1" t="s">
        <x:v>145</x:v>
      </x:c>
      <x:c r="C49" s="1"/>
      <x:c r="D49" s="1"/>
      <x:c r="E49" s="1"/>
      <x:c r="F49" s="1"/>
      <x:c r="G49" s="1"/>
      <x:c r="H49" s="11" t="n">
        <x:f>H47-G47</x:f>
        <x:v>0.004999999999999893</x:v>
      </x:c>
      <x:c r="I49" s="1"/>
      <x:c r="J49" s="1"/>
      <x:c r="K49" s="1"/>
      <x:c r="L49" s="1"/>
    </x:row>
    <x:row r="50">
      <x:c r="B50" s="1" t="s">
        <x:v>146</x:v>
      </x:c>
      <x:c r="C50" s="1"/>
      <x:c r="D50" s="1"/>
      <x:c r="E50" s="1"/>
      <x:c r="F50" s="1"/>
      <x:c r="G50" s="1"/>
      <x:c r="H50" s="21" t="n">
        <x:f>H47/G47-1</x:f>
        <x:v>0.004999999999999893</x:v>
      </x:c>
      <x:c r="I50" s="1"/>
      <x:c r="J50" s="1"/>
      <x:c r="K50" s="1"/>
      <x:c r="L50" s="1"/>
    </x:row>
    <x:row r="51">
      <x:c r="B51" s="1" t="s">
        <x:v>147</x:v>
      </x:c>
      <x:c r="C51" s="1"/>
      <x:c r="D51" s="1"/>
      <x:c r="E51" s="1"/>
      <x:c r="F51" s="1"/>
      <x:c r="G51" s="47" t="n">
        <x:f>Inputs!L64</x:f>
        <x:v>1</x:v>
      </x:c>
      <x:c r="H51" s="45" t="n">
        <x:f>Inputs!L64*(1+H15)</x:f>
        <x:v>1.157</x:v>
      </x:c>
      <x:c r="I51" s="1"/>
      <x:c r="J51" s="1"/>
      <x:c r="K51" s="1"/>
      <x:c r="L51" s="1"/>
    </x:row>
    <x:row r="52">
      <x:c r="B52" s="1" t="s">
        <x:v>148</x:v>
      </x:c>
      <x:c r="C52" s="1"/>
      <x:c r="D52" s="1"/>
      <x:c r="E52" s="1"/>
      <x:c r="F52" s="1"/>
      <x:c r="G52" s="1"/>
      <x:c r="H52" s="21" t="n">
        <x:f>H51-G51</x:f>
        <x:v>0.15700000000000003</x:v>
      </x:c>
      <x:c r="I52" s="1"/>
      <x:c r="J52" s="1"/>
      <x:c r="K52" s="1"/>
      <x:c r="L52" s="1"/>
    </x:row>
    <x:row r="53">
      <x:c r="B53" s="1" t="s">
        <x:v>149</x:v>
      </x:c>
      <x:c r="C53" s="1"/>
      <x:c r="D53" s="1"/>
      <x:c r="E53" s="1"/>
      <x:c r="F53" s="1"/>
      <x:c r="G53" s="69" t="s">
        <x:v>44</x:v>
      </x:c>
      <x:c r="H53" s="72" t="s">
        <x:v>44</x:v>
      </x:c>
      <x:c r="I53" s="1"/>
      <x:c r="J53" s="1"/>
      <x:c r="K53" s="1"/>
      <x:c r="L53" s="1"/>
    </x:row>
    <x:row r="54">
      <x:c r="B54" s="1" t="s">
        <x:v>150</x:v>
      </x:c>
      <x:c r="C54" s="13" t="n">
        <x:f>C37-(D37-Inputs!O94)</x:f>
        <x:v>0</x:v>
      </x:c>
      <x:c r="D54" s="8"/>
      <x:c r="E54" s="8"/>
      <x:c r="F54" s="8"/>
      <x:c r="G54" s="8"/>
      <x:c r="H54" s="8"/>
      <x:c r="I54" s="1"/>
      <x:c r="J54" s="1"/>
      <x:c r="K54" s="1"/>
      <x:c r="L54" s="1"/>
    </x:row>
    <x:row r="55">
      <x:c r="B55" s="1" t="s">
        <x:v>151</x:v>
      </x:c>
      <x:c r="C55" s="8"/>
      <x:c r="D55" s="8"/>
      <x:c r="E55" s="8" t="n">
        <x:f>E20-C20</x:f>
        <x:v>802</x:v>
      </x:c>
      <x:c r="F55" s="8" t="n">
        <x:f>F20-E20</x:f>
        <x:v>3308</x:v>
      </x:c>
      <x:c r="G55" s="8" t="n">
        <x:f>G20-F20</x:f>
        <x:v>5837</x:v>
      </x:c>
      <x:c r="H55" s="19" t="n">
        <x:f>H20-G20</x:f>
        <x:v>2906.698519999998</x:v>
      </x:c>
      <x:c r="I55" s="1"/>
      <x:c r="J55" s="1"/>
      <x:c r="K55" s="1"/>
      <x:c r="L55" s="1"/>
    </x:row>
    <x:row r="56">
      <x:c r="B56" s="1" t="s">
        <x:v>152</x:v>
      </x:c>
      <x:c r="C56" s="8"/>
      <x:c r="D56" s="8"/>
      <x:c r="E56" s="8" t="n">
        <x:f>(E23-C23)*10000</x:f>
        <x:v>350.0262307164881</x:v>
      </x:c>
      <x:c r="F56" s="8" t="n">
        <x:f>(F23-E23)*10000</x:f>
        <x:v>639.7356332128479</x:v>
      </x:c>
      <x:c r="G56" s="8" t="n">
        <x:f>(G23-F23)*10000</x:f>
        <x:v>396.3277357983319</x:v>
      </x:c>
      <x:c r="H56" s="19" t="n">
        <x:f>(H23-G23)*10000</x:f>
        <x:v>23.308618488736556</x:v>
      </x:c>
      <x:c r="I56" s="1"/>
      <x:c r="J56" s="1"/>
      <x:c r="K56" s="1"/>
      <x:c r="L56" s="1"/>
    </x:row>
    <x:row r="57">
      <x:c r="B57" s="1" t="s">
        <x:v>153</x:v>
      </x:c>
      <x:c r="C57" s="8"/>
      <x:c r="D57" s="8"/>
      <x:c r="E57" s="8"/>
      <x:c r="F57" s="8"/>
      <x:c r="G57" s="8"/>
      <x:c r="H57" s="19" t="n">
        <x:f>H20-C20</x:f>
        <x:v>12853.698519999998</x:v>
      </x:c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155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106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107</x:v>
      </x:c>
      <x:c r="C10" s="8"/>
      <x:c r="D10" s="8"/>
      <x:c r="E10" s="8" t="n">
        <x:f>C20</x:f>
        <x:v>3760</x:v>
      </x:c>
      <x:c r="F10" s="8" t="n">
        <x:f>E20</x:f>
        <x:v>4255</x:v>
      </x:c>
      <x:c r="G10" s="8" t="n">
        <x:f>F20</x:f>
        <x:v>7711</x:v>
      </x:c>
      <x:c r="H10" s="19" t="n">
        <x:f>G20</x:f>
        <x:v>11521</x:v>
      </x:c>
      <x:c r="I10" s="1"/>
      <x:c r="J10" s="1"/>
      <x:c r="K10" s="1"/>
      <x:c r="L10" s="1"/>
    </x:row>
    <x:row r="11">
      <x:c r="B11" s="1" t="s">
        <x:v>108</x:v>
      </x:c>
      <x:c r="C11" s="8"/>
      <x:c r="D11" s="8"/>
      <x:c r="E11" s="8"/>
      <x:c r="F11" s="8"/>
      <x:c r="G11" s="8"/>
      <x:c r="H11" s="19" t="n">
        <x:f>H10/G7</x:f>
        <x:v>126.6043956043956</x:v>
      </x:c>
      <x:c r="I11" s="1"/>
      <x:c r="J11" s="1"/>
      <x:c r="K11" s="1"/>
      <x:c r="L11" s="1"/>
    </x:row>
    <x:row r="12">
      <x:c r="B12" s="1" t="s">
        <x:v>109</x:v>
      </x:c>
      <x:c r="C12" s="8"/>
      <x:c r="D12" s="8"/>
      <x:c r="E12" s="8"/>
      <x:c r="F12" s="8"/>
      <x:c r="G12" s="8"/>
      <x:c r="H12" s="19" t="n">
        <x:f>H7</x:f>
        <x:v>98</x:v>
      </x:c>
      <x:c r="I12" s="1"/>
      <x:c r="J12" s="1"/>
      <x:c r="K12" s="1"/>
      <x:c r="L12" s="1"/>
    </x:row>
    <x:row r="13">
      <x:c r="B13" s="1" t="s">
        <x:v>110</x:v>
      </x:c>
      <x:c r="C13" s="5"/>
      <x:c r="D13" s="5"/>
      <x:c r="E13" s="5"/>
      <x:c r="F13" s="5"/>
      <x:c r="G13" s="5"/>
      <x:c r="H13" s="20" t="n">
        <x:f>Inputs!L14</x:f>
        <x:v>-0.01</x:v>
      </x:c>
      <x:c r="I13" s="1"/>
      <x:c r="J13" s="1"/>
      <x:c r="K13" s="1"/>
      <x:c r="L13" s="1"/>
    </x:row>
    <x:row r="14">
      <x:c r="B14" s="1" t="s">
        <x:v>111</x:v>
      </x:c>
      <x:c r="C14" s="8"/>
      <x:c r="D14" s="8"/>
      <x:c r="E14" s="8"/>
      <x:c r="F14" s="8"/>
      <x:c r="G14" s="8"/>
      <x:c r="H14" s="19" t="n">
        <x:f>H13*10000</x:f>
        <x:v>-100</x:v>
      </x:c>
      <x:c r="I14" s="1"/>
      <x:c r="J14" s="1"/>
      <x:c r="K14" s="1"/>
      <x:c r="L14" s="1"/>
    </x:row>
    <x:row r="15">
      <x:c r="B15" s="1" t="s">
        <x:v>112</x:v>
      </x:c>
      <x:c r="C15" s="5"/>
      <x:c r="D15" s="5"/>
      <x:c r="E15" s="5"/>
      <x:c r="F15" s="5"/>
      <x:c r="G15" s="5"/>
      <x:c r="H15" s="20" t="n">
        <x:f>Inputs!L15</x:f>
        <x:v>0.144</x:v>
      </x:c>
      <x:c r="I15" s="1"/>
      <x:c r="J15" s="1"/>
      <x:c r="K15" s="1"/>
      <x:c r="L15" s="1"/>
    </x:row>
    <x:row r="16">
      <x:c r="B16" s="1" t="s">
        <x:v>113</x:v>
      </x:c>
      <x:c r="C16" s="8"/>
      <x:c r="D16" s="8"/>
      <x:c r="E16" s="8"/>
      <x:c r="F16" s="8"/>
      <x:c r="G16" s="8"/>
      <x:c r="H16" s="19" t="n">
        <x:f>H15*10000</x:f>
        <x:v>1440</x:v>
      </x:c>
      <x:c r="I16" s="1"/>
      <x:c r="J16" s="1"/>
      <x:c r="K16" s="1"/>
      <x:c r="L16" s="1"/>
    </x:row>
    <x:row r="17">
      <x:c r="B17" s="1" t="s">
        <x:v>114</x:v>
      </x:c>
      <x:c r="C17" s="8"/>
      <x:c r="D17" s="8"/>
      <x:c r="E17" s="8"/>
      <x:c r="F17" s="8"/>
      <x:c r="G17" s="8"/>
      <x:c r="H17" s="19" t="n">
        <x:f>H11*H12</x:f>
        <x:v>12407.23076923077</x:v>
      </x:c>
      <x:c r="I17" s="1"/>
      <x:c r="J17" s="1"/>
      <x:c r="K17" s="1"/>
      <x:c r="L17" s="1"/>
    </x:row>
    <x:row r="18">
      <x:c r="B18" s="1" t="s">
        <x:v>115</x:v>
      </x:c>
      <x:c r="C18" s="8"/>
      <x:c r="D18" s="8"/>
      <x:c r="E18" s="8"/>
      <x:c r="F18" s="8"/>
      <x:c r="G18" s="8"/>
      <x:c r="H18" s="19" t="n">
        <x:f>H17*(H47/H43-1)</x:f>
        <x:v>-124.0723076923078</x:v>
      </x:c>
      <x:c r="I18" s="1"/>
      <x:c r="J18" s="1"/>
      <x:c r="K18" s="1"/>
      <x:c r="L18" s="1"/>
    </x:row>
    <x:row r="19">
      <x:c r="B19" s="1" t="s">
        <x:v>116</x:v>
      </x:c>
      <x:c r="C19" s="8"/>
      <x:c r="D19" s="8"/>
      <x:c r="E19" s="8"/>
      <x:c r="F19" s="8"/>
      <x:c r="G19" s="8"/>
      <x:c r="H19" s="19" t="n">
        <x:f>(H17+H18)*(H51-1)</x:f>
        <x:v>1768.7748184615373</x:v>
      </x:c>
      <x:c r="I19" s="1"/>
      <x:c r="J19" s="1"/>
      <x:c r="K19" s="1"/>
      <x:c r="L19" s="1"/>
    </x:row>
    <x:row r="20">
      <x:c r="B20" s="1" t="s">
        <x:v>117</x:v>
      </x:c>
      <x:c r="C20" s="22">
        <x:v>3760</x:v>
      </x:c>
      <x:c r="D20" s="22">
        <x:v>11859</x:v>
      </x:c>
      <x:c r="E20" s="22">
        <x:v>4255</x:v>
      </x:c>
      <x:c r="F20" s="22">
        <x:v>7711</x:v>
      </x:c>
      <x:c r="G20" s="22">
        <x:v>11521</x:v>
      </x:c>
      <x:c r="H20" s="9" t="n">
        <x:f>SUM(H17:H19)</x:f>
        <x:v>14051.93328</x:v>
      </x:c>
      <x:c r="I20" s="1"/>
      <x:c r="J20" s="1"/>
      <x:c r="K20" s="1"/>
      <x:c r="L20" s="1"/>
    </x:row>
    <x:row r="21">
      <x:c r="B21" s="1" t="s">
        <x:v>118</x:v>
      </x:c>
      <x:c r="C21" s="17" t="n">
        <x:f>IFERROR(C20/Inputs!S85-1,0)</x:f>
        <x:v>0.24544551175886054</x:v>
      </x:c>
      <x:c r="D21" s="17" t="n">
        <x:f>IFERROR(D20/Inputs!S84-1,0)</x:f>
        <x:v>0.016456672666495198</x:v>
      </x:c>
      <x:c r="E21" s="17" t="n">
        <x:f>IFERROR(E20/Inputs!S81-1,0)</x:f>
        <x:v>0.6315184049079754</x:v>
      </x:c>
      <x:c r="F21" s="17" t="n">
        <x:f>IFERROR(F20/Inputs!S82-1,0)</x:f>
        <x:v>2.4485688729874777</x:v>
      </x:c>
      <x:c r="G21" s="17" t="n">
        <x:f>IFERROR(G20/Inputs!S83-1,0)</x:f>
        <x:v>2.5394777265745008</x:v>
      </x:c>
      <x:c r="H21" s="21" t="n">
        <x:f>H20/C20-1</x:f>
        <x:v>2.73721629787234</x:v>
      </x:c>
      <x:c r="I21" s="1"/>
      <x:c r="J21" s="1"/>
      <x:c r="K21" s="1"/>
      <x:c r="L21" s="1"/>
    </x:row>
    <x:row r="22">
      <x:c r="B22" s="1" t="s">
        <x:v>119</x:v>
      </x:c>
      <x:c r="C22" s="5"/>
      <x:c r="D22" s="5"/>
      <x:c r="E22" s="5" t="n">
        <x:f>IFERROR(E20/C20-1,0)</x:f>
        <x:v>0.13164893617021267</x:v>
      </x:c>
      <x:c r="F22" s="5" t="n">
        <x:f>IFERROR(F20/E20-1,0)</x:f>
        <x:v>0.8122209165687426</x:v>
      </x:c>
      <x:c r="G22" s="5" t="n">
        <x:f>IFERROR(G20/F20-1,0)</x:f>
        <x:v>0.4940993386071846</x:v>
      </x:c>
      <x:c r="H22" s="21" t="n">
        <x:f>H20/G20-1</x:f>
        <x:v>0.21967999999999988</x:v>
      </x:c>
      <x:c r="I22" s="1"/>
      <x:c r="J22" s="1"/>
      <x:c r="K22" s="1"/>
      <x:c r="L22" s="1"/>
    </x:row>
    <x:row r="23">
      <x:c r="B23" s="1" t="s">
        <x:v>120</x:v>
      </x:c>
      <x:c r="C23" s="17" t="n">
        <x:f>IFERROR(C20/'Revenue summary'!C53,0)</x:f>
        <x:v>0.3323022536456032</x:v>
      </x:c>
      <x:c r="D23" s="17" t="n">
        <x:f>IFERROR(D20/'Revenue summary'!D53,0)</x:f>
        <x:v>0.3172721921986195</x:v>
      </x:c>
      <x:c r="E23" s="17" t="n">
        <x:f>IFERROR(E20/'Revenue summary'!E53,0)</x:f>
        <x:v>0.31188155097852377</x:v>
      </x:c>
      <x:c r="F23" s="17" t="n">
        <x:f>IFERROR(F20/'Revenue summary'!F53,0)</x:f>
        <x:v>0.32317686504610227</x:v>
      </x:c>
      <x:c r="G23" s="17" t="n">
        <x:f>IFERROR(G20/'Revenue summary'!G53,0)</x:f>
        <x:v>0.277909108452335</x:v>
      </x:c>
      <x:c r="H23" s="20" t="n">
        <x:f>IFERROR(H20/'Revenue summary'!H53,0)</x:f>
        <x:v>0.2729549259273111</x:v>
      </x:c>
      <x:c r="I23" s="1"/>
      <x:c r="J23" s="1"/>
      <x:c r="K23" s="1"/>
      <x:c r="L23" s="1"/>
    </x:row>
    <x:row r="24">
      <x:c r="B24" s="1" t="s">
        <x:v>121</x:v>
      </x:c>
      <x:c r="C24" s="5" t="n">
        <x:f>(1+C27)/((1+C25)*(1+C26))-1</x:f>
        <x:v>0.24544551175886054</x:v>
      </x:c>
      <x:c r="D24" s="5" t="n">
        <x:f>(1+D27)/((1+D25)*(1+D26))-1</x:f>
        <x:v>0.016456672666495198</x:v>
      </x:c>
      <x:c r="E24" s="5" t="n">
        <x:f>(1+E27)/((1+E25)*(1+E26))-1</x:f>
        <x:v>0.6315184049079754</x:v>
      </x:c>
      <x:c r="F24" s="5" t="n">
        <x:f>(1+F27)/((1+F25)*(1+F26))-1</x:f>
        <x:v>2.4485688729874777</x:v>
      </x:c>
      <x:c r="G24" s="5" t="n">
        <x:f>(1+G27)/((1+G25)*(1+G26))-1</x:f>
        <x:v>2.5394777265745008</x:v>
      </x:c>
      <x:c r="H24" s="21" t="n">
        <x:f>(1+H21)/((1+H25)*(1+H26))-1</x:f>
        <x:v>2.73721629787234</x:v>
      </x:c>
      <x:c r="I24" s="1"/>
      <x:c r="J24" s="1"/>
      <x:c r="K24" s="1"/>
      <x:c r="L24" s="1"/>
    </x:row>
    <x:row r="25">
      <x:c r="B25" s="1" t="s">
        <x:v>122</x:v>
      </x:c>
      <x:c r="C25" s="17" t="n">
        <x:f>Inputs!L48</x:f>
        <x:v>0</x:v>
      </x:c>
      <x:c r="D25" s="17" t="n">
        <x:f>Inputs!L48</x:f>
        <x:v>0</x:v>
      </x:c>
      <x:c r="E25" s="17" t="n">
        <x:f>Inputs!L48</x:f>
        <x:v>0</x:v>
      </x:c>
      <x:c r="F25" s="17" t="n">
        <x:f>Inputs!L48</x:f>
        <x:v>0</x:v>
      </x:c>
      <x:c r="G25" s="17" t="n">
        <x:f>Inputs!L48</x:f>
        <x:v>0</x:v>
      </x:c>
      <x:c r="H25" s="20" t="n">
        <x:f>Inputs!L48</x:f>
        <x:v>0</x:v>
      </x:c>
      <x:c r="I25" s="1"/>
      <x:c r="J25" s="1"/>
      <x:c r="K25" s="1"/>
      <x:c r="L25" s="1"/>
    </x:row>
    <x:row r="26">
      <x:c r="B26" s="1" t="s">
        <x:v>84</x:v>
      </x:c>
      <x:c r="C26" s="17" t="n">
        <x:f>Inputs!L49</x:f>
        <x:v>0</x:v>
      </x:c>
      <x:c r="D26" s="17" t="n">
        <x:f>Inputs!L49</x:f>
        <x:v>0</x:v>
      </x:c>
      <x:c r="E26" s="17" t="n">
        <x:f>Inputs!L49</x:f>
        <x:v>0</x:v>
      </x:c>
      <x:c r="F26" s="17" t="n">
        <x:f>Inputs!L49</x:f>
        <x:v>0</x:v>
      </x:c>
      <x:c r="G26" s="17" t="n">
        <x:f>Inputs!L49</x:f>
        <x:v>0</x:v>
      </x:c>
      <x:c r="H26" s="20" t="n">
        <x:f>Inputs!L49</x:f>
        <x:v>0</x:v>
      </x:c>
      <x:c r="I26" s="1"/>
      <x:c r="J26" s="1"/>
      <x:c r="K26" s="1"/>
      <x:c r="L26" s="1"/>
    </x:row>
    <x:row r="27">
      <x:c r="B27" s="1" t="s">
        <x:v>123</x:v>
      </x:c>
      <x:c r="C27" s="5" t="n">
        <x:f>C21</x:f>
        <x:v>0.24544551175886054</x:v>
      </x:c>
      <x:c r="D27" s="5" t="n">
        <x:f>D21</x:f>
        <x:v>0.016456672666495198</x:v>
      </x:c>
      <x:c r="E27" s="5" t="n">
        <x:f>E21</x:f>
        <x:v>0.6315184049079754</x:v>
      </x:c>
      <x:c r="F27" s="5" t="n">
        <x:f>F21</x:f>
        <x:v>2.4485688729874777</x:v>
      </x:c>
      <x:c r="G27" s="5" t="n">
        <x:f>G21</x:f>
        <x:v>2.5394777265745008</x:v>
      </x:c>
      <x:c r="H27" s="21" t="n">
        <x:f>H21</x:f>
        <x:v>2.73721629787234</x:v>
      </x:c>
      <x:c r="I27" s="1"/>
      <x:c r="J27" s="1"/>
      <x:c r="K27" s="1"/>
      <x:c r="L27" s="1"/>
    </x:row>
    <x:row r="28">
      <x:c r="B28" s="1"/>
      <x:c r="C28" s="16"/>
      <x:c r="D28" s="16"/>
      <x:c r="E28" s="16"/>
      <x:c r="F28" s="16"/>
      <x:c r="G28" s="16"/>
      <x:c r="H28" s="27"/>
      <x:c r="I28" s="1"/>
      <x:c r="J28" s="1"/>
      <x:c r="K28" s="1"/>
      <x:c r="L28" s="1"/>
    </x:row>
    <x:row r="29">
      <x:c r="B29" s="1" t="s">
        <x:v>124</x:v>
      </x:c>
      <x:c r="C29" s="8"/>
      <x:c r="D29" s="8"/>
      <x:c r="E29" s="8"/>
      <x:c r="F29" s="8"/>
      <x:c r="G29" s="8"/>
      <x:c r="H29" s="19"/>
      <x:c r="I29" s="1"/>
      <x:c r="J29" s="1"/>
      <x:c r="K29" s="1"/>
      <x:c r="L29" s="1"/>
    </x:row>
    <x:row r="30">
      <x:c r="B30" s="1" t="s">
        <x:v>125</x:v>
      </x:c>
      <x:c r="C30" s="13" t="n">
        <x:f>D30-Inputs!P90</x:f>
        <x:v>2390</x:v>
      </x:c>
      <x:c r="D30" s="4">
        <x:v>8650</x:v>
      </x:c>
      <x:c r="E30" s="4">
        <x:v>1970</x:v>
      </x:c>
      <x:c r="F30" s="4">
        <x:v>1657</x:v>
      </x:c>
      <x:c r="G30" s="4">
        <x:v>1463</x:v>
      </x:c>
      <x:c r="H30" s="6" t="n">
        <x:f>H20*(1-Inputs!L52)</x:f>
        <x:v>1658.1281270399998</x:v>
      </x:c>
      <x:c r="I30" s="1"/>
      <x:c r="J30" s="1"/>
      <x:c r="K30" s="1"/>
      <x:c r="L30" s="1"/>
    </x:row>
    <x:row r="31">
      <x:c r="B31" s="1" t="s">
        <x:v>126</x:v>
      </x:c>
      <x:c r="C31" s="12" t="n">
        <x:f>C20-C30</x:f>
        <x:v>1370</x:v>
      </x:c>
      <x:c r="D31" s="12" t="n">
        <x:f>D20-D30</x:f>
        <x:v>3209</x:v>
      </x:c>
      <x:c r="E31" s="12" t="n">
        <x:f>E20-E30</x:f>
        <x:v>2285</x:v>
      </x:c>
      <x:c r="F31" s="12" t="n">
        <x:f>F20-F30</x:f>
        <x:v>6054</x:v>
      </x:c>
      <x:c r="G31" s="12" t="n">
        <x:f>G20-G30</x:f>
        <x:v>10058</x:v>
      </x:c>
      <x:c r="H31" s="24" t="n">
        <x:f>H20-H30</x:f>
        <x:v>12393.80515296</x:v>
      </x:c>
      <x:c r="I31" s="1"/>
      <x:c r="J31" s="1"/>
      <x:c r="K31" s="1"/>
      <x:c r="L31" s="1"/>
    </x:row>
    <x:row r="32">
      <x:c r="B32" s="1" t="s">
        <x:v>127</x:v>
      </x:c>
      <x:c r="C32" s="5" t="n">
        <x:f>C31/C20</x:f>
        <x:v>0.36436170212765956</x:v>
      </x:c>
      <x:c r="D32" s="5" t="n">
        <x:f>IFERROR(D31/D20,0)</x:f>
        <x:v>0.2705961716839531</x:v>
      </x:c>
      <x:c r="E32" s="5" t="n">
        <x:f>IFERROR(E31/E20,0)</x:f>
        <x:v>0.5370152761457109</x:v>
      </x:c>
      <x:c r="F32" s="5" t="n">
        <x:f>IFERROR(F31/F20,0)</x:f>
        <x:v>0.7851121774088964</x:v>
      </x:c>
      <x:c r="G32" s="5" t="n">
        <x:f>IFERROR(G31/G20,0)</x:f>
        <x:v>0.8730144952695078</x:v>
      </x:c>
      <x:c r="H32" s="21" t="n">
        <x:f>H31/H20</x:f>
        <x:v>0.882</x:v>
      </x:c>
      <x:c r="I32" s="1"/>
      <x:c r="J32" s="1"/>
      <x:c r="K32" s="1"/>
      <x:c r="L32" s="1"/>
    </x:row>
    <x:row r="33">
      <x:c r="B33" s="1" t="s">
        <x:v>128</x:v>
      </x:c>
      <x:c r="C33" s="8"/>
      <x:c r="D33" s="8"/>
      <x:c r="E33" s="8" t="n">
        <x:f>(E32-C32)*10000</x:f>
        <x:v>1726.5357401805131</x:v>
      </x:c>
      <x:c r="F33" s="8" t="n">
        <x:f>(F32-E32)*10000</x:f>
        <x:v>2480.969012631855</x:v>
      </x:c>
      <x:c r="G33" s="8" t="n">
        <x:f>(G32-F32)*10000</x:f>
        <x:v>879.0231786061142</x:v>
      </x:c>
      <x:c r="H33" s="19" t="n">
        <x:f>(H32-G32)*10000</x:f>
        <x:v>89.855047304922</x:v>
      </x:c>
      <x:c r="I33" s="1"/>
      <x:c r="J33" s="1"/>
      <x:c r="K33" s="1"/>
      <x:c r="L33" s="1"/>
    </x:row>
    <x:row r="34">
      <x:c r="B34" s="1" t="s">
        <x:v>129</x:v>
      </x:c>
      <x:c r="C34" s="13" t="n">
        <x:f>D34-Inputs!P91</x:f>
        <x:v>165</x:v>
      </x:c>
      <x:c r="D34" s="4">
        <x:v>836</x:v>
      </x:c>
      <x:c r="E34" s="4">
        <x:v>176</x:v>
      </x:c>
      <x:c r="F34" s="4">
        <x:v>126</x:v>
      </x:c>
      <x:c r="G34" s="4">
        <x:v>107</x:v>
      </x:c>
      <x:c r="H34" s="19" t="n">
        <x:f>G34*H7/G7</x:f>
        <x:v>115.23076923076923</x:v>
      </x:c>
      <x:c r="I34" s="1"/>
      <x:c r="J34" s="1"/>
      <x:c r="K34" s="1"/>
      <x:c r="L34" s="1"/>
    </x:row>
    <x:row r="35">
      <x:c r="B35" s="1" t="s">
        <x:v>130</x:v>
      </x:c>
      <x:c r="C35" s="13" t="n">
        <x:f>D35-Inputs!P92</x:f>
        <x:v>100</x:v>
      </x:c>
      <x:c r="D35" s="4">
        <x:v>390</x:v>
      </x:c>
      <x:c r="E35" s="4">
        <x:v>92</x:v>
      </x:c>
      <x:c r="F35" s="4">
        <x:v>90</x:v>
      </x:c>
      <x:c r="G35" s="4">
        <x:v>81</x:v>
      </x:c>
      <x:c r="H35" s="19" t="n">
        <x:f>G35*H7/G7</x:f>
        <x:v>87.23076923076923</x:v>
      </x:c>
      <x:c r="I35" s="1"/>
      <x:c r="J35" s="1"/>
      <x:c r="K35" s="1"/>
      <x:c r="L35" s="1"/>
    </x:row>
    <x:row r="36">
      <x:c r="B36" s="1" t="s">
        <x:v>131</x:v>
      </x:c>
      <x:c r="C36" s="13" t="n">
        <x:f>D36-Inputs!P93</x:f>
        <x:v>1</x:v>
      </x:c>
      <x:c r="D36" s="4">
        <x:v>2</x:v>
      </x:c>
      <x:c r="E36" s="4">
        <x:v>0</x:v>
      </x:c>
      <x:c r="F36" s="4">
        <x:v>2</x:v>
      </x:c>
      <x:c r="G36" s="4">
        <x:v>-3</x:v>
      </x:c>
      <x:c r="H36" s="19" t="n">
        <x:f>G36</x:f>
        <x:v>-3</x:v>
      </x:c>
      <x:c r="I36" s="1"/>
      <x:c r="J36" s="1"/>
      <x:c r="K36" s="1"/>
      <x:c r="L36" s="1"/>
    </x:row>
    <x:row r="37">
      <x:c r="B37" s="1" t="s">
        <x:v>132</x:v>
      </x:c>
      <x:c r="C37" s="7" t="n">
        <x:f>C31-SUM(C34:C36)</x:f>
        <x:v>1104</x:v>
      </x:c>
      <x:c r="D37" s="7" t="n">
        <x:f>D31-SUM(D34:D36)</x:f>
        <x:v>1981</x:v>
      </x:c>
      <x:c r="E37" s="7" t="n">
        <x:f>E31-SUM(E34:E36)</x:f>
        <x:v>2017</x:v>
      </x:c>
      <x:c r="F37" s="7" t="n">
        <x:f>F31-SUM(F34:F36)</x:f>
        <x:v>5836</x:v>
      </x:c>
      <x:c r="G37" s="7" t="n">
        <x:f>G31-SUM(G34:G36)</x:f>
        <x:v>9873</x:v>
      </x:c>
      <x:c r="H37" s="9" t="n">
        <x:f>H31-SUM(H34:H36)</x:f>
        <x:v>12194.34361449846</x:v>
      </x:c>
      <x:c r="I37" s="1"/>
      <x:c r="J37" s="1"/>
      <x:c r="K37" s="1"/>
      <x:c r="L37" s="1"/>
    </x:row>
    <x:row r="38">
      <x:c r="B38" s="1" t="s">
        <x:v>133</x:v>
      </x:c>
      <x:c r="C38" s="5" t="n">
        <x:f>C37/C20</x:f>
        <x:v>0.2936170212765957</x:v>
      </x:c>
      <x:c r="D38" s="5" t="n">
        <x:f>IFERROR(D37/D20,0)</x:f>
        <x:v>0.167046125305675</x:v>
      </x:c>
      <x:c r="E38" s="5" t="n">
        <x:f>IFERROR(E37/E20,0)</x:f>
        <x:v>0.4740305522914219</x:v>
      </x:c>
      <x:c r="F38" s="5" t="n">
        <x:f>IFERROR(F37/F20,0)</x:f>
        <x:v>0.7568408766696927</x:v>
      </x:c>
      <x:c r="G38" s="5" t="n">
        <x:f>IFERROR(G37/G20,0)</x:f>
        <x:v>0.8569568613835604</x:v>
      </x:c>
      <x:c r="H38" s="21" t="n">
        <x:f>H37/H20</x:f>
        <x:v>0.8678054023964495</x:v>
      </x:c>
      <x:c r="I38" s="1"/>
      <x:c r="J38" s="1"/>
      <x:c r="K38" s="1"/>
      <x:c r="L38" s="1"/>
    </x:row>
    <x:row r="39">
      <x:c r="B39" s="1" t="s">
        <x:v>134</x:v>
      </x:c>
      <x:c r="C39" s="8"/>
      <x:c r="D39" s="8"/>
      <x:c r="E39" s="8" t="n">
        <x:f>(E38-C38)*10000</x:f>
        <x:v>1804.1353101482616</x:v>
      </x:c>
      <x:c r="F39" s="8" t="n">
        <x:f>(F38-E38)*10000</x:f>
        <x:v>2828.103243782708</x:v>
      </x:c>
      <x:c r="G39" s="8" t="n">
        <x:f>(G38-F38)*10000</x:f>
        <x:v>1001.1598471386774</x:v>
      </x:c>
      <x:c r="H39" s="19" t="n">
        <x:f>(H38-G38)*10000</x:f>
        <x:v>108.48541012889123</x:v>
      </x:c>
      <x:c r="I39" s="1"/>
      <x:c r="J39" s="1"/>
      <x:c r="K39" s="1"/>
      <x:c r="L39" s="1"/>
    </x:row>
    <x:row r="40">
      <x:c r="B40" s="1" t="s">
        <x:v>135</x:v>
      </x:c>
      <x:c r="C40" s="5"/>
      <x:c r="D40" s="17" t="str">
        <x:f>IF(Inputs!Y84&lt;=0,"n/m",D37/Inputs!Y84-1)</x:f>
        <x:v>n/m</x:v>
      </x:c>
      <x:c r="E40" s="17" t="n">
        <x:f>IFERROR(E37/Inputs!Y81-1,0)</x:f>
        <x:v>4.321899736147757</x:v>
      </x:c>
      <x:c r="F40" s="17" t="n">
        <x:f>IFERROR(F37/Inputs!Y82-1,0)</x:f>
        <x:v>363.75</x:v>
      </x:c>
      <x:c r="G40" s="17" t="n">
        <x:f>IFERROR(G37/Inputs!Y83-1,0)</x:f>
        <x:v>19.483402489626556</x:v>
      </x:c>
      <x:c r="H40" s="21" t="n">
        <x:f>H37/C37-1</x:f>
        <x:v>10.045601100089186</x:v>
      </x:c>
      <x:c r="I40" s="1"/>
      <x:c r="J40" s="1"/>
      <x:c r="K40" s="1"/>
      <x:c r="L40" s="1"/>
    </x:row>
    <x:row r="41">
      <x:c r="B41" s="1" t="s">
        <x:v>136</x:v>
      </x:c>
      <x:c r="C41" s="8"/>
      <x:c r="D41" s="8"/>
      <x:c r="E41" s="8" t="n">
        <x:f>E37-C37</x:f>
        <x:v>913</x:v>
      </x:c>
      <x:c r="F41" s="8" t="n">
        <x:f>F37-E37</x:f>
        <x:v>3819</x:v>
      </x:c>
      <x:c r="G41" s="8" t="n">
        <x:f>G37-F37</x:f>
        <x:v>4037</x:v>
      </x:c>
      <x:c r="H41" s="19" t="n">
        <x:f>H37-G37</x:f>
        <x:v>2321.3436144984607</x:v>
      </x:c>
      <x:c r="I41" s="1"/>
      <x:c r="J41" s="1"/>
      <x:c r="K41" s="1"/>
      <x:c r="L41" s="1"/>
    </x:row>
    <x:row r="42">
      <x:c r="B42" s="1" t="s">
        <x:v>137</x:v>
      </x:c>
      <x:c r="C42" s="1"/>
      <x:c r="D42" s="1"/>
      <x:c r="E42" s="1"/>
      <x:c r="F42" s="1"/>
      <x:c r="G42" s="1"/>
      <x:c r="H42" s="11"/>
      <x:c r="I42" s="1"/>
      <x:c r="J42" s="1" t="s">
        <x:v>138</x:v>
      </x:c>
      <x:c r="K42" s="1"/>
      <x:c r="L42" s="1"/>
    </x:row>
    <x:row r="43">
      <x:c r="B43" s="1" t="s">
        <x:v>139</x:v>
      </x:c>
      <x:c r="C43" s="1"/>
      <x:c r="D43" s="1"/>
      <x:c r="E43" s="1"/>
      <x:c r="F43" s="1"/>
      <x:c r="G43" s="1"/>
      <x:c r="H43" s="11" t="n">
        <x:f>G47</x:f>
        <x:v>1</x:v>
      </x:c>
      <x:c r="I43" s="1"/>
      <x:c r="J43" s="1"/>
      <x:c r="K43" s="1"/>
      <x:c r="L43" s="1"/>
    </x:row>
    <x:row r="44">
      <x:c r="B44" s="1" t="s">
        <x:v>140</x:v>
      </x:c>
      <x:c r="C44" s="1"/>
      <x:c r="D44" s="1"/>
      <x:c r="E44" s="1"/>
      <x:c r="F44" s="1"/>
      <x:c r="G44" s="1"/>
      <x:c r="H44" s="11" t="n">
        <x:f>MAX(H43*H13,0)</x:f>
        <x:v>0</x:v>
      </x:c>
      <x:c r="I44" s="1"/>
      <x:c r="J44" s="1"/>
      <x:c r="K44" s="1"/>
      <x:c r="L44" s="1"/>
    </x:row>
    <x:row r="45">
      <x:c r="B45" s="1" t="s">
        <x:v>141</x:v>
      </x:c>
      <x:c r="C45" s="1"/>
      <x:c r="D45" s="1"/>
      <x:c r="E45" s="1"/>
      <x:c r="F45" s="1"/>
      <x:c r="G45" s="1"/>
      <x:c r="H45" s="11" t="n">
        <x:f>MIN(H43*H13,0)</x:f>
        <x:v>-0.01</x:v>
      </x:c>
      <x:c r="I45" s="1"/>
      <x:c r="J45" s="1"/>
      <x:c r="K45" s="1"/>
      <x:c r="L45" s="1"/>
    </x:row>
    <x:row r="46">
      <x:c r="B46" s="1" t="s">
        <x:v>142</x:v>
      </x:c>
      <x:c r="C46" s="1"/>
      <x:c r="D46" s="1"/>
      <x:c r="E46" s="1"/>
      <x:c r="F46" s="1"/>
      <x:c r="G46" s="1"/>
      <x:c r="H46" s="11" t="n">
        <x:f>SUM(H44:H45)</x:f>
        <x:v>-0.01</x:v>
      </x:c>
      <x:c r="I46" s="1"/>
      <x:c r="J46" s="1"/>
      <x:c r="K46" s="1"/>
      <x:c r="L46" s="1"/>
    </x:row>
    <x:row r="47">
      <x:c r="B47" s="1" t="s">
        <x:v>143</x:v>
      </x:c>
      <x:c r="C47" s="1"/>
      <x:c r="D47" s="1"/>
      <x:c r="E47" s="1"/>
      <x:c r="F47" s="1"/>
      <x:c r="G47" s="23" t="n">
        <x:f>Inputs!L64</x:f>
        <x:v>1</x:v>
      </x:c>
      <x:c r="H47" s="34" t="n">
        <x:f>H43+H46</x:f>
        <x:v>0.99</x:v>
      </x:c>
      <x:c r="I47" s="1"/>
      <x:c r="J47" s="1"/>
      <x:c r="K47" s="1"/>
      <x:c r="L47" s="1"/>
    </x:row>
    <x:row r="48">
      <x:c r="B48" s="1" t="s">
        <x:v>144</x:v>
      </x:c>
      <x:c r="C48" s="1"/>
      <x:c r="D48" s="1"/>
      <x:c r="E48" s="1"/>
      <x:c r="F48" s="1"/>
      <x:c r="G48" s="1"/>
      <x:c r="H48" s="11" t="n">
        <x:f>AVERAGE(H43,H47)</x:f>
        <x:v>0.995</x:v>
      </x:c>
      <x:c r="I48" s="1"/>
      <x:c r="J48" s="1"/>
      <x:c r="K48" s="1"/>
      <x:c r="L48" s="1"/>
    </x:row>
    <x:row r="49">
      <x:c r="B49" s="1" t="s">
        <x:v>145</x:v>
      </x:c>
      <x:c r="C49" s="1"/>
      <x:c r="D49" s="1"/>
      <x:c r="E49" s="1"/>
      <x:c r="F49" s="1"/>
      <x:c r="G49" s="1"/>
      <x:c r="H49" s="11" t="n">
        <x:f>H47-G47</x:f>
        <x:v>-0.010000000000000009</x:v>
      </x:c>
      <x:c r="I49" s="1"/>
      <x:c r="J49" s="1"/>
      <x:c r="K49" s="1"/>
      <x:c r="L49" s="1"/>
    </x:row>
    <x:row r="50">
      <x:c r="B50" s="1" t="s">
        <x:v>146</x:v>
      </x:c>
      <x:c r="C50" s="1"/>
      <x:c r="D50" s="1"/>
      <x:c r="E50" s="1"/>
      <x:c r="F50" s="1"/>
      <x:c r="G50" s="1"/>
      <x:c r="H50" s="21" t="n">
        <x:f>H47/G47-1</x:f>
        <x:v>-0.010000000000000009</x:v>
      </x:c>
      <x:c r="I50" s="1"/>
      <x:c r="J50" s="1"/>
      <x:c r="K50" s="1"/>
      <x:c r="L50" s="1"/>
    </x:row>
    <x:row r="51">
      <x:c r="B51" s="1" t="s">
        <x:v>147</x:v>
      </x:c>
      <x:c r="C51" s="1"/>
      <x:c r="D51" s="1"/>
      <x:c r="E51" s="1"/>
      <x:c r="F51" s="1"/>
      <x:c r="G51" s="47" t="n">
        <x:f>Inputs!L64</x:f>
        <x:v>1</x:v>
      </x:c>
      <x:c r="H51" s="45" t="n">
        <x:f>Inputs!L64*(1+H15)</x:f>
        <x:v>1.144</x:v>
      </x:c>
      <x:c r="I51" s="1"/>
      <x:c r="J51" s="1"/>
      <x:c r="K51" s="1"/>
      <x:c r="L51" s="1"/>
    </x:row>
    <x:row r="52">
      <x:c r="B52" s="1" t="s">
        <x:v>148</x:v>
      </x:c>
      <x:c r="C52" s="1"/>
      <x:c r="D52" s="1"/>
      <x:c r="E52" s="1"/>
      <x:c r="F52" s="1"/>
      <x:c r="G52" s="1"/>
      <x:c r="H52" s="21" t="n">
        <x:f>H51-G51</x:f>
        <x:v>0.1439999999999999</x:v>
      </x:c>
      <x:c r="I52" s="1"/>
      <x:c r="J52" s="1"/>
      <x:c r="K52" s="1"/>
      <x:c r="L52" s="1"/>
    </x:row>
    <x:row r="53">
      <x:c r="B53" s="1" t="s">
        <x:v>149</x:v>
      </x:c>
      <x:c r="C53" s="1"/>
      <x:c r="D53" s="1"/>
      <x:c r="E53" s="1"/>
      <x:c r="F53" s="1"/>
      <x:c r="G53" s="69" t="s">
        <x:v>44</x:v>
      </x:c>
      <x:c r="H53" s="72" t="s">
        <x:v>44</x:v>
      </x:c>
      <x:c r="I53" s="1"/>
      <x:c r="J53" s="1"/>
      <x:c r="K53" s="1"/>
      <x:c r="L53" s="1"/>
    </x:row>
    <x:row r="54">
      <x:c r="B54" s="1" t="s">
        <x:v>150</x:v>
      </x:c>
      <x:c r="C54" s="13" t="n">
        <x:f>C37-(D37-Inputs!P94)</x:f>
        <x:v>0</x:v>
      </x:c>
      <x:c r="D54" s="8"/>
      <x:c r="E54" s="8"/>
      <x:c r="F54" s="8"/>
      <x:c r="G54" s="8"/>
      <x:c r="H54" s="8"/>
      <x:c r="I54" s="1"/>
      <x:c r="J54" s="1"/>
      <x:c r="K54" s="1"/>
      <x:c r="L54" s="1"/>
    </x:row>
    <x:row r="55">
      <x:c r="B55" s="1" t="s">
        <x:v>151</x:v>
      </x:c>
      <x:c r="C55" s="8"/>
      <x:c r="D55" s="8"/>
      <x:c r="E55" s="8" t="n">
        <x:f>E20-C20</x:f>
        <x:v>495</x:v>
      </x:c>
      <x:c r="F55" s="8" t="n">
        <x:f>F20-E20</x:f>
        <x:v>3456</x:v>
      </x:c>
      <x:c r="G55" s="8" t="n">
        <x:f>G20-F20</x:f>
        <x:v>3810</x:v>
      </x:c>
      <x:c r="H55" s="19" t="n">
        <x:f>H20-G20</x:f>
        <x:v>2530.9332799999993</x:v>
      </x:c>
      <x:c r="I55" s="1"/>
      <x:c r="J55" s="1"/>
      <x:c r="K55" s="1"/>
      <x:c r="L55" s="1"/>
    </x:row>
    <x:row r="56">
      <x:c r="B56" s="1" t="s">
        <x:v>152</x:v>
      </x:c>
      <x:c r="C56" s="8"/>
      <x:c r="D56" s="8"/>
      <x:c r="E56" s="8" t="n">
        <x:f>(E23-C23)*10000</x:f>
        <x:v>-204.20702667079405</x:v>
      </x:c>
      <x:c r="F56" s="8" t="n">
        <x:f>(F23-E23)*10000</x:f>
        <x:v>112.953140675785</x:v>
      </x:c>
      <x:c r="G56" s="8" t="n">
        <x:f>(G23-F23)*10000</x:f>
        <x:v>-452.6775659376725</x:v>
      </x:c>
      <x:c r="H56" s="19" t="n">
        <x:f>(H23-G23)*10000</x:f>
        <x:v>-49.54182525023943</x:v>
      </x:c>
      <x:c r="I56" s="1"/>
      <x:c r="J56" s="1"/>
      <x:c r="K56" s="1"/>
      <x:c r="L56" s="1"/>
    </x:row>
    <x:row r="57">
      <x:c r="B57" s="1" t="s">
        <x:v>153</x:v>
      </x:c>
      <x:c r="C57" s="8"/>
      <x:c r="D57" s="8"/>
      <x:c r="E57" s="8"/>
      <x:c r="F57" s="8"/>
      <x:c r="G57" s="8"/>
      <x:c r="H57" s="19" t="n">
        <x:f>H20-C20</x:f>
        <x:v>10291.93328</x:v>
      </x:c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156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106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107</x:v>
      </x:c>
      <x:c r="C10" s="8"/>
      <x:c r="D10" s="8"/>
      <x:c r="E10" s="8" t="n">
        <x:f>C20</x:f>
        <x:v>1434</x:v>
      </x:c>
      <x:c r="F10" s="8" t="n">
        <x:f>E20</x:f>
        <x:v>1720</x:v>
      </x:c>
      <x:c r="G10" s="8" t="n">
        <x:f>F20</x:f>
        <x:v>2708</x:v>
      </x:c>
      <x:c r="H10" s="19" t="n">
        <x:f>G20</x:f>
        <x:v>4634</x:v>
      </x:c>
      <x:c r="I10" s="1"/>
      <x:c r="J10" s="1"/>
      <x:c r="K10" s="1"/>
      <x:c r="L10" s="1"/>
    </x:row>
    <x:row r="11">
      <x:c r="B11" s="1" t="s">
        <x:v>108</x:v>
      </x:c>
      <x:c r="C11" s="8"/>
      <x:c r="D11" s="8"/>
      <x:c r="E11" s="8"/>
      <x:c r="F11" s="8"/>
      <x:c r="G11" s="8"/>
      <x:c r="H11" s="19" t="n">
        <x:f>H10/G7</x:f>
        <x:v>50.92307692307692</x:v>
      </x:c>
      <x:c r="I11" s="1"/>
      <x:c r="J11" s="1"/>
      <x:c r="K11" s="1"/>
      <x:c r="L11" s="1"/>
    </x:row>
    <x:row r="12">
      <x:c r="B12" s="1" t="s">
        <x:v>109</x:v>
      </x:c>
      <x:c r="C12" s="8"/>
      <x:c r="D12" s="8"/>
      <x:c r="E12" s="8"/>
      <x:c r="F12" s="8"/>
      <x:c r="G12" s="8"/>
      <x:c r="H12" s="19" t="n">
        <x:f>H7</x:f>
        <x:v>98</x:v>
      </x:c>
      <x:c r="I12" s="1"/>
      <x:c r="J12" s="1"/>
      <x:c r="K12" s="1"/>
      <x:c r="L12" s="1"/>
    </x:row>
    <x:row r="13">
      <x:c r="B13" s="1" t="s">
        <x:v>110</x:v>
      </x:c>
      <x:c r="C13" s="5"/>
      <x:c r="D13" s="5"/>
      <x:c r="E13" s="5"/>
      <x:c r="F13" s="5"/>
      <x:c r="G13" s="5"/>
      <x:c r="H13" s="20" t="n">
        <x:f>Inputs!L16</x:f>
        <x:v>-0.005</x:v>
      </x:c>
      <x:c r="I13" s="1"/>
      <x:c r="J13" s="1"/>
      <x:c r="K13" s="1"/>
      <x:c r="L13" s="1"/>
    </x:row>
    <x:row r="14">
      <x:c r="B14" s="1" t="s">
        <x:v>111</x:v>
      </x:c>
      <x:c r="C14" s="8"/>
      <x:c r="D14" s="8"/>
      <x:c r="E14" s="8"/>
      <x:c r="F14" s="8"/>
      <x:c r="G14" s="8"/>
      <x:c r="H14" s="19" t="n">
        <x:f>H13*10000</x:f>
        <x:v>-50</x:v>
      </x:c>
      <x:c r="I14" s="1"/>
      <x:c r="J14" s="1"/>
      <x:c r="K14" s="1"/>
      <x:c r="L14" s="1"/>
    </x:row>
    <x:row r="15">
      <x:c r="B15" s="1" t="s">
        <x:v>112</x:v>
      </x:c>
      <x:c r="C15" s="5"/>
      <x:c r="D15" s="5"/>
      <x:c r="E15" s="5"/>
      <x:c r="F15" s="5"/>
      <x:c r="G15" s="5"/>
      <x:c r="H15" s="20" t="n">
        <x:f>Inputs!L17</x:f>
        <x:v>0.147</x:v>
      </x:c>
      <x:c r="I15" s="1"/>
      <x:c r="J15" s="1"/>
      <x:c r="K15" s="1"/>
      <x:c r="L15" s="1"/>
    </x:row>
    <x:row r="16">
      <x:c r="B16" s="1" t="s">
        <x:v>113</x:v>
      </x:c>
      <x:c r="C16" s="8"/>
      <x:c r="D16" s="8"/>
      <x:c r="E16" s="8"/>
      <x:c r="F16" s="8"/>
      <x:c r="G16" s="8"/>
      <x:c r="H16" s="19" t="n">
        <x:f>H15*10000</x:f>
        <x:v>1470</x:v>
      </x:c>
      <x:c r="I16" s="1"/>
      <x:c r="J16" s="1"/>
      <x:c r="K16" s="1"/>
      <x:c r="L16" s="1"/>
    </x:row>
    <x:row r="17">
      <x:c r="B17" s="1" t="s">
        <x:v>114</x:v>
      </x:c>
      <x:c r="C17" s="8"/>
      <x:c r="D17" s="8"/>
      <x:c r="E17" s="8"/>
      <x:c r="F17" s="8"/>
      <x:c r="G17" s="8"/>
      <x:c r="H17" s="19" t="n">
        <x:f>H11*H12</x:f>
        <x:v>4990.461538461538</x:v>
      </x:c>
      <x:c r="I17" s="1"/>
      <x:c r="J17" s="1"/>
      <x:c r="K17" s="1"/>
      <x:c r="L17" s="1"/>
    </x:row>
    <x:row r="18">
      <x:c r="B18" s="1" t="s">
        <x:v>115</x:v>
      </x:c>
      <x:c r="C18" s="8"/>
      <x:c r="D18" s="8"/>
      <x:c r="E18" s="8"/>
      <x:c r="F18" s="8"/>
      <x:c r="G18" s="8"/>
      <x:c r="H18" s="19" t="n">
        <x:f>H17*(H47/H43-1)</x:f>
        <x:v>-24.952307692307713</x:v>
      </x:c>
      <x:c r="I18" s="1"/>
      <x:c r="J18" s="1"/>
      <x:c r="K18" s="1"/>
      <x:c r="L18" s="1"/>
    </x:row>
    <x:row r="19">
      <x:c r="B19" s="1" t="s">
        <x:v>116</x:v>
      </x:c>
      <x:c r="C19" s="8"/>
      <x:c r="D19" s="8"/>
      <x:c r="E19" s="8"/>
      <x:c r="F19" s="8"/>
      <x:c r="G19" s="8"/>
      <x:c r="H19" s="19" t="n">
        <x:f>(H17+H18)*(H51-1)</x:f>
        <x:v>729.929856923077</x:v>
      </x:c>
      <x:c r="I19" s="1"/>
      <x:c r="J19" s="1"/>
      <x:c r="K19" s="1"/>
      <x:c r="L19" s="1"/>
    </x:row>
    <x:row r="20">
      <x:c r="B20" s="1" t="s">
        <x:v>117</x:v>
      </x:c>
      <x:c r="C20" s="22">
        <x:v>1434</x:v>
      </x:c>
      <x:c r="D20" s="22">
        <x:v>4753</x:v>
      </x:c>
      <x:c r="E20" s="22">
        <x:v>1720</x:v>
      </x:c>
      <x:c r="F20" s="22">
        <x:v>2708</x:v>
      </x:c>
      <x:c r="G20" s="22">
        <x:v>4634</x:v>
      </x:c>
      <x:c r="H20" s="9" t="n">
        <x:f>SUM(H17:H19)</x:f>
        <x:v>5695.439087692307</x:v>
      </x:c>
      <x:c r="I20" s="1"/>
      <x:c r="J20" s="1"/>
      <x:c r="K20" s="1"/>
      <x:c r="L20" s="1"/>
    </x:row>
    <x:row r="21">
      <x:c r="B21" s="1" t="s">
        <x:v>118</x:v>
      </x:c>
      <x:c r="C21" s="17" t="n">
        <x:f>IFERROR(C20/Inputs!T85-1,0)</x:f>
        <x:v>0.1658536585365853</x:v>
      </x:c>
      <x:c r="D21" s="17" t="n">
        <x:f>IFERROR(D20/Inputs!T84-1,0)</x:f>
        <x:v>0.02634420211617372</x:v>
      </x:c>
      <x:c r="E21" s="17" t="n">
        <x:f>IFERROR(E20/Inputs!T81-1,0)</x:f>
        <x:v>0.4853195164075994</x:v>
      </x:c>
      <x:c r="F21" s="17" t="n">
        <x:f>IFERROR(F20/Inputs!T82-1,0)</x:f>
        <x:v>1.618955512572534</x:v>
      </x:c>
      <x:c r="G21" s="17" t="n">
        <x:f>IFERROR(G20/Inputs!T83-1,0)</x:f>
        <x:v>3.111801242236025</x:v>
      </x:c>
      <x:c r="H21" s="21" t="n">
        <x:f>H20/C20-1</x:f>
        <x:v>2.971714844973715</x:v>
      </x:c>
      <x:c r="I21" s="1"/>
      <x:c r="J21" s="1"/>
      <x:c r="K21" s="1"/>
      <x:c r="L21" s="1"/>
    </x:row>
    <x:row r="22">
      <x:c r="B22" s="1" t="s">
        <x:v>119</x:v>
      </x:c>
      <x:c r="C22" s="5"/>
      <x:c r="D22" s="5"/>
      <x:c r="E22" s="5" t="n">
        <x:f>IFERROR(E20/C20-1,0)</x:f>
        <x:v>0.19944211994421202</x:v>
      </x:c>
      <x:c r="F22" s="5" t="n">
        <x:f>IFERROR(F20/E20-1,0)</x:f>
        <x:v>0.5744186046511628</x:v>
      </x:c>
      <x:c r="G22" s="5" t="n">
        <x:f>IFERROR(G20/F20-1,0)</x:f>
        <x:v>0.7112259970457901</x:v>
      </x:c>
      <x:c r="H22" s="21" t="n">
        <x:f>H20/G20-1</x:f>
        <x:v>0.22905461538461536</x:v>
      </x:c>
      <x:c r="I22" s="1"/>
      <x:c r="J22" s="1"/>
      <x:c r="K22" s="1"/>
      <x:c r="L22" s="1"/>
    </x:row>
    <x:row r="23">
      <x:c r="B23" s="1" t="s">
        <x:v>120</x:v>
      </x:c>
      <x:c r="C23" s="17" t="n">
        <x:f>IFERROR(C20/'Revenue summary'!C53,0)</x:f>
        <x:v>0.12673442333186036</x:v>
      </x:c>
      <x:c r="D23" s="17" t="n">
        <x:f>IFERROR(D20/'Revenue summary'!D53,0)</x:f>
        <x:v>0.12716036171009684</x:v>
      </x:c>
      <x:c r="E23" s="17" t="n">
        <x:f>IFERROR(E20/'Revenue summary'!E53,0)</x:f>
        <x:v>0.1260719783038921</x:v>
      </x:c>
      <x:c r="F23" s="17" t="n">
        <x:f>IFERROR(F20/'Revenue summary'!F53,0)</x:f>
        <x:v>0.1134953897736798</x:v>
      </x:c>
      <x:c r="G23" s="17" t="n">
        <x:f>IFERROR(G20/'Revenue summary'!G53,0)</x:f>
        <x:v>0.11178116557313779</x:v>
      </x:c>
      <x:c r="H23" s="20" t="n">
        <x:f>IFERROR(H20/'Revenue summary'!H53,0)</x:f>
        <x:v>0.11063233245757098</x:v>
      </x:c>
      <x:c r="I23" s="1"/>
      <x:c r="J23" s="1"/>
      <x:c r="K23" s="1"/>
      <x:c r="L23" s="1"/>
    </x:row>
    <x:row r="24">
      <x:c r="B24" s="1" t="s">
        <x:v>121</x:v>
      </x:c>
      <x:c r="C24" s="5" t="n">
        <x:f>(1+C27)/((1+C25)*(1+C26))-1</x:f>
        <x:v>0.1658536585365853</x:v>
      </x:c>
      <x:c r="D24" s="5" t="n">
        <x:f>(1+D27)/((1+D25)*(1+D26))-1</x:f>
        <x:v>0.02634420211617372</x:v>
      </x:c>
      <x:c r="E24" s="5" t="n">
        <x:f>(1+E27)/((1+E25)*(1+E26))-1</x:f>
        <x:v>0.4853195164075994</x:v>
      </x:c>
      <x:c r="F24" s="5" t="n">
        <x:f>(1+F27)/((1+F25)*(1+F26))-1</x:f>
        <x:v>1.618955512572534</x:v>
      </x:c>
      <x:c r="G24" s="5" t="n">
        <x:f>(1+G27)/((1+G25)*(1+G26))-1</x:f>
        <x:v>3.111801242236025</x:v>
      </x:c>
      <x:c r="H24" s="21" t="n">
        <x:f>(1+H21)/((1+H25)*(1+H26))-1</x:f>
        <x:v>2.971714844973715</x:v>
      </x:c>
      <x:c r="I24" s="1"/>
      <x:c r="J24" s="1"/>
      <x:c r="K24" s="1"/>
      <x:c r="L24" s="1"/>
    </x:row>
    <x:row r="25">
      <x:c r="B25" s="1" t="s">
        <x:v>122</x:v>
      </x:c>
      <x:c r="C25" s="17" t="n">
        <x:f>Inputs!L48</x:f>
        <x:v>0</x:v>
      </x:c>
      <x:c r="D25" s="17" t="n">
        <x:f>Inputs!L48</x:f>
        <x:v>0</x:v>
      </x:c>
      <x:c r="E25" s="17" t="n">
        <x:f>Inputs!L48</x:f>
        <x:v>0</x:v>
      </x:c>
      <x:c r="F25" s="17" t="n">
        <x:f>Inputs!L48</x:f>
        <x:v>0</x:v>
      </x:c>
      <x:c r="G25" s="17" t="n">
        <x:f>Inputs!L48</x:f>
        <x:v>0</x:v>
      </x:c>
      <x:c r="H25" s="20" t="n">
        <x:f>Inputs!L48</x:f>
        <x:v>0</x:v>
      </x:c>
      <x:c r="I25" s="1"/>
      <x:c r="J25" s="1"/>
      <x:c r="K25" s="1"/>
      <x:c r="L25" s="1"/>
    </x:row>
    <x:row r="26">
      <x:c r="B26" s="1" t="s">
        <x:v>84</x:v>
      </x:c>
      <x:c r="C26" s="17" t="n">
        <x:f>Inputs!L49</x:f>
        <x:v>0</x:v>
      </x:c>
      <x:c r="D26" s="17" t="n">
        <x:f>Inputs!L49</x:f>
        <x:v>0</x:v>
      </x:c>
      <x:c r="E26" s="17" t="n">
        <x:f>Inputs!L49</x:f>
        <x:v>0</x:v>
      </x:c>
      <x:c r="F26" s="17" t="n">
        <x:f>Inputs!L49</x:f>
        <x:v>0</x:v>
      </x:c>
      <x:c r="G26" s="17" t="n">
        <x:f>Inputs!L49</x:f>
        <x:v>0</x:v>
      </x:c>
      <x:c r="H26" s="20" t="n">
        <x:f>Inputs!L49</x:f>
        <x:v>0</x:v>
      </x:c>
      <x:c r="I26" s="1"/>
      <x:c r="J26" s="1"/>
      <x:c r="K26" s="1"/>
      <x:c r="L26" s="1"/>
    </x:row>
    <x:row r="27">
      <x:c r="B27" s="1" t="s">
        <x:v>123</x:v>
      </x:c>
      <x:c r="C27" s="5" t="n">
        <x:f>C21</x:f>
        <x:v>0.1658536585365853</x:v>
      </x:c>
      <x:c r="D27" s="5" t="n">
        <x:f>D21</x:f>
        <x:v>0.02634420211617372</x:v>
      </x:c>
      <x:c r="E27" s="5" t="n">
        <x:f>E21</x:f>
        <x:v>0.4853195164075994</x:v>
      </x:c>
      <x:c r="F27" s="5" t="n">
        <x:f>F21</x:f>
        <x:v>1.618955512572534</x:v>
      </x:c>
      <x:c r="G27" s="5" t="n">
        <x:f>G21</x:f>
        <x:v>3.111801242236025</x:v>
      </x:c>
      <x:c r="H27" s="21" t="n">
        <x:f>H21</x:f>
        <x:v>2.971714844973715</x:v>
      </x:c>
      <x:c r="I27" s="1"/>
      <x:c r="J27" s="1"/>
      <x:c r="K27" s="1"/>
      <x:c r="L27" s="1"/>
    </x:row>
    <x:row r="28">
      <x:c r="B28" s="1"/>
      <x:c r="C28" s="16"/>
      <x:c r="D28" s="16"/>
      <x:c r="E28" s="16"/>
      <x:c r="F28" s="16"/>
      <x:c r="G28" s="16"/>
      <x:c r="H28" s="27"/>
      <x:c r="I28" s="1"/>
      <x:c r="J28" s="1"/>
      <x:c r="K28" s="1"/>
      <x:c r="L28" s="1"/>
    </x:row>
    <x:row r="29">
      <x:c r="B29" s="1" t="s">
        <x:v>124</x:v>
      </x:c>
      <x:c r="C29" s="8"/>
      <x:c r="D29" s="8"/>
      <x:c r="E29" s="8"/>
      <x:c r="F29" s="8"/>
      <x:c r="G29" s="8"/>
      <x:c r="H29" s="19"/>
      <x:c r="I29" s="1"/>
      <x:c r="J29" s="1"/>
      <x:c r="K29" s="1"/>
      <x:c r="L29" s="1"/>
    </x:row>
    <x:row r="30">
      <x:c r="B30" s="1" t="s">
        <x:v>125</x:v>
      </x:c>
      <x:c r="C30" s="13" t="n">
        <x:f>D30-Inputs!Q90</x:f>
        <x:v>987</x:v>
      </x:c>
      <x:c r="D30" s="4">
        <x:v>3566</x:v>
      </x:c>
      <x:c r="E30" s="4">
        <x:v>942</x:v>
      </x:c>
      <x:c r="F30" s="4">
        <x:v>859</x:v>
      </x:c>
      <x:c r="G30" s="4">
        <x:v>975</x:v>
      </x:c>
      <x:c r="H30" s="6" t="n">
        <x:f>H20*(1-Inputs!L53)</x:f>
        <x:v>1110.6106220999995</x:v>
      </x:c>
      <x:c r="I30" s="1"/>
      <x:c r="J30" s="1"/>
      <x:c r="K30" s="1"/>
      <x:c r="L30" s="1"/>
    </x:row>
    <x:row r="31">
      <x:c r="B31" s="1" t="s">
        <x:v>126</x:v>
      </x:c>
      <x:c r="C31" s="12" t="n">
        <x:f>C20-C30</x:f>
        <x:v>447</x:v>
      </x:c>
      <x:c r="D31" s="12" t="n">
        <x:f>D20-D30</x:f>
        <x:v>1187</x:v>
      </x:c>
      <x:c r="E31" s="12" t="n">
        <x:f>E20-E30</x:f>
        <x:v>778</x:v>
      </x:c>
      <x:c r="F31" s="12" t="n">
        <x:f>F20-F30</x:f>
        <x:v>1849</x:v>
      </x:c>
      <x:c r="G31" s="12" t="n">
        <x:f>G20-G30</x:f>
        <x:v>3659</x:v>
      </x:c>
      <x:c r="H31" s="24" t="n">
        <x:f>H20-H30</x:f>
        <x:v>4584.828465592307</x:v>
      </x:c>
      <x:c r="I31" s="1"/>
      <x:c r="J31" s="1"/>
      <x:c r="K31" s="1"/>
      <x:c r="L31" s="1"/>
    </x:row>
    <x:row r="32">
      <x:c r="B32" s="1" t="s">
        <x:v>127</x:v>
      </x:c>
      <x:c r="C32" s="5" t="n">
        <x:f>C31/C20</x:f>
        <x:v>0.3117154811715481</x:v>
      </x:c>
      <x:c r="D32" s="5" t="n">
        <x:f>IFERROR(D31/D20,0)</x:f>
        <x:v>0.249737008205344</x:v>
      </x:c>
      <x:c r="E32" s="5" t="n">
        <x:f>IFERROR(E31/E20,0)</x:f>
        <x:v>0.45232558139534884</x:v>
      </x:c>
      <x:c r="F32" s="5" t="n">
        <x:f>IFERROR(F31/F20,0)</x:f>
        <x:v>0.6827917282127031</x:v>
      </x:c>
      <x:c r="G32" s="5" t="n">
        <x:f>IFERROR(G31/G20,0)</x:f>
        <x:v>0.7895986189037548</x:v>
      </x:c>
      <x:c r="H32" s="21" t="n">
        <x:f>H31/H20</x:f>
        <x:v>0.8049999999999999</x:v>
      </x:c>
      <x:c r="I32" s="1"/>
      <x:c r="J32" s="1"/>
      <x:c r="K32" s="1"/>
      <x:c r="L32" s="1"/>
    </x:row>
    <x:row r="33">
      <x:c r="B33" s="1" t="s">
        <x:v>128</x:v>
      </x:c>
      <x:c r="C33" s="8"/>
      <x:c r="D33" s="8"/>
      <x:c r="E33" s="8" t="n">
        <x:f>(E32-C32)*10000</x:f>
        <x:v>1406.1010022380071</x:v>
      </x:c>
      <x:c r="F33" s="8" t="n">
        <x:f>(F32-E32)*10000</x:f>
        <x:v>2304.6614681735423</x:v>
      </x:c>
      <x:c r="G33" s="8" t="n">
        <x:f>(G32-F32)*10000</x:f>
        <x:v>1068.0689069105176</x:v>
      </x:c>
      <x:c r="H33" s="19" t="n">
        <x:f>(H32-G32)*10000</x:f>
        <x:v>154.01381096245115</x:v>
      </x:c>
      <x:c r="I33" s="1"/>
      <x:c r="J33" s="1"/>
      <x:c r="K33" s="1"/>
      <x:c r="L33" s="1"/>
    </x:row>
    <x:row r="34">
      <x:c r="B34" s="1" t="s">
        <x:v>129</x:v>
      </x:c>
      <x:c r="C34" s="13" t="n">
        <x:f>D34-Inputs!Q91</x:f>
        <x:v>105</x:v>
      </x:c>
      <x:c r="D34" s="4">
        <x:v>435</x:v>
      </x:c>
      <x:c r="E34" s="4">
        <x:v>97</x:v>
      </x:c>
      <x:c r="F34" s="4">
        <x:v>109</x:v>
      </x:c>
      <x:c r="G34" s="4">
        <x:v>96</x:v>
      </x:c>
      <x:c r="H34" s="19" t="n">
        <x:f>G34*H7/G7</x:f>
        <x:v>103.38461538461539</x:v>
      </x:c>
      <x:c r="I34" s="1"/>
      <x:c r="J34" s="1"/>
      <x:c r="K34" s="1"/>
      <x:c r="L34" s="1"/>
    </x:row>
    <x:row r="35">
      <x:c r="B35" s="1" t="s">
        <x:v>130</x:v>
      </x:c>
      <x:c r="C35" s="13" t="n">
        <x:f>D35-Inputs!Q92</x:f>
        <x:v>51</x:v>
      </x:c>
      <x:c r="D35" s="4">
        <x:v>195</x:v>
      </x:c>
      <x:c r="E35" s="4">
        <x:v>54</x:v>
      </x:c>
      <x:c r="F35" s="4">
        <x:v>58</x:v>
      </x:c>
      <x:c r="G35" s="4">
        <x:v>70</x:v>
      </x:c>
      <x:c r="H35" s="19" t="n">
        <x:f>G35*H7/G7</x:f>
        <x:v>75.38461538461539</x:v>
      </x:c>
      <x:c r="I35" s="1"/>
      <x:c r="J35" s="1"/>
      <x:c r="K35" s="1"/>
      <x:c r="L35" s="1"/>
    </x:row>
    <x:row r="36">
      <x:c r="B36" s="1" t="s">
        <x:v>131</x:v>
      </x:c>
      <x:c r="C36" s="13" t="n">
        <x:f>D36-Inputs!Q93</x:f>
        <x:v>-1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19" t="n">
        <x:f>G36</x:f>
        <x:v>0</x:v>
      </x:c>
      <x:c r="I36" s="1"/>
      <x:c r="J36" s="1"/>
      <x:c r="K36" s="1"/>
      <x:c r="L36" s="1"/>
    </x:row>
    <x:row r="37">
      <x:c r="B37" s="1" t="s">
        <x:v>132</x:v>
      </x:c>
      <x:c r="C37" s="7" t="n">
        <x:f>C31-SUM(C34:C36)</x:f>
        <x:v>292</x:v>
      </x:c>
      <x:c r="D37" s="7" t="n">
        <x:f>D31-SUM(D34:D36)</x:f>
        <x:v>557</x:v>
      </x:c>
      <x:c r="E37" s="7" t="n">
        <x:f>E31-SUM(E34:E36)</x:f>
        <x:v>627</x:v>
      </x:c>
      <x:c r="F37" s="7" t="n">
        <x:f>F31-SUM(F34:F36)</x:f>
        <x:v>1682</x:v>
      </x:c>
      <x:c r="G37" s="7" t="n">
        <x:f>G31-SUM(G34:G36)</x:f>
        <x:v>3493</x:v>
      </x:c>
      <x:c r="H37" s="9" t="n">
        <x:f>H31-SUM(H34:H36)</x:f>
        <x:v>4406.059234823077</x:v>
      </x:c>
      <x:c r="I37" s="1"/>
      <x:c r="J37" s="1"/>
      <x:c r="K37" s="1"/>
      <x:c r="L37" s="1"/>
    </x:row>
    <x:row r="38">
      <x:c r="B38" s="1" t="s">
        <x:v>133</x:v>
      </x:c>
      <x:c r="C38" s="5" t="n">
        <x:f>C37/C20</x:f>
        <x:v>0.20362622036262204</x:v>
      </x:c>
      <x:c r="D38" s="5" t="n">
        <x:f>IFERROR(D37/D20,0)</x:f>
        <x:v>0.1171891436987166</x:v>
      </x:c>
      <x:c r="E38" s="5" t="n">
        <x:f>IFERROR(E37/E20,0)</x:f>
        <x:v>0.36453488372093024</x:v>
      </x:c>
      <x:c r="F38" s="5" t="n">
        <x:f>IFERROR(F37/F20,0)</x:f>
        <x:v>0.6211225997045791</x:v>
      </x:c>
      <x:c r="G38" s="5" t="n">
        <x:f>IFERROR(G37/G20,0)</x:f>
        <x:v>0.7537764350453172</x:v>
      </x:c>
      <x:c r="H38" s="21" t="n">
        <x:f>H37/H20</x:f>
        <x:v>0.773611861523452</x:v>
      </x:c>
      <x:c r="I38" s="1"/>
      <x:c r="J38" s="1"/>
      <x:c r="K38" s="1"/>
      <x:c r="L38" s="1"/>
    </x:row>
    <x:row r="39">
      <x:c r="B39" s="1" t="s">
        <x:v>134</x:v>
      </x:c>
      <x:c r="C39" s="8"/>
      <x:c r="D39" s="8"/>
      <x:c r="E39" s="8" t="n">
        <x:f>(E38-C38)*10000</x:f>
        <x:v>1609.086633583082</x:v>
      </x:c>
      <x:c r="F39" s="8" t="n">
        <x:f>(F38-E38)*10000</x:f>
        <x:v>2565.8771598364883</x:v>
      </x:c>
      <x:c r="G39" s="8" t="n">
        <x:f>(G38-F38)*10000</x:f>
        <x:v>1326.5383534073815</x:v>
      </x:c>
      <x:c r="H39" s="19" t="n">
        <x:f>(H38-G38)*10000</x:f>
        <x:v>198.35426478134744</x:v>
      </x:c>
      <x:c r="I39" s="1"/>
      <x:c r="J39" s="1"/>
      <x:c r="K39" s="1"/>
      <x:c r="L39" s="1"/>
    </x:row>
    <x:row r="40">
      <x:c r="B40" s="1" t="s">
        <x:v>135</x:v>
      </x:c>
      <x:c r="C40" s="5"/>
      <x:c r="D40" s="17" t="n">
        <x:f>IFERROR(D37/Inputs!Z84-1,0)</x:f>
        <x:v>0.28935185185185186</x:v>
      </x:c>
      <x:c r="E40" s="17" t="n">
        <x:f>IFERROR(E37/Inputs!Z81-1,0)</x:f>
        <x:v>7.038461538461538</x:v>
      </x:c>
      <x:c r="F40" s="17" t="n">
        <x:f>IFERROR(F37/Inputs!Z82-1,0)</x:f>
        <x:v>26.57377049180328</x:v>
      </x:c>
      <x:c r="G40" s="17" t="n">
        <x:f>IFERROR(G37/Inputs!Z83-1,0)</x:f>
        <x:v>26.72222222222222</x:v>
      </x:c>
      <x:c r="H40" s="21" t="n">
        <x:f>H37/C37-1</x:f>
        <x:v>14.08924395487355</x:v>
      </x:c>
      <x:c r="I40" s="1"/>
      <x:c r="J40" s="1"/>
      <x:c r="K40" s="1"/>
      <x:c r="L40" s="1"/>
    </x:row>
    <x:row r="41">
      <x:c r="B41" s="1" t="s">
        <x:v>136</x:v>
      </x:c>
      <x:c r="C41" s="8"/>
      <x:c r="D41" s="8"/>
      <x:c r="E41" s="8" t="n">
        <x:f>E37-C37</x:f>
        <x:v>335</x:v>
      </x:c>
      <x:c r="F41" s="8" t="n">
        <x:f>F37-E37</x:f>
        <x:v>1055</x:v>
      </x:c>
      <x:c r="G41" s="8" t="n">
        <x:f>G37-F37</x:f>
        <x:v>1811</x:v>
      </x:c>
      <x:c r="H41" s="19" t="n">
        <x:f>H37-G37</x:f>
        <x:v>913.0592348230766</x:v>
      </x:c>
      <x:c r="I41" s="1"/>
      <x:c r="J41" s="1"/>
      <x:c r="K41" s="1"/>
      <x:c r="L41" s="1"/>
    </x:row>
    <x:row r="42">
      <x:c r="B42" s="1" t="s">
        <x:v>137</x:v>
      </x:c>
      <x:c r="C42" s="1"/>
      <x:c r="D42" s="1"/>
      <x:c r="E42" s="1"/>
      <x:c r="F42" s="1"/>
      <x:c r="G42" s="1"/>
      <x:c r="H42" s="11"/>
      <x:c r="I42" s="1"/>
      <x:c r="J42" s="1" t="s">
        <x:v>138</x:v>
      </x:c>
      <x:c r="K42" s="1"/>
      <x:c r="L42" s="1"/>
    </x:row>
    <x:row r="43">
      <x:c r="B43" s="1" t="s">
        <x:v>139</x:v>
      </x:c>
      <x:c r="C43" s="1"/>
      <x:c r="D43" s="1"/>
      <x:c r="E43" s="1"/>
      <x:c r="F43" s="1"/>
      <x:c r="G43" s="1"/>
      <x:c r="H43" s="11" t="n">
        <x:f>G47</x:f>
        <x:v>1</x:v>
      </x:c>
      <x:c r="I43" s="1"/>
      <x:c r="J43" s="1"/>
      <x:c r="K43" s="1"/>
      <x:c r="L43" s="1"/>
    </x:row>
    <x:row r="44">
      <x:c r="B44" s="1" t="s">
        <x:v>140</x:v>
      </x:c>
      <x:c r="C44" s="1"/>
      <x:c r="D44" s="1"/>
      <x:c r="E44" s="1"/>
      <x:c r="F44" s="1"/>
      <x:c r="G44" s="1"/>
      <x:c r="H44" s="11" t="n">
        <x:f>MAX(H43*H13,0)</x:f>
        <x:v>0</x:v>
      </x:c>
      <x:c r="I44" s="1"/>
      <x:c r="J44" s="1"/>
      <x:c r="K44" s="1"/>
      <x:c r="L44" s="1"/>
    </x:row>
    <x:row r="45">
      <x:c r="B45" s="1" t="s">
        <x:v>141</x:v>
      </x:c>
      <x:c r="C45" s="1"/>
      <x:c r="D45" s="1"/>
      <x:c r="E45" s="1"/>
      <x:c r="F45" s="1"/>
      <x:c r="G45" s="1"/>
      <x:c r="H45" s="11" t="n">
        <x:f>MIN(H43*H13,0)</x:f>
        <x:v>-0.005</x:v>
      </x:c>
      <x:c r="I45" s="1"/>
      <x:c r="J45" s="1"/>
      <x:c r="K45" s="1"/>
      <x:c r="L45" s="1"/>
    </x:row>
    <x:row r="46">
      <x:c r="B46" s="1" t="s">
        <x:v>142</x:v>
      </x:c>
      <x:c r="C46" s="1"/>
      <x:c r="D46" s="1"/>
      <x:c r="E46" s="1"/>
      <x:c r="F46" s="1"/>
      <x:c r="G46" s="1"/>
      <x:c r="H46" s="11" t="n">
        <x:f>SUM(H44:H45)</x:f>
        <x:v>-0.005</x:v>
      </x:c>
      <x:c r="I46" s="1"/>
      <x:c r="J46" s="1"/>
      <x:c r="K46" s="1"/>
      <x:c r="L46" s="1"/>
    </x:row>
    <x:row r="47">
      <x:c r="B47" s="1" t="s">
        <x:v>143</x:v>
      </x:c>
      <x:c r="C47" s="1"/>
      <x:c r="D47" s="1"/>
      <x:c r="E47" s="1"/>
      <x:c r="F47" s="1"/>
      <x:c r="G47" s="23" t="n">
        <x:f>Inputs!L64</x:f>
        <x:v>1</x:v>
      </x:c>
      <x:c r="H47" s="34" t="n">
        <x:f>H43+H46</x:f>
        <x:v>0.995</x:v>
      </x:c>
      <x:c r="I47" s="1"/>
      <x:c r="J47" s="1"/>
      <x:c r="K47" s="1"/>
      <x:c r="L47" s="1"/>
    </x:row>
    <x:row r="48">
      <x:c r="B48" s="1" t="s">
        <x:v>144</x:v>
      </x:c>
      <x:c r="C48" s="1"/>
      <x:c r="D48" s="1"/>
      <x:c r="E48" s="1"/>
      <x:c r="F48" s="1"/>
      <x:c r="G48" s="1"/>
      <x:c r="H48" s="11" t="n">
        <x:f>AVERAGE(H43,H47)</x:f>
        <x:v>0.9975</x:v>
      </x:c>
      <x:c r="I48" s="1"/>
      <x:c r="J48" s="1"/>
      <x:c r="K48" s="1"/>
      <x:c r="L48" s="1"/>
    </x:row>
    <x:row r="49">
      <x:c r="B49" s="1" t="s">
        <x:v>145</x:v>
      </x:c>
      <x:c r="C49" s="1"/>
      <x:c r="D49" s="1"/>
      <x:c r="E49" s="1"/>
      <x:c r="F49" s="1"/>
      <x:c r="G49" s="1"/>
      <x:c r="H49" s="11" t="n">
        <x:f>H47-G47</x:f>
        <x:v>-0.0050000000000000044</x:v>
      </x:c>
      <x:c r="I49" s="1"/>
      <x:c r="J49" s="1"/>
      <x:c r="K49" s="1"/>
      <x:c r="L49" s="1"/>
    </x:row>
    <x:row r="50">
      <x:c r="B50" s="1" t="s">
        <x:v>146</x:v>
      </x:c>
      <x:c r="C50" s="1"/>
      <x:c r="D50" s="1"/>
      <x:c r="E50" s="1"/>
      <x:c r="F50" s="1"/>
      <x:c r="G50" s="1"/>
      <x:c r="H50" s="21" t="n">
        <x:f>H47/G47-1</x:f>
        <x:v>-0.0050000000000000044</x:v>
      </x:c>
      <x:c r="I50" s="1"/>
      <x:c r="J50" s="1"/>
      <x:c r="K50" s="1"/>
      <x:c r="L50" s="1"/>
    </x:row>
    <x:row r="51">
      <x:c r="B51" s="1" t="s">
        <x:v>147</x:v>
      </x:c>
      <x:c r="C51" s="1"/>
      <x:c r="D51" s="1"/>
      <x:c r="E51" s="1"/>
      <x:c r="F51" s="1"/>
      <x:c r="G51" s="47" t="n">
        <x:f>Inputs!L64</x:f>
        <x:v>1</x:v>
      </x:c>
      <x:c r="H51" s="45" t="n">
        <x:f>Inputs!L64*(1+H15)</x:f>
        <x:v>1.147</x:v>
      </x:c>
      <x:c r="I51" s="1"/>
      <x:c r="J51" s="1"/>
      <x:c r="K51" s="1"/>
      <x:c r="L51" s="1"/>
    </x:row>
    <x:row r="52">
      <x:c r="B52" s="1" t="s">
        <x:v>148</x:v>
      </x:c>
      <x:c r="C52" s="1"/>
      <x:c r="D52" s="1"/>
      <x:c r="E52" s="1"/>
      <x:c r="F52" s="1"/>
      <x:c r="G52" s="1"/>
      <x:c r="H52" s="21" t="n">
        <x:f>H51-G51</x:f>
        <x:v>0.14700000000000002</x:v>
      </x:c>
      <x:c r="I52" s="1"/>
      <x:c r="J52" s="1"/>
      <x:c r="K52" s="1"/>
      <x:c r="L52" s="1"/>
    </x:row>
    <x:row r="53">
      <x:c r="B53" s="1" t="s">
        <x:v>149</x:v>
      </x:c>
      <x:c r="C53" s="1"/>
      <x:c r="D53" s="1"/>
      <x:c r="E53" s="1"/>
      <x:c r="F53" s="1"/>
      <x:c r="G53" s="69" t="s">
        <x:v>44</x:v>
      </x:c>
      <x:c r="H53" s="72" t="s">
        <x:v>44</x:v>
      </x:c>
      <x:c r="I53" s="1"/>
      <x:c r="J53" s="1"/>
      <x:c r="K53" s="1"/>
      <x:c r="L53" s="1"/>
    </x:row>
    <x:row r="54">
      <x:c r="B54" s="1" t="s">
        <x:v>150</x:v>
      </x:c>
      <x:c r="C54" s="13" t="n">
        <x:f>C37-(D37-Inputs!Q94)</x:f>
        <x:v>0</x:v>
      </x:c>
      <x:c r="D54" s="8"/>
      <x:c r="E54" s="8"/>
      <x:c r="F54" s="8"/>
      <x:c r="G54" s="8"/>
      <x:c r="H54" s="8"/>
      <x:c r="I54" s="1"/>
      <x:c r="J54" s="1"/>
      <x:c r="K54" s="1"/>
      <x:c r="L54" s="1"/>
    </x:row>
    <x:row r="55">
      <x:c r="B55" s="1" t="s">
        <x:v>151</x:v>
      </x:c>
      <x:c r="C55" s="8"/>
      <x:c r="D55" s="8"/>
      <x:c r="E55" s="8" t="n">
        <x:f>E20-C20</x:f>
        <x:v>286</x:v>
      </x:c>
      <x:c r="F55" s="8" t="n">
        <x:f>F20-E20</x:f>
        <x:v>988</x:v>
      </x:c>
      <x:c r="G55" s="8" t="n">
        <x:f>G20-F20</x:f>
        <x:v>1926</x:v>
      </x:c>
      <x:c r="H55" s="19" t="n">
        <x:f>H20-G20</x:f>
        <x:v>1061.439087692307</x:v>
      </x:c>
      <x:c r="I55" s="1"/>
      <x:c r="J55" s="1"/>
      <x:c r="K55" s="1"/>
      <x:c r="L55" s="1"/>
    </x:row>
    <x:row r="56">
      <x:c r="B56" s="1" t="s">
        <x:v>152</x:v>
      </x:c>
      <x:c r="C56" s="8"/>
      <x:c r="D56" s="8"/>
      <x:c r="E56" s="8" t="n">
        <x:f>(E23-C23)*10000</x:f>
        <x:v>-6.624450279682503</x:v>
      </x:c>
      <x:c r="F56" s="8" t="n">
        <x:f>(F23-E23)*10000</x:f>
        <x:v>-125.76588530212304</x:v>
      </x:c>
      <x:c r="G56" s="8" t="n">
        <x:f>(G23-F23)*10000</x:f>
        <x:v>-17.142242005420137</x:v>
      </x:c>
      <x:c r="H56" s="19" t="n">
        <x:f>(H23-G23)*10000</x:f>
        <x:v>-11.48833115566808</x:v>
      </x:c>
      <x:c r="I56" s="1"/>
      <x:c r="J56" s="1"/>
      <x:c r="K56" s="1"/>
      <x:c r="L56" s="1"/>
    </x:row>
    <x:row r="57">
      <x:c r="B57" s="1" t="s">
        <x:v>153</x:v>
      </x:c>
      <x:c r="C57" s="8"/>
      <x:c r="D57" s="8"/>
      <x:c r="E57" s="8"/>
      <x:c r="F57" s="8"/>
      <x:c r="G57" s="8"/>
      <x:c r="H57" s="19" t="n">
        <x:f>H20-C20</x:f>
        <x:v>4261.439087692307</x:v>
      </x:c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157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158</x:v>
      </x:c>
      <x:c r="C9" s="8"/>
      <x:c r="D9" s="8"/>
      <x:c r="E9" s="8"/>
      <x:c r="F9" s="8"/>
      <x:c r="G9" s="8"/>
      <x:c r="H9" s="19"/>
      <x:c r="I9" s="1"/>
      <x:c r="J9" s="1"/>
      <x:c r="K9" s="1"/>
      <x:c r="L9" s="1"/>
    </x:row>
    <x:row r="10">
      <x:c r="B10" s="14" t="s">
        <x:v>159</x:v>
      </x:c>
      <x:c r="C10" s="60" t="n">
        <x:f>'Revenue summary'!C53</x:f>
        <x:v>11315</x:v>
      </x:c>
      <x:c r="D10" s="60" t="n">
        <x:f>'Revenue summary'!D53</x:f>
        <x:v>37378</x:v>
      </x:c>
      <x:c r="E10" s="60" t="n">
        <x:f>'Revenue summary'!E53</x:f>
        <x:v>13643</x:v>
      </x:c>
      <x:c r="F10" s="60" t="n">
        <x:f>'Revenue summary'!F53</x:f>
        <x:v>23860</x:v>
      </x:c>
      <x:c r="G10" s="60" t="n">
        <x:f>'Revenue summary'!G53</x:f>
        <x:v>41456</x:v>
      </x:c>
      <x:c r="H10" s="59" t="n">
        <x:f>'Revenue summary'!H53</x:f>
        <x:v>51480.78288846153</x:v>
      </x:c>
      <x:c r="I10" s="1"/>
      <x:c r="J10" s="1"/>
      <x:c r="K10" s="1"/>
      <x:c r="L10" s="1"/>
    </x:row>
    <x:row r="11">
      <x:c r="B11" s="1" t="s">
        <x:v>56</x:v>
      </x:c>
      <x:c r="C11" s="17" t="n">
        <x:f>C10/Inputs!V85-1</x:f>
        <x:v>0.45999999999999996</x:v>
      </x:c>
      <x:c r="D11" s="17" t="n">
        <x:f>D10/Inputs!V84-1</x:f>
        <x:v>0.4885110111106685</x:v>
      </x:c>
      <x:c r="E11" s="17" t="n">
        <x:f>E10/Inputs!V81-1</x:f>
        <x:v>0.5665403605465611</x:v>
      </x:c>
      <x:c r="F11" s="17" t="n">
        <x:f>F10/Inputs!V82-1</x:f>
        <x:v>1.9628709797590962</x:v>
      </x:c>
      <x:c r="G11" s="17" t="n">
        <x:f>G10/Inputs!V83-1</x:f>
        <x:v>3.457155144608107</x:v>
      </x:c>
      <x:c r="H11" s="21" t="n">
        <x:f>H10/C10-1</x:f>
        <x:v>3.549781960977599</x:v>
      </x:c>
      <x:c r="I11" s="1"/>
      <x:c r="J11" s="1"/>
      <x:c r="K11" s="1"/>
      <x:c r="L11" s="1"/>
    </x:row>
    <x:row r="12">
      <x:c r="B12" s="1" t="s">
        <x:v>57</x:v>
      </x:c>
      <x:c r="C12" s="5"/>
      <x:c r="D12" s="5"/>
      <x:c r="E12" s="5" t="n">
        <x:f>IFERROR(E10/C10-1,0)</x:f>
        <x:v>0.20574458683163943</x:v>
      </x:c>
      <x:c r="F12" s="5" t="n">
        <x:f>IFERROR(F10/E10-1,0)</x:f>
        <x:v>0.74888221065748</x:v>
      </x:c>
      <x:c r="G12" s="5" t="n">
        <x:f>IFERROR(G10/F10-1,0)</x:f>
        <x:v>0.737468566638726</x:v>
      </x:c>
      <x:c r="H12" s="21" t="n">
        <x:f>IFERROR(H10/G10-1,0)</x:f>
        <x:v>0.24181741818944258</x:v>
      </x:c>
      <x:c r="I12" s="1"/>
      <x:c r="J12" s="1"/>
      <x:c r="K12" s="1"/>
      <x:c r="L12" s="1"/>
    </x:row>
    <x:row r="13">
      <x:c r="B13" s="1" t="s">
        <x:v>125</x:v>
      </x:c>
      <x:c r="C13" s="4">
        <x:v>6261</x:v>
      </x:c>
      <x:c r="D13" s="4">
        <x:v>22505</x:v>
      </x:c>
      <x:c r="E13" s="4">
        <x:v>5997</x:v>
      </x:c>
      <x:c r="F13" s="4">
        <x:v>6105</x:v>
      </x:c>
      <x:c r="G13" s="4">
        <x:v>6400</x:v>
      </x:c>
      <x:c r="H13" s="6" t="n">
        <x:f>H10*(1-Inputs!L19)</x:f>
        <x:v>7155.828821496153</x:v>
      </x:c>
      <x:c r="I13" s="1"/>
      <x:c r="J13" s="1"/>
      <x:c r="K13" s="1"/>
      <x:c r="L13" s="1"/>
    </x:row>
    <x:row r="14">
      <x:c r="B14" s="14" t="s">
        <x:v>126</x:v>
      </x:c>
      <x:c r="C14" s="7" t="n">
        <x:f>C10-C13</x:f>
        <x:v>5054</x:v>
      </x:c>
      <x:c r="D14" s="7" t="n">
        <x:f>D10-D13</x:f>
        <x:v>14873</x:v>
      </x:c>
      <x:c r="E14" s="7" t="n">
        <x:f>E10-E13</x:f>
        <x:v>7646</x:v>
      </x:c>
      <x:c r="F14" s="7" t="n">
        <x:f>F10-F13</x:f>
        <x:v>17755</x:v>
      </x:c>
      <x:c r="G14" s="7" t="n">
        <x:f>G10-G13</x:f>
        <x:v>35056</x:v>
      </x:c>
      <x:c r="H14" s="9" t="n">
        <x:f>H10-H13</x:f>
        <x:v>44324.95406696538</x:v>
      </x:c>
      <x:c r="I14" s="1"/>
      <x:c r="J14" s="1"/>
      <x:c r="K14" s="1"/>
      <x:c r="L14" s="1"/>
    </x:row>
    <x:row r="15">
      <x:c r="B15" s="1" t="s">
        <x:v>127</x:v>
      </x:c>
      <x:c r="C15" s="5" t="n">
        <x:f>IFERROR(C14/C10,0)</x:f>
        <x:v>0.44666372072470173</x:v>
      </x:c>
      <x:c r="D15" s="5" t="n">
        <x:f>IFERROR(D14/D10,0)</x:f>
        <x:v>0.39790786023864305</x:v>
      </x:c>
      <x:c r="E15" s="5" t="n">
        <x:f>IFERROR(E14/E10,0)</x:f>
        <x:v>0.5604339221578831</x:v>
      </x:c>
      <x:c r="F15" s="5" t="n">
        <x:f>IFERROR(F14/F10,0)</x:f>
        <x:v>0.7441324392288349</x:v>
      </x:c>
      <x:c r="G15" s="5" t="n">
        <x:f>IFERROR(G14/G10,0)</x:f>
        <x:v>0.8456194519490544</x:v>
      </x:c>
      <x:c r="H15" s="21" t="n">
        <x:f>IFERROR(H14/H10,0)</x:f>
        <x:v>0.8610000000000001</x:v>
      </x:c>
      <x:c r="I15" s="1"/>
      <x:c r="J15" s="1"/>
      <x:c r="K15" s="1"/>
      <x:c r="L15" s="1"/>
    </x:row>
    <x:row r="16">
      <x:c r="B16" s="1" t="s">
        <x:v>128</x:v>
      </x:c>
      <x:c r="C16" s="8"/>
      <x:c r="D16" s="8"/>
      <x:c r="E16" s="8" t="n">
        <x:f>(E15-C15)*10000</x:f>
        <x:v>1137.7020143318139</x:v>
      </x:c>
      <x:c r="F16" s="8" t="n">
        <x:f>(F15-E15)*10000</x:f>
        <x:v>1836.9851707095174</x:v>
      </x:c>
      <x:c r="G16" s="8" t="n">
        <x:f>(G15-F15)*10000</x:f>
        <x:v>1014.8701272021954</x:v>
      </x:c>
      <x:c r="H16" s="19" t="n">
        <x:f>(H15-G15)*10000</x:f>
        <x:v>153.80548050945686</x:v>
      </x:c>
      <x:c r="I16" s="1"/>
      <x:c r="J16" s="1"/>
      <x:c r="K16" s="1"/>
      <x:c r="L16" s="1"/>
    </x:row>
    <x:row r="17">
      <x:c r="B17" s="1" t="s">
        <x:v>129</x:v>
      </x:c>
      <x:c r="C17" s="4">
        <x:v>1047</x:v>
      </x:c>
      <x:c r="D17" s="4">
        <x:v>3798</x:v>
      </x:c>
      <x:c r="E17" s="4">
        <x:v>1171</x:v>
      </x:c>
      <x:c r="F17" s="4">
        <x:v>1250</x:v>
      </x:c>
      <x:c r="G17" s="4">
        <x:v>1316</x:v>
      </x:c>
      <x:c r="H17" s="6" t="n">
        <x:f>Inputs!L20</x:f>
        <x:v>1390</x:v>
      </x:c>
      <x:c r="I17" s="1"/>
      <x:c r="J17" s="1"/>
      <x:c r="K17" s="1"/>
      <x:c r="L17" s="1"/>
    </x:row>
    <x:row r="18">
      <x:c r="B18" s="1" t="s">
        <x:v>130</x:v>
      </x:c>
      <x:c r="C18" s="4">
        <x:v>314</x:v>
      </x:c>
      <x:c r="D18" s="4">
        <x:v>1205</x:v>
      </x:c>
      <x:c r="E18" s="4">
        <x:v>337</x:v>
      </x:c>
      <x:c r="F18" s="4">
        <x:v>344</x:v>
      </x:c>
      <x:c r="G18" s="4">
        <x:v>407</x:v>
      </x:c>
      <x:c r="H18" s="6" t="n">
        <x:f>Inputs!L21</x:f>
        <x:v>440</x:v>
      </x:c>
      <x:c r="I18" s="1"/>
      <x:c r="J18" s="1"/>
      <x:c r="K18" s="1"/>
      <x:c r="L18" s="1"/>
    </x:row>
    <x:row r="19">
      <x:c r="B19" s="1" t="s">
        <x:v>160</x:v>
      </x:c>
      <x:c r="C19" s="4">
        <x:v>38</x:v>
      </x:c>
      <x:c r="D19" s="4">
        <x:v>39</x:v>
      </x:c>
      <x:c r="E19" s="4">
        <x:v>0</x:v>
      </x:c>
      <x:c r="F19" s="4">
        <x:v>0</x:v>
      </x:c>
      <x:c r="G19" s="4">
        <x:v>0</x:v>
      </x:c>
      <x:c r="H19" s="6" t="n">
        <x:f>Inputs!L29</x:f>
        <x:v>0</x:v>
      </x:c>
      <x:c r="I19" s="1"/>
      <x:c r="J19" s="1"/>
      <x:c r="K19" s="1"/>
      <x:c r="L19" s="1"/>
    </x:row>
    <x:row r="20">
      <x:c r="B20" s="1" t="s">
        <x:v>131</x:v>
      </x:c>
      <x:c r="C20" s="4">
        <x:v>1</x:v>
      </x:c>
      <x:c r="D20" s="4">
        <x:v>61</x:v>
      </x:c>
      <x:c r="E20" s="4">
        <x:v>2</x:v>
      </x:c>
      <x:c r="F20" s="4">
        <x:v>26</x:v>
      </x:c>
      <x:c r="G20" s="4">
        <x:v>15</x:v>
      </x:c>
      <x:c r="H20" s="6" t="n">
        <x:f>Inputs!L22</x:f>
        <x:v>30</x:v>
      </x:c>
      <x:c r="I20" s="1"/>
      <x:c r="J20" s="1"/>
      <x:c r="K20" s="1"/>
      <x:c r="L20" s="1"/>
    </x:row>
    <x:row r="21">
      <x:c r="B21" s="14" t="s">
        <x:v>161</x:v>
      </x:c>
      <x:c r="C21" s="7" t="n">
        <x:f>SUM(C17:C20)</x:f>
        <x:v>1400</x:v>
      </x:c>
      <x:c r="D21" s="7" t="n">
        <x:f>SUM(D17:D20)</x:f>
        <x:v>5103</x:v>
      </x:c>
      <x:c r="E21" s="7" t="n">
        <x:f>SUM(E17:E20)</x:f>
        <x:v>1510</x:v>
      </x:c>
      <x:c r="F21" s="7" t="n">
        <x:f>SUM(F17:F20)</x:f>
        <x:v>1620</x:v>
      </x:c>
      <x:c r="G21" s="7" t="n">
        <x:f>SUM(G17:G20)</x:f>
        <x:v>1738</x:v>
      </x:c>
      <x:c r="H21" s="9" t="n">
        <x:f>SUM(H17:H20)</x:f>
        <x:v>1860</x:v>
      </x:c>
      <x:c r="I21" s="1"/>
      <x:c r="J21" s="1"/>
      <x:c r="K21" s="1"/>
      <x:c r="L21" s="1"/>
    </x:row>
    <x:row r="22">
      <x:c r="B22" s="14" t="s">
        <x:v>162</x:v>
      </x:c>
      <x:c r="C22" s="7" t="n">
        <x:f>C14-C21</x:f>
        <x:v>3654</x:v>
      </x:c>
      <x:c r="D22" s="7" t="n">
        <x:f>D14-D21</x:f>
        <x:v>9770</x:v>
      </x:c>
      <x:c r="E22" s="7" t="n">
        <x:f>E14-E21</x:f>
        <x:v>6136</x:v>
      </x:c>
      <x:c r="F22" s="7" t="n">
        <x:f>F14-F21</x:f>
        <x:v>16135</x:v>
      </x:c>
      <x:c r="G22" s="7" t="n">
        <x:f>G14-G21</x:f>
        <x:v>33318</x:v>
      </x:c>
      <x:c r="H22" s="9" t="n">
        <x:f>H14-H21</x:f>
        <x:v>42464.95406696538</x:v>
      </x:c>
      <x:c r="I22" s="1"/>
      <x:c r="J22" s="1"/>
      <x:c r="K22" s="1"/>
      <x:c r="L22" s="1"/>
    </x:row>
    <x:row r="23">
      <x:c r="B23" s="1" t="s">
        <x:v>133</x:v>
      </x:c>
      <x:c r="C23" s="5" t="n">
        <x:f>IFERROR(C22/C10,0)</x:f>
        <x:v>0.32293415819708354</x:v>
      </x:c>
      <x:c r="D23" s="5" t="n">
        <x:f>IFERROR(D22/D10,0)</x:f>
        <x:v>0.2613837016426775</x:v>
      </x:c>
      <x:c r="E23" s="5" t="n">
        <x:f>IFERROR(E22/E10,0)</x:f>
        <x:v>0.4497544528329546</x:v>
      </x:c>
      <x:c r="F23" s="5" t="n">
        <x:f>IFERROR(F22/F10,0)</x:f>
        <x:v>0.6762363788767812</x:v>
      </x:c>
      <x:c r="G23" s="5" t="n">
        <x:f>IFERROR(G22/G10,0)</x:f>
        <x:v>0.8036954843689695</x:v>
      </x:c>
      <x:c r="H23" s="21" t="n">
        <x:f>IFERROR(H22/H10,0)</x:f>
        <x:v>0.824870013320701</x:v>
      </x:c>
      <x:c r="I23" s="1"/>
      <x:c r="J23" s="1"/>
      <x:c r="K23" s="1"/>
      <x:c r="L23" s="1"/>
    </x:row>
    <x:row r="24">
      <x:c r="B24" s="1" t="s">
        <x:v>134</x:v>
      </x:c>
      <x:c r="C24" s="8"/>
      <x:c r="D24" s="8"/>
      <x:c r="E24" s="8" t="n">
        <x:f>(E23-C23)*10000</x:f>
        <x:v>1268.2029463587107</x:v>
      </x:c>
      <x:c r="F24" s="8" t="n">
        <x:f>(F23-E23)*10000</x:f>
        <x:v>2264.819260438266</x:v>
      </x:c>
      <x:c r="G24" s="8" t="n">
        <x:f>(G23-F23)*10000</x:f>
        <x:v>1274.5910549218831</x:v>
      </x:c>
      <x:c r="H24" s="19" t="n">
        <x:f>(H23-G23)*10000</x:f>
        <x:v>211.7452895173144</x:v>
      </x:c>
      <x:c r="I24" s="1"/>
      <x:c r="J24" s="1"/>
      <x:c r="K24" s="1"/>
      <x:c r="L24" s="1"/>
    </x:row>
    <x:row r="25">
      <x:c r="B25" s="1" t="s">
        <x:v>163</x:v>
      </x:c>
      <x:c r="C25" s="4">
        <x:v>146</x:v>
      </x:c>
      <x:c r="D25" s="4">
        <x:v>496</x:v>
      </x:c>
      <x:c r="E25" s="4">
        <x:v>139</x:v>
      </x:c>
      <x:c r="F25" s="4">
        <x:v>155</x:v>
      </x:c>
      <x:c r="G25" s="4">
        <x:v>215</x:v>
      </x:c>
      <x:c r="H25" s="6" t="n">
        <x:f>Inputs!L23</x:f>
        <x:v>225</x:v>
      </x:c>
      <x:c r="I25" s="1"/>
      <x:c r="J25" s="1"/>
      <x:c r="K25" s="1"/>
      <x:c r="L25" s="1"/>
    </x:row>
    <x:row r="26">
      <x:c r="B26" s="1" t="s">
        <x:v>164</x:v>
      </x:c>
      <x:c r="C26" s="4">
        <x:v>-124</x:v>
      </x:c>
      <x:c r="D26" s="4">
        <x:v>-477</x:v>
      </x:c>
      <x:c r="E26" s="4">
        <x:v>-74</x:v>
      </x:c>
      <x:c r="F26" s="4">
        <x:v>-32</x:v>
      </x:c>
      <x:c r="G26" s="4">
        <x:v>0</x:v>
      </x:c>
      <x:c r="H26" s="6" t="n">
        <x:f>Inputs!L24</x:f>
        <x:v>0</x:v>
      </x:c>
      <x:c r="I26" s="1"/>
      <x:c r="J26" s="1"/>
      <x:c r="K26" s="1"/>
      <x:c r="L26" s="1"/>
    </x:row>
    <x:row r="27">
      <x:c r="B27" s="1" t="s">
        <x:v>165</x:v>
      </x:c>
      <x:c r="C27" s="4">
        <x:v>-45</x:v>
      </x:c>
      <x:c r="D27" s="4">
        <x:v>-135</x:v>
      </x:c>
      <x:c r="E27" s="4">
        <x:v>-140</x:v>
      </x:c>
      <x:c r="F27" s="4">
        <x:v>-98</x:v>
      </x:c>
      <x:c r="G27" s="4">
        <x:v>-321</x:v>
      </x:c>
      <x:c r="H27" s="6" t="n">
        <x:f>Inputs!L25</x:f>
        <x:v>-115</x:v>
      </x:c>
      <x:c r="I27" s="1"/>
      <x:c r="J27" s="1"/>
      <x:c r="K27" s="1"/>
      <x:c r="L27" s="1"/>
    </x:row>
    <x:row r="28">
      <x:c r="B28" s="14" t="s">
        <x:v>166</x:v>
      </x:c>
      <x:c r="C28" s="7" t="n">
        <x:f>C22+SUM(C25:C27)</x:f>
        <x:v>3631</x:v>
      </x:c>
      <x:c r="D28" s="7" t="n">
        <x:f>D22+SUM(D25:D27)</x:f>
        <x:v>9654</x:v>
      </x:c>
      <x:c r="E28" s="7" t="n">
        <x:f>E22+SUM(E25:E27)</x:f>
        <x:v>6061</x:v>
      </x:c>
      <x:c r="F28" s="7" t="n">
        <x:f>F22+SUM(F25:F27)</x:f>
        <x:v>16160</x:v>
      </x:c>
      <x:c r="G28" s="7" t="n">
        <x:f>G22+SUM(G25:G27)</x:f>
        <x:v>33212</x:v>
      </x:c>
      <x:c r="H28" s="9" t="n">
        <x:f>H22+SUM(H25:H27)</x:f>
        <x:v>42574.95406696538</x:v>
      </x:c>
      <x:c r="I28" s="1"/>
      <x:c r="J28" s="1"/>
      <x:c r="K28" s="1"/>
      <x:c r="L28" s="1"/>
    </x:row>
    <x:row r="29">
      <x:c r="B29" s="1" t="s">
        <x:v>167</x:v>
      </x:c>
      <x:c r="C29" s="4">
        <x:v>-429</x:v>
      </x:c>
      <x:c r="D29" s="4">
        <x:v>-1124</x:v>
      </x:c>
      <x:c r="E29" s="4">
        <x:v>-829</x:v>
      </x:c>
      <x:c r="F29" s="4">
        <x:v>-2371</x:v>
      </x:c>
      <x:c r="G29" s="4">
        <x:v>-4978</x:v>
      </x:c>
      <x:c r="H29" s="6" t="n">
        <x:f>-H28*Inputs!L27</x:f>
        <x:v>-6386.243110044807</x:v>
      </x:c>
      <x:c r="I29" s="1"/>
      <x:c r="J29" s="1"/>
      <x:c r="K29" s="1"/>
      <x:c r="L29" s="1"/>
    </x:row>
    <x:row r="30">
      <x:c r="B30" s="1" t="s">
        <x:v>168</x:v>
      </x:c>
      <x:c r="C30" s="5" t="n">
        <x:f>IFERROR(-C29/C28,0)</x:f>
        <x:v>0.11814927017350592</x:v>
      </x:c>
      <x:c r="D30" s="5" t="n">
        <x:f>IFERROR(-D29/D28,0)</x:f>
        <x:v>0.1164284234514191</x:v>
      </x:c>
      <x:c r="E30" s="5" t="n">
        <x:f>IFERROR(-E29/E28,0)</x:f>
        <x:v>0.13677610955287905</x:v>
      </x:c>
      <x:c r="F30" s="5" t="n">
        <x:f>IFERROR(-F29/F28,0)</x:f>
        <x:v>0.14672029702970296</x:v>
      </x:c>
      <x:c r="G30" s="5" t="n">
        <x:f>IFERROR(-G29/G28,0)</x:f>
        <x:v>0.14988558352402745</x:v>
      </x:c>
      <x:c r="H30" s="21" t="n">
        <x:f>IFERROR(-H29/H28,0)</x:f>
        <x:v>0.15</x:v>
      </x:c>
      <x:c r="I30" s="1"/>
      <x:c r="J30" s="1"/>
      <x:c r="K30" s="1"/>
      <x:c r="L30" s="1"/>
    </x:row>
    <x:row r="31">
      <x:c r="B31" s="1" t="s">
        <x:v>169</x:v>
      </x:c>
      <x:c r="C31" s="4">
        <x:v>-1</x:v>
      </x:c>
      <x:c r="D31" s="4">
        <x:v>9</x:v>
      </x:c>
      <x:c r="E31" s="4">
        <x:v>8</x:v>
      </x:c>
      <x:c r="F31" s="4">
        <x:v>-4</x:v>
      </x:c>
      <x:c r="G31" s="4">
        <x:v>9</x:v>
      </x:c>
      <x:c r="H31" s="6" t="n">
        <x:f>Inputs!L26</x:f>
        <x:v>5</x:v>
      </x:c>
      <x:c r="I31" s="1"/>
      <x:c r="J31" s="1"/>
      <x:c r="K31" s="1"/>
      <x:c r="L31" s="1"/>
    </x:row>
    <x:row r="32">
      <x:c r="B32" s="14" t="s">
        <x:v>170</x:v>
      </x:c>
      <x:c r="C32" s="7" t="n">
        <x:f>SUM(C28:C29,C31)</x:f>
        <x:v>3201</x:v>
      </x:c>
      <x:c r="D32" s="7" t="n">
        <x:f>SUM(D28:D29,D31)</x:f>
        <x:v>8539</x:v>
      </x:c>
      <x:c r="E32" s="7" t="n">
        <x:f>SUM(E28:E29,E31)</x:f>
        <x:v>5240</x:v>
      </x:c>
      <x:c r="F32" s="7" t="n">
        <x:f>SUM(F28:F29,F31)</x:f>
        <x:v>13785</x:v>
      </x:c>
      <x:c r="G32" s="7" t="n">
        <x:f>SUM(G28:G29,G31)</x:f>
        <x:v>28243</x:v>
      </x:c>
      <x:c r="H32" s="9" t="n">
        <x:f>SUM(H28:H29,H31)</x:f>
        <x:v>36193.71095692057</x:v>
      </x:c>
      <x:c r="I32" s="1"/>
      <x:c r="J32" s="1"/>
      <x:c r="K32" s="1"/>
      <x:c r="L32" s="1"/>
    </x:row>
    <x:row r="33">
      <x:c r="B33" s="1" t="s">
        <x:v>47</x:v>
      </x:c>
      <x:c r="C33" s="30" t="n">
        <x:f>IFERROR(C32/C35,0)</x:f>
        <x:v>2.830238726790451</x:v>
      </x:c>
      <x:c r="D33" s="30" t="n">
        <x:f>IFERROR(D32/D35,0)</x:f>
        <x:v>7.590222222222223</x:v>
      </x:c>
      <x:c r="E33" s="30" t="n">
        <x:f>IFERROR(E32/E35,0)</x:f>
        <x:v>4.6045694200351495</x:v>
      </x:c>
      <x:c r="F33" s="30" t="n">
        <x:f>IFERROR(F32/F35,0)</x:f>
        <x:v>12.07092819614711</x:v>
      </x:c>
      <x:c r="G33" s="30" t="n">
        <x:f>IFERROR(G32/G35,0)</x:f>
        <x:v>24.66637554585153</x:v>
      </x:c>
      <x:c r="H33" s="58" t="n">
        <x:f>IFERROR(H32/H35,0)</x:f>
        <x:v>31.500183600453063</x:v>
      </x:c>
      <x:c r="I33" s="1"/>
      <x:c r="J33" s="1"/>
      <x:c r="K33" s="1"/>
      <x:c r="L33" s="1"/>
    </x:row>
    <x:row r="34">
      <x:c r="B34" s="1" t="s">
        <x:v>171</x:v>
      </x:c>
      <x:c r="C34" s="13" t="n">
        <x:f>'Share Count'!C15</x:f>
        <x:v>1120</x:v>
      </x:c>
      <x:c r="D34" s="13" t="n">
        <x:f>'Share Count'!D15</x:f>
        <x:v>1116</x:v>
      </x:c>
      <x:c r="E34" s="13" t="n">
        <x:f>'Share Count'!E15</x:f>
        <x:v>1125</x:v>
      </x:c>
      <x:c r="F34" s="13" t="n">
        <x:f>'Share Count'!F15</x:f>
        <x:v>1126</x:v>
      </x:c>
      <x:c r="G34" s="13" t="n">
        <x:f>'Share Count'!G15</x:f>
        <x:v>1128</x:v>
      </x:c>
      <x:c r="H34" s="6" t="n">
        <x:f>'Share Count'!H15</x:f>
        <x:v>1132</x:v>
      </x:c>
      <x:c r="I34" s="1"/>
      <x:c r="J34" s="1"/>
      <x:c r="K34" s="1"/>
      <x:c r="L34" s="1"/>
    </x:row>
    <x:row r="35">
      <x:c r="B35" s="1" t="s">
        <x:v>172</x:v>
      </x:c>
      <x:c r="C35" s="13" t="n">
        <x:f>'Share Count'!C18</x:f>
        <x:v>1131</x:v>
      </x:c>
      <x:c r="D35" s="13" t="n">
        <x:f>'Share Count'!D18</x:f>
        <x:v>1125</x:v>
      </x:c>
      <x:c r="E35" s="13" t="n">
        <x:f>'Share Count'!E18</x:f>
        <x:v>1138</x:v>
      </x:c>
      <x:c r="F35" s="13" t="n">
        <x:f>'Share Count'!F18</x:f>
        <x:v>1142</x:v>
      </x:c>
      <x:c r="G35" s="13" t="n">
        <x:f>'Share Count'!G18</x:f>
        <x:v>1145</x:v>
      </x:c>
      <x:c r="H35" s="6" t="n">
        <x:f>'Share Count'!H18</x:f>
        <x:v>1149</x:v>
      </x:c>
      <x:c r="I35" s="1"/>
      <x:c r="J35" s="1"/>
      <x:c r="K35" s="1"/>
      <x:c r="L35" s="1"/>
    </x:row>
    <x:row r="36">
      <x:c r="B36" s="1" t="s">
        <x:v>173</x:v>
      </x:c>
      <x:c r="C36" s="8" t="n">
        <x:f>IFERROR(C32/C35-C33,0)</x:f>
        <x:v>0</x:v>
      </x:c>
      <x:c r="D36" s="8" t="n">
        <x:f>IFERROR(D32/D35-D33,0)</x:f>
        <x:v>0</x:v>
      </x:c>
      <x:c r="E36" s="8" t="n">
        <x:f>IFERROR(E32/E35-E33,0)</x:f>
        <x:v>0</x:v>
      </x:c>
      <x:c r="F36" s="8" t="n">
        <x:f>IFERROR(F32/F35-F33,0)</x:f>
        <x:v>0</x:v>
      </x:c>
      <x:c r="G36" s="8" t="n">
        <x:f>IFERROR(G32/G35-G33,0)</x:f>
        <x:v>0</x:v>
      </x:c>
      <x:c r="H36" s="19" t="n">
        <x:f>IFERROR(H32/H35-H33,0)</x:f>
        <x:v>0</x:v>
      </x:c>
      <x:c r="I36" s="1"/>
      <x:c r="J36" s="1"/>
      <x:c r="K36" s="1"/>
      <x:c r="L36" s="1"/>
    </x:row>
    <x:row r="37">
      <x:c r="B37" s="1" t="s">
        <x:v>174</x:v>
      </x:c>
      <x:c r="C37" s="8"/>
      <x:c r="D37" s="8"/>
      <x:c r="E37" s="8"/>
      <x:c r="F37" s="8"/>
      <x:c r="G37" s="8"/>
      <x:c r="H37" s="19"/>
      <x:c r="I37" s="1"/>
      <x:c r="J37" s="1"/>
      <x:c r="K37" s="1"/>
      <x:c r="L37" s="1"/>
    </x:row>
    <x:row r="38">
      <x:c r="B38" s="1" t="s">
        <x:v>175</x:v>
      </x:c>
      <x:c r="C38" s="8" t="n">
        <x:f>C32</x:f>
        <x:v>3201</x:v>
      </x:c>
      <x:c r="D38" s="8" t="n">
        <x:f>D32</x:f>
        <x:v>8539</x:v>
      </x:c>
      <x:c r="E38" s="8" t="n">
        <x:f>E32</x:f>
        <x:v>5240</x:v>
      </x:c>
      <x:c r="F38" s="8" t="n">
        <x:f>F32</x:f>
        <x:v>13785</x:v>
      </x:c>
      <x:c r="G38" s="8" t="n">
        <x:f>G32</x:f>
        <x:v>28243</x:v>
      </x:c>
      <x:c r="H38" s="19" t="n">
        <x:f>H32</x:f>
        <x:v>36193.71095692057</x:v>
      </x:c>
      <x:c r="I38" s="1"/>
      <x:c r="J38" s="1"/>
      <x:c r="K38" s="1"/>
      <x:c r="L38" s="1"/>
    </x:row>
    <x:row r="39">
      <x:c r="B39" s="1" t="s">
        <x:v>176</x:v>
      </x:c>
      <x:c r="C39" s="4">
        <x:v>262</x:v>
      </x:c>
      <x:c r="D39" s="4">
        <x:v>975</x:v>
      </x:c>
      <x:c r="E39" s="4">
        <x:v>280</x:v>
      </x:c>
      <x:c r="F39" s="4">
        <x:v>297</x:v>
      </x:c>
      <x:c r="G39" s="4">
        <x:v>341</x:v>
      </x:c>
      <x:c r="H39" s="6" t="n">
        <x:f>Inputs!L28</x:f>
        <x:v>355</x:v>
      </x:c>
      <x:c r="I39" s="1"/>
      <x:c r="J39" s="1"/>
      <x:c r="K39" s="1"/>
      <x:c r="L39" s="1"/>
    </x:row>
    <x:row r="40">
      <x:c r="B40" s="1" t="s">
        <x:v>177</x:v>
      </x:c>
      <x:c r="C40" s="4">
        <x:v>9</x:v>
      </x:c>
      <x:c r="D40" s="4">
        <x:v>59</x:v>
      </x:c>
      <x:c r="E40" s="4">
        <x:v>130</x:v>
      </x:c>
      <x:c r="F40" s="4">
        <x:v>47</x:v>
      </x:c>
      <x:c r="G40" s="4">
        <x:v>325</x:v>
      </x:c>
      <x:c r="H40" s="6" t="n">
        <x:f>Inputs!L29</x:f>
        <x:v>0</x:v>
      </x:c>
      <x:c r="I40" s="1"/>
      <x:c r="J40" s="1"/>
      <x:c r="K40" s="1"/>
      <x:c r="L40" s="1"/>
    </x:row>
    <x:row r="41">
      <x:c r="B41" s="1" t="s">
        <x:v>178</x:v>
      </x:c>
      <x:c r="C41" s="4">
        <x:v>38</x:v>
      </x:c>
      <x:c r="D41" s="4">
        <x:v>39</x:v>
      </x:c>
      <x:c r="E41" s="4">
        <x:v>0</x:v>
      </x:c>
      <x:c r="F41" s="4">
        <x:v>0</x:v>
      </x:c>
      <x:c r="G41" s="4">
        <x:v>0</x:v>
      </x:c>
      <x:c r="H41" s="6" t="n">
        <x:f>H19</x:f>
        <x:v>0</x:v>
      </x:c>
      <x:c r="I41" s="1"/>
      <x:c r="J41" s="1"/>
      <x:c r="K41" s="1"/>
      <x:c r="L41" s="1"/>
    </x:row>
    <x:row r="42">
      <x:c r="B42" s="1" t="s">
        <x:v>179</x:v>
      </x:c>
      <x:c r="C42" s="4">
        <x:v>0</x:v>
      </x:c>
      <x:c r="D42" s="4">
        <x:v>57</x:v>
      </x:c>
      <x:c r="E42" s="4">
        <x:v>0</x:v>
      </x:c>
      <x:c r="F42" s="4">
        <x:v>0</x:v>
      </x:c>
      <x:c r="G42" s="4">
        <x:v>0</x:v>
      </x:c>
      <x:c r="H42" s="6" t="n">
        <x:f>Inputs!L29</x:f>
        <x:v>0</x:v>
      </x:c>
      <x:c r="I42" s="1"/>
      <x:c r="J42" s="1"/>
      <x:c r="K42" s="1"/>
      <x:c r="L42" s="1"/>
    </x:row>
    <x:row r="43">
      <x:c r="B43" s="1" t="s">
        <x:v>180</x:v>
      </x:c>
      <x:c r="C43" s="4">
        <x:v>1</x:v>
      </x:c>
      <x:c r="D43" s="4">
        <x:v>1</x:v>
      </x:c>
      <x:c r="E43" s="4">
        <x:v>-20</x:v>
      </x:c>
      <x:c r="F43" s="4">
        <x:v>25</x:v>
      </x:c>
      <x:c r="G43" s="4">
        <x:v>23</x:v>
      </x:c>
      <x:c r="H43" s="6" t="n">
        <x:f>Inputs!L30</x:f>
        <x:v>25</x:v>
      </x:c>
      <x:c r="I43" s="1"/>
      <x:c r="J43" s="1"/>
      <x:c r="K43" s="1"/>
      <x:c r="L43" s="1"/>
    </x:row>
    <x:row r="44">
      <x:c r="B44" s="1" t="s">
        <x:v>181</x:v>
      </x:c>
      <x:c r="C44" s="4">
        <x:v>-42</x:v>
      </x:c>
      <x:c r="D44" s="4">
        <x:v>-200</x:v>
      </x:c>
      <x:c r="E44" s="4">
        <x:v>-148</x:v>
      </x:c>
      <x:c r="F44" s="4">
        <x:v>-133</x:v>
      </x:c>
      <x:c r="G44" s="4">
        <x:v>-75</x:v>
      </x:c>
      <x:c r="H44" s="6" t="n">
        <x:f>Inputs!L31</x:f>
        <x:v>-80</x:v>
      </x:c>
      <x:c r="I44" s="1"/>
      <x:c r="J44" s="1"/>
      <x:c r="K44" s="1"/>
      <x:c r="L44" s="1"/>
    </x:row>
    <x:row r="45">
      <x:c r="B45" s="14" t="s">
        <x:v>182</x:v>
      </x:c>
      <x:c r="C45" s="7" t="n">
        <x:f>SUM(C38:C44)</x:f>
        <x:v>3469</x:v>
      </x:c>
      <x:c r="D45" s="7" t="n">
        <x:f>SUM(D38:D44)</x:f>
        <x:v>9470</x:v>
      </x:c>
      <x:c r="E45" s="7" t="n">
        <x:f>SUM(E38:E44)</x:f>
        <x:v>5482</x:v>
      </x:c>
      <x:c r="F45" s="7" t="n">
        <x:f>SUM(F38:F44)</x:f>
        <x:v>14021</x:v>
      </x:c>
      <x:c r="G45" s="7" t="n">
        <x:f>SUM(G38:G44)</x:f>
        <x:v>28857</x:v>
      </x:c>
      <x:c r="H45" s="9" t="n">
        <x:f>SUM(H38:H44)</x:f>
        <x:v>36493.71095692057</x:v>
      </x:c>
      <x:c r="I45" s="1"/>
      <x:c r="J45" s="1"/>
      <x:c r="K45" s="1"/>
      <x:c r="L45" s="1"/>
    </x:row>
    <x:row r="46">
      <x:c r="B46" s="1" t="s">
        <x:v>183</x:v>
      </x:c>
      <x:c r="C46" s="13" t="n">
        <x:f>'Share Count'!C19</x:f>
        <x:v>14</x:v>
      </x:c>
      <x:c r="D46" s="13" t="n">
        <x:f>'Share Count'!D19</x:f>
        <x:v>18</x:v>
      </x:c>
      <x:c r="E46" s="13" t="n">
        <x:f>'Share Count'!E19</x:f>
        <x:v>10</x:v>
      </x:c>
      <x:c r="F46" s="13" t="n">
        <x:f>'Share Count'!F19</x:f>
        <x:v>7</x:v>
      </x:c>
      <x:c r="G46" s="13" t="n">
        <x:f>'Share Count'!G19</x:f>
        <x:v>4</x:v>
      </x:c>
      <x:c r="H46" s="6" t="n">
        <x:f>'Share Count'!H19</x:f>
        <x:v>4</x:v>
      </x:c>
      <x:c r="I46" s="1"/>
      <x:c r="J46" s="1"/>
      <x:c r="K46" s="1"/>
      <x:c r="L46" s="1"/>
    </x:row>
    <x:row r="47">
      <x:c r="B47" s="1" t="s">
        <x:v>184</x:v>
      </x:c>
      <x:c r="C47" s="8" t="n">
        <x:f>C35+C46</x:f>
        <x:v>1145</x:v>
      </x:c>
      <x:c r="D47" s="8" t="n">
        <x:f>D35+D46</x:f>
        <x:v>1143</x:v>
      </x:c>
      <x:c r="E47" s="8" t="n">
        <x:f>E35+E46</x:f>
        <x:v>1148</x:v>
      </x:c>
      <x:c r="F47" s="8" t="n">
        <x:f>F35+F46</x:f>
        <x:v>1149</x:v>
      </x:c>
      <x:c r="G47" s="8" t="n">
        <x:f>G35+G46</x:f>
        <x:v>1149</x:v>
      </x:c>
      <x:c r="H47" s="19" t="n">
        <x:f>H35+H46</x:f>
        <x:v>1153</x:v>
      </x:c>
      <x:c r="I47" s="1"/>
      <x:c r="J47" s="1"/>
      <x:c r="K47" s="1"/>
      <x:c r="L47" s="1"/>
    </x:row>
    <x:row r="48">
      <x:c r="B48" s="14" t="s">
        <x:v>45</x:v>
      </x:c>
      <x:c r="C48" s="51" t="n">
        <x:f>IFERROR(C45/C47,0)</x:f>
        <x:v>3.029694323144105</x:v>
      </x:c>
      <x:c r="D48" s="51" t="n">
        <x:f>IFERROR(D45/D47,0)</x:f>
        <x:v>8.285214348206475</x:v>
      </x:c>
      <x:c r="E48" s="51" t="n">
        <x:f>IFERROR(E45/E47,0)</x:f>
        <x:v>4.775261324041812</x:v>
      </x:c>
      <x:c r="F48" s="51" t="n">
        <x:f>IFERROR(F45/F47,0)</x:f>
        <x:v>12.202785030461271</x:v>
      </x:c>
      <x:c r="G48" s="51" t="n">
        <x:f>IFERROR(G45/G47,0)</x:f>
        <x:v>25.114882506527415</x:v>
      </x:c>
      <x:c r="H48" s="61" t="n">
        <x:f>IFERROR(H45/H47,0)</x:f>
        <x:v>31.65109363132747</x:v>
      </x:c>
      <x:c r="I48" s="1"/>
      <x:c r="J48" s="1"/>
      <x:c r="K48" s="1"/>
      <x:c r="L48" s="1"/>
    </x:row>
    <x:row r="49">
      <x:c r="B49" s="1" t="s">
        <x:v>185</x:v>
      </x:c>
      <x:c r="C49" s="53" t="n">
        <x:f>C48-C33</x:f>
        <x:v>0.19945559635365395</x:v>
      </x:c>
      <x:c r="D49" s="53" t="n">
        <x:f>D48-D33</x:f>
        <x:v>0.6949921259842524</x:v>
      </x:c>
      <x:c r="E49" s="53" t="n">
        <x:f>E48-E33</x:f>
        <x:v>0.17069190400666212</x:v>
      </x:c>
      <x:c r="F49" s="53" t="n">
        <x:f>F48-F33</x:f>
        <x:v>0.13185683431416173</x:v>
      </x:c>
      <x:c r="G49" s="53" t="n">
        <x:f>G48-G33</x:f>
        <x:v>0.4485069606758856</x:v>
      </x:c>
      <x:c r="H49" s="62" t="n">
        <x:f>H48-H33</x:f>
        <x:v>0.1509100308744067</x:v>
      </x:c>
      <x:c r="I49" s="1"/>
      <x:c r="J49" s="1"/>
      <x:c r="K49" s="1"/>
      <x:c r="L49" s="1"/>
    </x:row>
    <x:row r="50">
      <x:c r="B50" s="1" t="s">
        <x:v>186</x:v>
      </x:c>
      <x:c r="C50" s="26" t="n">
        <x:f>C48-Inputs!D12</x:f>
        <x:v>-0.00030567685589488747</x:v>
      </x:c>
      <x:c r="D50" s="30"/>
      <x:c r="E50" s="26" t="n">
        <x:f>E48-Inputs!D13</x:f>
        <x:v>-0.004738675958188665</x:v>
      </x:c>
      <x:c r="F50" s="26" t="n">
        <x:f>F48-Inputs!D14</x:f>
        <x:v>0.0027850304612719867</x:v>
      </x:c>
      <x:c r="G50" s="26" t="n">
        <x:f>G48-Inputs!D15</x:f>
        <x:v>0.004882506527415842</x:v>
      </x:c>
      <x:c r="H50" s="54" t="str">
        <x:v>unavailable</x:v>
      </x:c>
      <x:c r="I50" s="1"/>
      <x:c r="J50" s="1"/>
      <x:c r="K50" s="1"/>
      <x:c r="L50" s="1"/>
    </x:row>
    <x:row r="51">
      <x:c r="B51" s="1" t="s">
        <x:v>187</x:v>
      </x:c>
      <x:c r="C51" s="30"/>
      <x:c r="D51" s="30"/>
      <x:c r="E51" s="30"/>
      <x:c r="F51" s="30"/>
      <x:c r="G51" s="30"/>
      <x:c r="H51" s="54" t="n">
        <x:f>H48-Inputs!C29</x:f>
        <x:v>0.05109363132746836</x:v>
      </x:c>
      <x:c r="I51" s="1"/>
      <x:c r="J51" s="1"/>
      <x:c r="K51" s="1"/>
      <x:c r="L51" s="1"/>
    </x:row>
    <x:row r="52">
      <x:c r="B52" s="1" t="s">
        <x:v>188</x:v>
      </x:c>
      <x:c r="C52" s="8"/>
      <x:c r="D52" s="8"/>
      <x:c r="E52" s="8"/>
      <x:c r="F52" s="8"/>
      <x:c r="G52" s="8"/>
      <x:c r="H52" s="6" t="n">
        <x:f>H10-Inputs!C46</x:f>
        <x:v>230.52288846152805</x:v>
      </x:c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189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190</x:v>
      </x:c>
      <x:c r="C9" s="8"/>
      <x:c r="D9" s="8"/>
      <x:c r="E9" s="8"/>
      <x:c r="F9" s="8"/>
      <x:c r="G9" s="8"/>
      <x:c r="H9" s="19"/>
      <x:c r="I9" s="1"/>
      <x:c r="J9" s="1"/>
      <x:c r="K9" s="1"/>
      <x:c r="L9" s="1"/>
    </x:row>
    <x:row r="10">
      <x:c r="B10" s="1" t="s">
        <x:v>191</x:v>
      </x:c>
      <x:c r="C10" s="4">
        <x:v>9642</x:v>
      </x:c>
      <x:c r="D10" s="8" t="n">
        <x:f>C10</x:f>
        <x:v>9642</x:v>
      </x:c>
      <x:c r="E10" s="4">
        <x:v>9731</x:v>
      </x:c>
      <x:c r="F10" s="4">
        <x:v>13908</x:v>
      </x:c>
      <x:c r="G10" s="4">
        <x:v>24995</x:v>
      </x:c>
      <x:c r="H10" s="6" t="n">
        <x:f>'Cash Flow Statement'!H37</x:f>
        <x:v>48827.602079420576</x:v>
      </x:c>
      <x:c r="I10" s="1"/>
      <x:c r="J10" s="1"/>
      <x:c r="K10" s="1"/>
      <x:c r="L10" s="1"/>
    </x:row>
    <x:row r="11">
      <x:c r="B11" s="1" t="s">
        <x:v>192</x:v>
      </x:c>
      <x:c r="C11" s="4">
        <x:v>665</x:v>
      </x:c>
      <x:c r="D11" s="8" t="n">
        <x:f>C11</x:f>
        <x:v>665</x:v>
      </x:c>
      <x:c r="E11" s="4">
        <x:v>587</x:v>
      </x:c>
      <x:c r="F11" s="4">
        <x:v>681</x:v>
      </x:c>
      <x:c r="G11" s="4">
        <x:v>1027</x:v>
      </x:c>
      <x:c r="H11" s="19" t="n">
        <x:f>G11</x:f>
        <x:v>1027</x:v>
      </x:c>
      <x:c r="I11" s="1"/>
      <x:c r="J11" s="1"/>
      <x:c r="K11" s="1"/>
      <x:c r="L11" s="1"/>
    </x:row>
    <x:row r="12">
      <x:c r="B12" s="1" t="s">
        <x:v>193</x:v>
      </x:c>
      <x:c r="C12" s="4">
        <x:v>9265</x:v>
      </x:c>
      <x:c r="D12" s="8" t="n">
        <x:f>C12</x:f>
        <x:v>9265</x:v>
      </x:c>
      <x:c r="E12" s="4">
        <x:v>10184</x:v>
      </x:c>
      <x:c r="F12" s="4">
        <x:v>17314</x:v>
      </x:c>
      <x:c r="G12" s="4">
        <x:v>31025</x:v>
      </x:c>
      <x:c r="H12" s="6" t="n">
        <x:f>G12+('Income Statement'!H10-'Income Statement'!G10)*Inputs!L59</x:f>
        <x:v>37541.108877499995</x:v>
      </x:c>
      <x:c r="I12" s="1"/>
      <x:c r="J12" s="1"/>
      <x:c r="K12" s="1"/>
      <x:c r="L12" s="1"/>
    </x:row>
    <x:row r="13">
      <x:c r="B13" s="1" t="s">
        <x:v>194</x:v>
      </x:c>
      <x:c r="C13" s="4">
        <x:v>8355</x:v>
      </x:c>
      <x:c r="D13" s="8" t="n">
        <x:f>C13</x:f>
        <x:v>8355</x:v>
      </x:c>
      <x:c r="E13" s="4">
        <x:v>8205</x:v>
      </x:c>
      <x:c r="F13" s="4">
        <x:v>8267</x:v>
      </x:c>
      <x:c r="G13" s="4">
        <x:v>8567</x:v>
      </x:c>
      <x:c r="H13" s="6" t="n">
        <x:f>G13+Inputs!L60</x:f>
        <x:v>9567</x:v>
      </x:c>
      <x:c r="I13" s="1"/>
      <x:c r="J13" s="1"/>
      <x:c r="K13" s="1"/>
      <x:c r="L13" s="1"/>
    </x:row>
    <x:row r="14">
      <x:c r="B14" s="1" t="s">
        <x:v>195</x:v>
      </x:c>
      <x:c r="C14" s="4">
        <x:v>914</x:v>
      </x:c>
      <x:c r="D14" s="8" t="n">
        <x:f>C14</x:f>
        <x:v>914</x:v>
      </x:c>
      <x:c r="E14" s="4">
        <x:v>958</x:v>
      </x:c>
      <x:c r="F14" s="4">
        <x:v>1243</x:v>
      </x:c>
      <x:c r="G14" s="4">
        <x:v>1123</x:v>
      </x:c>
      <x:c r="H14" s="19" t="n">
        <x:f>G14</x:f>
        <x:v>1123</x:v>
      </x:c>
      <x:c r="I14" s="1"/>
      <x:c r="J14" s="1"/>
      <x:c r="K14" s="1"/>
      <x:c r="L14" s="1"/>
    </x:row>
    <x:row r="15">
      <x:c r="B15" s="14" t="s">
        <x:v>196</x:v>
      </x:c>
      <x:c r="C15" s="7" t="n">
        <x:f>SUM(C10:C14)</x:f>
        <x:v>28841</x:v>
      </x:c>
      <x:c r="D15" s="7" t="n">
        <x:f>SUM(D10:D14)</x:f>
        <x:v>28841</x:v>
      </x:c>
      <x:c r="E15" s="7" t="n">
        <x:f>SUM(E10:E14)</x:f>
        <x:v>29665</x:v>
      </x:c>
      <x:c r="F15" s="7" t="n">
        <x:f>SUM(F10:F14)</x:f>
        <x:v>41413</x:v>
      </x:c>
      <x:c r="G15" s="7" t="n">
        <x:f>SUM(G10:G14)</x:f>
        <x:v>66737</x:v>
      </x:c>
      <x:c r="H15" s="9" t="n">
        <x:f>SUM(H10:H14)</x:f>
        <x:v>98085.71095692058</x:v>
      </x:c>
      <x:c r="I15" s="1"/>
      <x:c r="J15" s="1"/>
      <x:c r="K15" s="1"/>
      <x:c r="L15" s="1"/>
    </x:row>
    <x:row r="16">
      <x:c r="B16" s="1" t="s">
        <x:v>197</x:v>
      </x:c>
      <x:c r="C16" s="4">
        <x:v>1629</x:v>
      </x:c>
      <x:c r="D16" s="8" t="n">
        <x:f>C16</x:f>
        <x:v>1629</x:v>
      </x:c>
      <x:c r="E16" s="4">
        <x:v>1697</x:v>
      </x:c>
      <x:c r="F16" s="4">
        <x:v>2038</x:v>
      </x:c>
      <x:c r="G16" s="4">
        <x:v>4106</x:v>
      </x:c>
      <x:c r="H16" s="19" t="n">
        <x:f>G16</x:f>
        <x:v>4106</x:v>
      </x:c>
      <x:c r="I16" s="1"/>
      <x:c r="J16" s="1"/>
      <x:c r="K16" s="1"/>
      <x:c r="L16" s="1"/>
    </x:row>
    <x:row r="17">
      <x:c r="B17" s="1" t="s">
        <x:v>198</x:v>
      </x:c>
      <x:c r="C17" s="4">
        <x:v>46590</x:v>
      </x:c>
      <x:c r="D17" s="8" t="n">
        <x:f>C17</x:f>
        <x:v>46590</x:v>
      </x:c>
      <x:c r="E17" s="4">
        <x:v>48477</x:v>
      </x:c>
      <x:c r="F17" s="4">
        <x:v>51408</x:v>
      </x:c>
      <x:c r="G17" s="4">
        <x:v>56426</x:v>
      </x:c>
      <x:c r="H17" s="6" t="n">
        <x:f>G17-'Cash Flow Statement'!H22-'Cash Flow Statement'!H11-'Cash Flow Statement'!H23</x:f>
        <x:v>63526</x:v>
      </x:c>
      <x:c r="I17" s="1"/>
      <x:c r="J17" s="1"/>
      <x:c r="K17" s="1"/>
      <x:c r="L17" s="1"/>
    </x:row>
    <x:row r="18">
      <x:c r="B18" s="1" t="s">
        <x:v>199</x:v>
      </x:c>
      <x:c r="C18" s="4">
        <x:v>736</x:v>
      </x:c>
      <x:c r="D18" s="8" t="n">
        <x:f>C18</x:f>
        <x:v>736</x:v>
      </x:c>
      <x:c r="E18" s="4">
        <x:v>700</x:v>
      </x:c>
      <x:c r="F18" s="4">
        <x:v>684</x:v>
      </x:c>
      <x:c r="G18" s="4">
        <x:v>683</x:v>
      </x:c>
      <x:c r="H18" s="19" t="n">
        <x:f>G18</x:f>
        <x:v>683</x:v>
      </x:c>
      <x:c r="I18" s="1"/>
      <x:c r="J18" s="1"/>
      <x:c r="K18" s="1"/>
      <x:c r="L18" s="1"/>
    </x:row>
    <x:row r="19">
      <x:c r="B19" s="1" t="s">
        <x:v>200</x:v>
      </x:c>
      <x:c r="C19" s="4">
        <x:v>453</x:v>
      </x:c>
      <x:c r="D19" s="8" t="n">
        <x:f>C19</x:f>
        <x:v>453</x:v>
      </x:c>
      <x:c r="E19" s="4">
        <x:v>465</x:v>
      </x:c>
      <x:c r="F19" s="4">
        <x:v>468</x:v>
      </x:c>
      <x:c r="G19" s="4">
        <x:v>473</x:v>
      </x:c>
      <x:c r="H19" s="19" t="n">
        <x:f>G19</x:f>
        <x:v>473</x:v>
      </x:c>
      <x:c r="I19" s="1"/>
      <x:c r="J19" s="1"/>
      <x:c r="K19" s="1"/>
      <x:c r="L19" s="1"/>
    </x:row>
    <x:row r="20">
      <x:c r="B20" s="1" t="s">
        <x:v>201</x:v>
      </x:c>
      <x:c r="C20" s="4">
        <x:v>616</x:v>
      </x:c>
      <x:c r="D20" s="8" t="n">
        <x:f>C20</x:f>
        <x:v>616</x:v>
      </x:c>
      <x:c r="E20" s="4">
        <x:v>641</x:v>
      </x:c>
      <x:c r="F20" s="4">
        <x:v>680</x:v>
      </x:c>
      <x:c r="G20" s="4">
        <x:v>700</x:v>
      </x:c>
      <x:c r="H20" s="19" t="n">
        <x:f>G20</x:f>
        <x:v>700</x:v>
      </x:c>
      <x:c r="I20" s="1"/>
      <x:c r="J20" s="1"/>
      <x:c r="K20" s="1"/>
      <x:c r="L20" s="1"/>
    </x:row>
    <x:row r="21">
      <x:c r="B21" s="1" t="s">
        <x:v>202</x:v>
      </x:c>
      <x:c r="C21" s="4">
        <x:v>1150</x:v>
      </x:c>
      <x:c r="D21" s="8" t="n">
        <x:f>C21</x:f>
        <x:v>1150</x:v>
      </x:c>
      <x:c r="E21" s="4">
        <x:v>1150</x:v>
      </x:c>
      <x:c r="F21" s="4">
        <x:v>1150</x:v>
      </x:c>
      <x:c r="G21" s="4">
        <x:v>1150</x:v>
      </x:c>
      <x:c r="H21" s="19" t="n">
        <x:f>G21</x:f>
        <x:v>1150</x:v>
      </x:c>
      <x:c r="I21" s="1"/>
      <x:c r="J21" s="1"/>
      <x:c r="K21" s="1"/>
      <x:c r="L21" s="1"/>
    </x:row>
    <x:row r="22">
      <x:c r="B22" s="1" t="s">
        <x:v>203</x:v>
      </x:c>
      <x:c r="C22" s="4">
        <x:v>2783</x:v>
      </x:c>
      <x:c r="D22" s="8" t="n">
        <x:f>C22</x:f>
        <x:v>2783</x:v>
      </x:c>
      <x:c r="E22" s="4">
        <x:v>3176</x:v>
      </x:c>
      <x:c r="F22" s="4">
        <x:v>3668</x:v>
      </x:c>
      <x:c r="G22" s="4">
        <x:v>3837</x:v>
      </x:c>
      <x:c r="H22" s="6" t="n">
        <x:f>G22+Inputs!L40</x:f>
        <x:v>5337</x:v>
      </x:c>
      <x:c r="I22" s="1"/>
      <x:c r="J22" s="1"/>
      <x:c r="K22" s="1"/>
      <x:c r="L22" s="1"/>
    </x:row>
    <x:row r="23">
      <x:c r="B23" s="14" t="s">
        <x:v>204</x:v>
      </x:c>
      <x:c r="C23" s="7" t="n">
        <x:f>SUM(C15:C22)</x:f>
        <x:v>82798</x:v>
      </x:c>
      <x:c r="D23" s="7" t="n">
        <x:f>SUM(D15:D22)</x:f>
        <x:v>82798</x:v>
      </x:c>
      <x:c r="E23" s="7" t="n">
        <x:f>SUM(E15:E22)</x:f>
        <x:v>85971</x:v>
      </x:c>
      <x:c r="F23" s="7" t="n">
        <x:f>SUM(F15:F22)</x:f>
        <x:v>101509</x:v>
      </x:c>
      <x:c r="G23" s="7" t="n">
        <x:f>SUM(G15:G22)</x:f>
        <x:v>134112</x:v>
      </x:c>
      <x:c r="H23" s="9" t="n">
        <x:f>SUM(H15:H22)</x:f>
        <x:v>174060.71095692058</x:v>
      </x:c>
      <x:c r="I23" s="1"/>
      <x:c r="J23" s="1"/>
      <x:c r="K23" s="1"/>
      <x:c r="L23" s="1"/>
    </x:row>
    <x:row r="24">
      <x:c r="B24" s="1" t="s">
        <x:v>205</x:v>
      </x:c>
      <x:c r="C24" s="8"/>
      <x:c r="D24" s="8"/>
      <x:c r="E24" s="8"/>
      <x:c r="F24" s="8"/>
      <x:c r="G24" s="8"/>
      <x:c r="H24" s="19"/>
      <x:c r="I24" s="1"/>
      <x:c r="J24" s="1"/>
      <x:c r="K24" s="1"/>
      <x:c r="L24" s="1"/>
    </x:row>
    <x:row r="25">
      <x:c r="B25" s="1" t="s">
        <x:v>206</x:v>
      </x:c>
      <x:c r="C25" s="4">
        <x:v>9649</x:v>
      </x:c>
      <x:c r="D25" s="8" t="n">
        <x:f>C25</x:f>
        <x:v>9649</x:v>
      </x:c>
      <x:c r="E25" s="4">
        <x:v>9796</x:v>
      </x:c>
      <x:c r="F25" s="4">
        <x:v>10997</x:v>
      </x:c>
      <x:c r="G25" s="4">
        <x:v>15521</x:v>
      </x:c>
      <x:c r="H25" s="6" t="n">
        <x:f>G25+Inputs!L46</x:f>
        <x:v>19521</x:v>
      </x:c>
      <x:c r="I25" s="1"/>
      <x:c r="J25" s="1"/>
      <x:c r="K25" s="1"/>
      <x:c r="L25" s="1"/>
    </x:row>
    <x:row r="26">
      <x:c r="B26" s="1" t="s">
        <x:v>207</x:v>
      </x:c>
      <x:c r="C26" s="4">
        <x:v>560</x:v>
      </x:c>
      <x:c r="D26" s="8" t="n">
        <x:f>C26</x:f>
        <x:v>560</x:v>
      </x:c>
      <x:c r="E26" s="4">
        <x:v>569</x:v>
      </x:c>
      <x:c r="F26" s="4">
        <x:v>585</x:v>
      </x:c>
      <x:c r="G26" s="4">
        <x:v>582</x:v>
      </x:c>
      <x:c r="H26" s="19" t="n">
        <x:f>G26</x:f>
        <x:v>582</x:v>
      </x:c>
      <x:c r="I26" s="1"/>
      <x:c r="J26" s="1"/>
      <x:c r="K26" s="1"/>
      <x:c r="L26" s="1"/>
    </x:row>
    <x:row r="27">
      <x:c r="B27" s="1" t="s">
        <x:v>208</x:v>
      </x:c>
      <x:c r="C27" s="4">
        <x:v>1245</x:v>
      </x:c>
      <x:c r="D27" s="8" t="n">
        <x:f>C27</x:f>
        <x:v>1245</x:v>
      </x:c>
      <x:c r="E27" s="4">
        <x:v>1695</x:v>
      </x:c>
      <x:c r="F27" s="4">
        <x:v>2714</x:v>
      </x:c>
      <x:c r="G27" s="4">
        <x:v>3385</x:v>
      </x:c>
      <x:c r="H27" s="19" t="n">
        <x:f>G27</x:f>
        <x:v>3385</x:v>
      </x:c>
      <x:c r="I27" s="1"/>
      <x:c r="J27" s="1"/>
      <x:c r="K27" s="1"/>
      <x:c r="L27" s="1"/>
    </x:row>
    <x:row r="28">
      <x:c r="B28" s="14" t="s">
        <x:v>209</x:v>
      </x:c>
      <x:c r="C28" s="7" t="n">
        <x:f>SUM(C25:C27)</x:f>
        <x:v>11454</x:v>
      </x:c>
      <x:c r="D28" s="7" t="n">
        <x:f>SUM(D25:D27)</x:f>
        <x:v>11454</x:v>
      </x:c>
      <x:c r="E28" s="7" t="n">
        <x:f>SUM(E25:E27)</x:f>
        <x:v>12060</x:v>
      </x:c>
      <x:c r="F28" s="7" t="n">
        <x:f>SUM(F25:F27)</x:f>
        <x:v>14296</x:v>
      </x:c>
      <x:c r="G28" s="7" t="n">
        <x:f>SUM(G25:G27)</x:f>
        <x:v>19488</x:v>
      </x:c>
      <x:c r="H28" s="9" t="n">
        <x:f>SUM(H25:H27)</x:f>
        <x:v>23488</x:v>
      </x:c>
      <x:c r="I28" s="1"/>
      <x:c r="J28" s="1"/>
      <x:c r="K28" s="1"/>
      <x:c r="L28" s="1"/>
    </x:row>
    <x:row r="29">
      <x:c r="B29" s="1" t="s">
        <x:v>210</x:v>
      </x:c>
      <x:c r="C29" s="4">
        <x:v>14017</x:v>
      </x:c>
      <x:c r="D29" s="8" t="n">
        <x:f>C29</x:f>
        <x:v>14017</x:v>
      </x:c>
      <x:c r="E29" s="4">
        <x:v>11187</x:v>
      </x:c>
      <x:c r="F29" s="4">
        <x:v>9557</x:v>
      </x:c>
      <x:c r="G29" s="4">
        <x:v>5140</x:v>
      </x:c>
      <x:c r="H29" s="19" t="n">
        <x:f>G29</x:f>
        <x:v>5140</x:v>
      </x:c>
      <x:c r="I29" s="1"/>
      <x:c r="J29" s="1"/>
      <x:c r="K29" s="1"/>
      <x:c r="L29" s="1"/>
    </x:row>
    <x:row r="30">
      <x:c r="B30" s="1" t="s">
        <x:v>211</x:v>
      </x:c>
      <x:c r="C30" s="4">
        <x:v>701</x:v>
      </x:c>
      <x:c r="D30" s="8" t="n">
        <x:f>C30</x:f>
        <x:v>701</x:v>
      </x:c>
      <x:c r="E30" s="4">
        <x:v>669</x:v>
      </x:c>
      <x:c r="F30" s="4">
        <x:v>656</x:v>
      </x:c>
      <x:c r="G30" s="4">
        <x:v>654</x:v>
      </x:c>
      <x:c r="H30" s="19" t="n">
        <x:f>G30</x:f>
        <x:v>654</x:v>
      </x:c>
      <x:c r="I30" s="1"/>
      <x:c r="J30" s="1"/>
      <x:c r="K30" s="1"/>
      <x:c r="L30" s="1"/>
    </x:row>
    <x:row r="31">
      <x:c r="B31" s="1" t="s">
        <x:v>212</x:v>
      </x:c>
      <x:c r="C31" s="4">
        <x:v>1018</x:v>
      </x:c>
      <x:c r="D31" s="8" t="n">
        <x:f>C31</x:f>
        <x:v>1018</x:v>
      </x:c>
      <x:c r="E31" s="4">
        <x:v>1148</x:v>
      </x:c>
      <x:c r="F31" s="4">
        <x:v>1002</x:v>
      </x:c>
      <x:c r="G31" s="4">
        <x:v>1020</x:v>
      </x:c>
      <x:c r="H31" s="19" t="n">
        <x:f>G31</x:f>
        <x:v>1020</x:v>
      </x:c>
      <x:c r="I31" s="1"/>
      <x:c r="J31" s="1"/>
      <x:c r="K31" s="1"/>
      <x:c r="L31" s="1"/>
    </x:row>
    <x:row r="32">
      <x:c r="B32" s="1" t="s">
        <x:v>213</x:v>
      </x:c>
      <x:c r="C32" s="4">
        <x:v>1443</x:v>
      </x:c>
      <x:c r="D32" s="8" t="n">
        <x:f>C32</x:f>
        <x:v>1443</x:v>
      </x:c>
      <x:c r="E32" s="4">
        <x:v>2101</x:v>
      </x:c>
      <x:c r="F32" s="4">
        <x:v>3539</x:v>
      </x:c>
      <x:c r="G32" s="4">
        <x:v>7086</x:v>
      </x:c>
      <x:c r="H32" s="19" t="n">
        <x:f>G32</x:f>
        <x:v>7086</x:v>
      </x:c>
      <x:c r="I32" s="1"/>
      <x:c r="J32" s="1"/>
      <x:c r="K32" s="1"/>
      <x:c r="L32" s="1"/>
    </x:row>
    <x:row r="33">
      <x:c r="B33" s="14" t="s">
        <x:v>214</x:v>
      </x:c>
      <x:c r="C33" s="7" t="n">
        <x:f>SUM(C28:C32)</x:f>
        <x:v>28633</x:v>
      </x:c>
      <x:c r="D33" s="7" t="n">
        <x:f>SUM(D28:D32)</x:f>
        <x:v>28633</x:v>
      </x:c>
      <x:c r="E33" s="7" t="n">
        <x:f>SUM(E28:E32)</x:f>
        <x:v>27165</x:v>
      </x:c>
      <x:c r="F33" s="7" t="n">
        <x:f>SUM(F28:F32)</x:f>
        <x:v>29050</x:v>
      </x:c>
      <x:c r="G33" s="7" t="n">
        <x:f>SUM(G28:G32)</x:f>
        <x:v>33388</x:v>
      </x:c>
      <x:c r="H33" s="9" t="n">
        <x:f>SUM(H28:H32)</x:f>
        <x:v>37388</x:v>
      </x:c>
      <x:c r="I33" s="1"/>
      <x:c r="J33" s="1"/>
      <x:c r="K33" s="1"/>
      <x:c r="L33" s="1"/>
    </x:row>
    <x:row r="34">
      <x:c r="B34" s="1" t="s">
        <x:v>215</x:v>
      </x:c>
      <x:c r="C34" s="8"/>
      <x:c r="D34" s="8"/>
      <x:c r="E34" s="8"/>
      <x:c r="F34" s="8"/>
      <x:c r="G34" s="8"/>
      <x:c r="H34" s="19"/>
      <x:c r="I34" s="1"/>
      <x:c r="J34" s="1"/>
      <x:c r="K34" s="1"/>
      <x:c r="L34" s="1"/>
    </x:row>
    <x:row r="35">
      <x:c r="B35" s="1" t="s">
        <x:v>216</x:v>
      </x:c>
      <x:c r="C35" s="4">
        <x:v>127</x:v>
      </x:c>
      <x:c r="D35" s="8" t="n">
        <x:f>C35</x:f>
        <x:v>127</x:v>
      </x:c>
      <x:c r="E35" s="4">
        <x:v>127</x:v>
      </x:c>
      <x:c r="F35" s="4">
        <x:v>127</x:v>
      </x:c>
      <x:c r="G35" s="4">
        <x:v>128</x:v>
      </x:c>
      <x:c r="H35" s="19" t="n">
        <x:f>G35</x:f>
        <x:v>128</x:v>
      </x:c>
      <x:c r="I35" s="1"/>
      <x:c r="J35" s="1"/>
      <x:c r="K35" s="1"/>
      <x:c r="L35" s="1"/>
    </x:row>
    <x:row r="36">
      <x:c r="B36" s="1" t="s">
        <x:v>217</x:v>
      </x:c>
      <x:c r="C36" s="4">
        <x:v>13339</x:v>
      </x:c>
      <x:c r="D36" s="8" t="n">
        <x:f>C36</x:f>
        <x:v>13339</x:v>
      </x:c>
      <x:c r="E36" s="4">
        <x:v>13610</x:v>
      </x:c>
      <x:c r="F36" s="4">
        <x:v>14092</x:v>
      </x:c>
      <x:c r="G36" s="4">
        <x:v>14442</x:v>
      </x:c>
      <x:c r="H36" s="6" t="n">
        <x:f>G36+Inputs!L28+'Cash Flow Statement'!H27+'Cash Flow Statement'!H30</x:f>
        <x:v>14567</x:v>
      </x:c>
      <x:c r="I36" s="1"/>
      <x:c r="J36" s="1"/>
      <x:c r="K36" s="1"/>
      <x:c r="L36" s="1"/>
    </x:row>
    <x:row r="37">
      <x:c r="B37" s="1" t="s">
        <x:v>218</x:v>
      </x:c>
      <x:c r="C37" s="4">
        <x:v>48583</x:v>
      </x:c>
      <x:c r="D37" s="8" t="n">
        <x:f>C37</x:f>
        <x:v>48583</x:v>
      </x:c>
      <x:c r="E37" s="4">
        <x:v>53344</x:v>
      </x:c>
      <x:c r="F37" s="4">
        <x:v>66824</x:v>
      </x:c>
      <x:c r="G37" s="4">
        <x:v>94682</x:v>
      </x:c>
      <x:c r="H37" s="6" t="n">
        <x:f>G37+'Income Statement'!H32+'Cash Flow Statement'!H28</x:f>
        <x:v>130705.71095692058</x:v>
      </x:c>
      <x:c r="I37" s="1"/>
      <x:c r="J37" s="1"/>
      <x:c r="K37" s="1"/>
      <x:c r="L37" s="1"/>
    </x:row>
    <x:row r="38">
      <x:c r="B38" s="1" t="s">
        <x:v>219</x:v>
      </x:c>
      <x:c r="C38" s="4">
        <x:v>-7852</x:v>
      </x:c>
      <x:c r="D38" s="8" t="n">
        <x:f>C38</x:f>
        <x:v>-7852</x:v>
      </x:c>
      <x:c r="E38" s="4">
        <x:v>-8152</x:v>
      </x:c>
      <x:c r="F38" s="4">
        <x:v>-8502</x:v>
      </x:c>
      <x:c r="G38" s="4">
        <x:v>-8502</x:v>
      </x:c>
      <x:c r="H38" s="6" t="n">
        <x:f>G38+'Cash Flow Statement'!H26</x:f>
        <x:v>-8702</x:v>
      </x:c>
      <x:c r="I38" s="1"/>
      <x:c r="J38" s="1"/>
      <x:c r="K38" s="1"/>
      <x:c r="L38" s="1"/>
    </x:row>
    <x:row r="39">
      <x:c r="B39" s="1" t="s">
        <x:v>220</x:v>
      </x:c>
      <x:c r="C39" s="4">
        <x:v>-32</x:v>
      </x:c>
      <x:c r="D39" s="8" t="n">
        <x:f>C39</x:f>
        <x:v>-32</x:v>
      </x:c>
      <x:c r="E39" s="4">
        <x:v>-123</x:v>
      </x:c>
      <x:c r="F39" s="4">
        <x:v>-82</x:v>
      </x:c>
      <x:c r="G39" s="4">
        <x:v>-26</x:v>
      </x:c>
      <x:c r="H39" s="19" t="n">
        <x:f>G39</x:f>
        <x:v>-26</x:v>
      </x:c>
      <x:c r="I39" s="1"/>
      <x:c r="J39" s="1"/>
      <x:c r="K39" s="1"/>
      <x:c r="L39" s="1"/>
    </x:row>
    <x:row r="40">
      <x:c r="B40" s="14" t="s">
        <x:v>221</x:v>
      </x:c>
      <x:c r="C40" s="7" t="n">
        <x:f>SUM(C35:C39)</x:f>
        <x:v>54165</x:v>
      </x:c>
      <x:c r="D40" s="7" t="n">
        <x:f>SUM(D35:D39)</x:f>
        <x:v>54165</x:v>
      </x:c>
      <x:c r="E40" s="7" t="n">
        <x:f>SUM(E35:E39)</x:f>
        <x:v>58806</x:v>
      </x:c>
      <x:c r="F40" s="7" t="n">
        <x:f>SUM(F35:F39)</x:f>
        <x:v>72459</x:v>
      </x:c>
      <x:c r="G40" s="7" t="n">
        <x:f>SUM(G35:G39)</x:f>
        <x:v>100724</x:v>
      </x:c>
      <x:c r="H40" s="9" t="n">
        <x:f>SUM(H35:H39)</x:f>
        <x:v>136672.71095692058</x:v>
      </x:c>
      <x:c r="I40" s="1"/>
      <x:c r="J40" s="1"/>
      <x:c r="K40" s="1"/>
      <x:c r="L40" s="1"/>
    </x:row>
    <x:row r="41">
      <x:c r="B41" s="14" t="s">
        <x:v>222</x:v>
      </x:c>
      <x:c r="C41" s="7" t="n">
        <x:f>C33+C40</x:f>
        <x:v>82798</x:v>
      </x:c>
      <x:c r="D41" s="7" t="n">
        <x:f>D33+D40</x:f>
        <x:v>82798</x:v>
      </x:c>
      <x:c r="E41" s="7" t="n">
        <x:f>E33+E40</x:f>
        <x:v>85971</x:v>
      </x:c>
      <x:c r="F41" s="7" t="n">
        <x:f>F33+F40</x:f>
        <x:v>101509</x:v>
      </x:c>
      <x:c r="G41" s="7" t="n">
        <x:f>G33+G40</x:f>
        <x:v>134112</x:v>
      </x:c>
      <x:c r="H41" s="9" t="n">
        <x:f>H33+H40</x:f>
        <x:v>174060.71095692058</x:v>
      </x:c>
      <x:c r="I41" s="1"/>
      <x:c r="J41" s="1"/>
      <x:c r="K41" s="1"/>
      <x:c r="L41" s="1"/>
    </x:row>
    <x:row r="42">
      <x:c r="B42" s="14" t="s">
        <x:v>223</x:v>
      </x:c>
      <x:c r="C42" s="7" t="n">
        <x:f>C23-C33-C40</x:f>
        <x:v>0</x:v>
      </x:c>
      <x:c r="D42" s="7" t="n">
        <x:f>D23-D33-D40</x:f>
        <x:v>0</x:v>
      </x:c>
      <x:c r="E42" s="7" t="n">
        <x:f>E23-E33-E40</x:f>
        <x:v>0</x:v>
      </x:c>
      <x:c r="F42" s="7" t="n">
        <x:f>F23-F33-F40</x:f>
        <x:v>0</x:v>
      </x:c>
      <x:c r="G42" s="7" t="n">
        <x:f>G23-G33-G40</x:f>
        <x:v>0</x:v>
      </x:c>
      <x:c r="H42" s="9" t="n">
        <x:f>H23-H33-H40</x:f>
        <x:v>0</x:v>
      </x:c>
      <x:c r="I42" s="1"/>
      <x:c r="J42" s="1"/>
      <x:c r="K42" s="1"/>
      <x:c r="L42" s="1"/>
    </x:row>
    <x:row r="43">
      <x:c r="B43" s="1" t="s">
        <x:v>224</x:v>
      </x:c>
      <x:c r="C43" s="13" t="n">
        <x:f>C10-'Cash Flow Statement'!C37</x:f>
        <x:v>0</x:v>
      </x:c>
      <x:c r="D43" s="13" t="n">
        <x:f>D10-'Cash Flow Statement'!D37</x:f>
        <x:v>0</x:v>
      </x:c>
      <x:c r="E43" s="13" t="n">
        <x:f>E10-'Cash Flow Statement'!E37</x:f>
        <x:v>0</x:v>
      </x:c>
      <x:c r="F43" s="13" t="n">
        <x:f>F10-'Cash Flow Statement'!F37</x:f>
        <x:v>0</x:v>
      </x:c>
      <x:c r="G43" s="13" t="n">
        <x:f>G10-'Cash Flow Statement'!G37</x:f>
        <x:v>0</x:v>
      </x:c>
      <x:c r="H43" s="6" t="n">
        <x:f>H10-'Cash Flow Statement'!H37</x:f>
        <x:v>0</x:v>
      </x:c>
      <x:c r="I43" s="1"/>
      <x:c r="J43" s="1"/>
      <x:c r="K43" s="1"/>
      <x:c r="L43" s="1"/>
    </x:row>
    <x:row r="44">
      <x:c r="B44" s="1" t="s">
        <x:v>225</x:v>
      </x:c>
      <x:c r="C44" s="13" t="n">
        <x:f>C23-Inputs!L80</x:f>
        <x:v>0</x:v>
      </x:c>
      <x:c r="D44" s="13" t="n">
        <x:f>D23-Inputs!L80</x:f>
        <x:v>0</x:v>
      </x:c>
      <x:c r="E44" s="13" t="n">
        <x:f>E23-Inputs!L81</x:f>
        <x:v>0</x:v>
      </x:c>
      <x:c r="F44" s="13" t="n">
        <x:f>F23-Inputs!L82</x:f>
        <x:v>0</x:v>
      </x:c>
      <x:c r="G44" s="13" t="n">
        <x:f>G23-Inputs!L83</x:f>
        <x:v>0</x:v>
      </x:c>
      <x:c r="H44" s="19"/>
      <x:c r="I44" s="1"/>
      <x:c r="J44" s="1"/>
      <x:c r="K44" s="1"/>
      <x:c r="L44" s="1"/>
    </x:row>
    <x:row r="45">
      <x:c r="B45" s="1" t="s">
        <x:v>226</x:v>
      </x:c>
      <x:c r="C45" s="8"/>
      <x:c r="D45" s="8"/>
      <x:c r="E45" s="8" t="n">
        <x:f>E37-C37</x:f>
        <x:v>4761</x:v>
      </x:c>
      <x:c r="F45" s="8" t="n">
        <x:f>F37-E37</x:f>
        <x:v>13480</x:v>
      </x:c>
      <x:c r="G45" s="8" t="n">
        <x:f>G37-F37</x:f>
        <x:v>27858</x:v>
      </x:c>
      <x:c r="H45" s="19" t="n">
        <x:f>H37-G37</x:f>
        <x:v>36023.71095692058</x:v>
      </x:c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227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228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229</x:v>
      </x:c>
      <x:c r="C10" s="13" t="n">
        <x:f>'Income Statement'!C32</x:f>
        <x:v>3201</x:v>
      </x:c>
      <x:c r="D10" s="13" t="n">
        <x:f>'Income Statement'!D32</x:f>
        <x:v>8539</x:v>
      </x:c>
      <x:c r="E10" s="13" t="n">
        <x:f>'Income Statement'!E32</x:f>
        <x:v>5240</x:v>
      </x:c>
      <x:c r="F10" s="13" t="n">
        <x:f>'Income Statement'!F32</x:f>
        <x:v>13785</x:v>
      </x:c>
      <x:c r="G10" s="13" t="n">
        <x:f>'Income Statement'!G32</x:f>
        <x:v>28243</x:v>
      </x:c>
      <x:c r="H10" s="6" t="n">
        <x:f>'Income Statement'!H32</x:f>
        <x:v>36193.71095692057</x:v>
      </x:c>
      <x:c r="I10" s="1"/>
      <x:c r="J10" s="1"/>
      <x:c r="K10" s="1"/>
      <x:c r="L10" s="1"/>
    </x:row>
    <x:row r="11">
      <x:c r="B11" s="1" t="s">
        <x:v>230</x:v>
      </x:c>
      <x:c r="C11" s="4">
        <x:v>2149</x:v>
      </x:c>
      <x:c r="D11" s="4">
        <x:v>8352</x:v>
      </x:c>
      <x:c r="E11" s="4">
        <x:v>2212</x:v>
      </x:c>
      <x:c r="F11" s="4">
        <x:v>2286</x:v>
      </x:c>
      <x:c r="G11" s="4">
        <x:v>2364</x:v>
      </x:c>
      <x:c r="H11" s="6" t="n">
        <x:f>Inputs!L39</x:f>
        <x:v>2500</x:v>
      </x:c>
      <x:c r="I11" s="1"/>
      <x:c r="J11" s="1"/>
      <x:c r="K11" s="1"/>
      <x:c r="L11" s="1"/>
    </x:row>
    <x:row r="12">
      <x:c r="B12" s="1" t="s">
        <x:v>231</x:v>
      </x:c>
      <x:c r="C12" s="4">
        <x:v>250</x:v>
      </x:c>
      <x:c r="D12" s="4">
        <x:v>972</x:v>
      </x:c>
      <x:c r="E12" s="4">
        <x:v>290</x:v>
      </x:c>
      <x:c r="F12" s="4">
        <x:v>309</x:v>
      </x:c>
      <x:c r="G12" s="4">
        <x:v>355</x:v>
      </x:c>
      <x:c r="H12" s="6" t="n">
        <x:f>Inputs!L28</x:f>
        <x:v>355</x:v>
      </x:c>
      <x:c r="I12" s="1"/>
      <x:c r="J12" s="1"/>
      <x:c r="K12" s="1"/>
      <x:c r="L12" s="1"/>
    </x:row>
    <x:row r="13">
      <x:c r="B13" s="1" t="s">
        <x:v>232</x:v>
      </x:c>
      <x:c r="C13" s="4">
        <x:v>-1653</x:v>
      </x:c>
      <x:c r="D13" s="4">
        <x:v>-1776</x:v>
      </x:c>
      <x:c r="E13" s="4">
        <x:v>-871</x:v>
      </x:c>
      <x:c r="F13" s="4">
        <x:v>-7427</x:v>
      </x:c>
      <x:c r="G13" s="4">
        <x:v>-11655</x:v>
      </x:c>
      <x:c r="H13" s="6" t="n">
        <x:f>'Balance Sheet'!G12-'Balance Sheet'!H12</x:f>
        <x:v>-6516.108877499995</x:v>
      </x:c>
      <x:c r="I13" s="1"/>
      <x:c r="J13" s="1"/>
      <x:c r="K13" s="1"/>
      <x:c r="L13" s="1"/>
    </x:row>
    <x:row r="14">
      <x:c r="B14" s="1" t="s">
        <x:v>233</x:v>
      </x:c>
      <x:c r="C14" s="4">
        <x:v>372</x:v>
      </x:c>
      <x:c r="D14" s="4">
        <x:v>520</x:v>
      </x:c>
      <x:c r="E14" s="4">
        <x:v>150</x:v>
      </x:c>
      <x:c r="F14" s="4">
        <x:v>-62</x:v>
      </x:c>
      <x:c r="G14" s="4">
        <x:v>-300</x:v>
      </x:c>
      <x:c r="H14" s="6" t="n">
        <x:f>'Balance Sheet'!G13-'Balance Sheet'!H13</x:f>
        <x:v>-1000</x:v>
      </x:c>
      <x:c r="I14" s="1"/>
      <x:c r="J14" s="1"/>
      <x:c r="K14" s="1"/>
      <x:c r="L14" s="1"/>
    </x:row>
    <x:row r="15">
      <x:c r="B15" s="1" t="s">
        <x:v>234</x:v>
      </x:c>
      <x:c r="C15" s="4">
        <x:v>824</x:v>
      </x:c>
      <x:c r="D15" s="4">
        <x:v>862</x:v>
      </x:c>
      <x:c r="E15" s="4">
        <x:v>156</x:v>
      </x:c>
      <x:c r="F15" s="4">
        <x:v>772</x:v>
      </x:c>
      <x:c r="G15" s="4">
        <x:v>2401</x:v>
      </x:c>
      <x:c r="H15" s="6" t="n">
        <x:f>'Balance Sheet'!H25-'Balance Sheet'!G25</x:f>
        <x:v>4000</x:v>
      </x:c>
      <x:c r="I15" s="1"/>
      <x:c r="J15" s="1"/>
      <x:c r="K15" s="1"/>
      <x:c r="L15" s="1"/>
    </x:row>
    <x:row r="16">
      <x:c r="B16" s="1" t="s">
        <x:v>235</x:v>
      </x:c>
      <x:c r="C16" s="4">
        <x:v>409</x:v>
      </x:c>
      <x:c r="D16" s="4">
        <x:v>-272</x:v>
      </x:c>
      <x:c r="E16" s="4">
        <x:v>449</x:v>
      </x:c>
      <x:c r="F16" s="4">
        <x:v>1020</x:v>
      </x:c>
      <x:c r="G16" s="4">
        <x:v>670</x:v>
      </x:c>
      <x:c r="H16" s="6" t="n">
        <x:f>'Balance Sheet'!H27-'Balance Sheet'!G27</x:f>
        <x:v>0</x:v>
      </x:c>
      <x:c r="I16" s="1"/>
      <x:c r="J16" s="1"/>
      <x:c r="K16" s="1"/>
      <x:c r="L16" s="1"/>
    </x:row>
    <x:row r="17">
      <x:c r="B17" s="1" t="s">
        <x:v>236</x:v>
      </x:c>
      <x:c r="C17" s="4">
        <x:v>0</x:v>
      </x:c>
      <x:c r="D17" s="4">
        <x:v>0</x:v>
      </x:c>
      <x:c r="E17" s="4">
        <x:v>547</x:v>
      </x:c>
      <x:c r="F17" s="4">
        <x:v>1559</x:v>
      </x:c>
      <x:c r="G17" s="4">
        <x:v>3097</x:v>
      </x:c>
      <x:c r="H17" s="6" t="n">
        <x:f>'Balance Sheet'!H32-'Balance Sheet'!G32</x:f>
        <x:v>0</x:v>
      </x:c>
      <x:c r="I17" s="1"/>
      <x:c r="J17" s="1"/>
      <x:c r="K17" s="1"/>
      <x:c r="L17" s="1"/>
    </x:row>
    <x:row r="18">
      <x:c r="B18" s="1" t="s">
        <x:v>237</x:v>
      </x:c>
      <x:c r="C18" s="8" t="n">
        <x:f>C19-SUM(C10:C17)</x:f>
        <x:v>178</x:v>
      </x:c>
      <x:c r="D18" s="8" t="n">
        <x:f>D19-SUM(D10:D17)</x:f>
        <x:v>328</x:v>
      </x:c>
      <x:c r="E18" s="8" t="n">
        <x:f>E19-SUM(E10:E17)</x:f>
        <x:v>238</x:v>
      </x:c>
      <x:c r="F18" s="8" t="n">
        <x:f>F19-SUM(F10:F17)</x:f>
        <x:v>-339</x:v>
      </x:c>
      <x:c r="G18" s="8" t="n">
        <x:f>G19-SUM(G10:G17)</x:f>
        <x:v>213</x:v>
      </x:c>
      <x:c r="H18" s="6" t="n">
        <x:f>'Balance Sheet'!G22-'Balance Sheet'!H22</x:f>
        <x:v>-1500</x:v>
      </x:c>
      <x:c r="I18" s="1"/>
      <x:c r="J18" s="1"/>
      <x:c r="K18" s="1"/>
      <x:c r="L18" s="1"/>
    </x:row>
    <x:row r="19">
      <x:c r="B19" s="14" t="s">
        <x:v>238</x:v>
      </x:c>
      <x:c r="C19" s="22">
        <x:v>5730</x:v>
      </x:c>
      <x:c r="D19" s="22">
        <x:v>17525</x:v>
      </x:c>
      <x:c r="E19" s="22">
        <x:v>8411</x:v>
      </x:c>
      <x:c r="F19" s="22">
        <x:v>11903</x:v>
      </x:c>
      <x:c r="G19" s="22">
        <x:v>25388</x:v>
      </x:c>
      <x:c r="H19" s="9" t="n">
        <x:f>SUM(H10:H18)</x:f>
        <x:v>34032.602079420576</x:v>
      </x:c>
      <x:c r="I19" s="1"/>
      <x:c r="J19" s="1"/>
      <x:c r="K19" s="1"/>
      <x:c r="L19" s="1"/>
    </x:row>
    <x:row r="20">
      <x:c r="B20" s="1" t="s">
        <x:v>239</x:v>
      </x:c>
      <x:c r="C20" s="8" t="n">
        <x:f>C19-SUM(C10:C18)</x:f>
        <x:v>0</x:v>
      </x:c>
      <x:c r="D20" s="8" t="n">
        <x:f>D19-SUM(D10:D18)</x:f>
        <x:v>0</x:v>
      </x:c>
      <x:c r="E20" s="8" t="n">
        <x:f>E19-SUM(E10:E18)</x:f>
        <x:v>0</x:v>
      </x:c>
      <x:c r="F20" s="8" t="n">
        <x:f>F19-SUM(F10:F18)</x:f>
        <x:v>0</x:v>
      </x:c>
      <x:c r="G20" s="8" t="n">
        <x:f>G19-SUM(G10:G18)</x:f>
        <x:v>0</x:v>
      </x:c>
      <x:c r="H20" s="19" t="n">
        <x:f>H19-SUM(H10:H18)</x:f>
        <x:v>0</x:v>
      </x:c>
      <x:c r="I20" s="1"/>
      <x:c r="J20" s="1"/>
      <x:c r="K20" s="1"/>
      <x:c r="L20" s="1"/>
    </x:row>
    <x:row r="21">
      <x:c r="B21" s="1" t="s">
        <x:v>240</x:v>
      </x:c>
      <x:c r="C21" s="8"/>
      <x:c r="D21" s="8"/>
      <x:c r="E21" s="8"/>
      <x:c r="F21" s="8"/>
      <x:c r="G21" s="8"/>
      <x:c r="H21" s="19"/>
      <x:c r="I21" s="1"/>
      <x:c r="J21" s="1"/>
      <x:c r="K21" s="1"/>
      <x:c r="L21" s="1"/>
    </x:row>
    <x:row r="22">
      <x:c r="B22" s="1" t="s">
        <x:v>241</x:v>
      </x:c>
      <x:c r="C22" s="4">
        <x:v>-5658</x:v>
      </x:c>
      <x:c r="D22" s="4">
        <x:v>-15857</x:v>
      </x:c>
      <x:c r="E22" s="4">
        <x:v>-5389</x:v>
      </x:c>
      <x:c r="F22" s="4">
        <x:v>-6387</x:v>
      </x:c>
      <x:c r="G22" s="4">
        <x:v>-7826</x:v>
      </x:c>
      <x:c r="H22" s="6" t="n">
        <x:f>Inputs!L56</x:f>
        <x:v>-10500</x:v>
      </x:c>
      <x:c r="I22" s="1"/>
      <x:c r="J22" s="1"/>
      <x:c r="K22" s="1"/>
      <x:c r="L22" s="1"/>
    </x:row>
    <x:row r="23">
      <x:c r="B23" s="1" t="s">
        <x:v>242</x:v>
      </x:c>
      <x:c r="C23" s="8" t="n">
        <x:f>C24-C22</x:f>
        <x:v>460</x:v>
      </x:c>
      <x:c r="D23" s="8" t="n">
        <x:f>D24-D22</x:f>
        <x:v>1770</x:v>
      </x:c>
      <x:c r="E23" s="8" t="n">
        <x:f>E24-E22</x:f>
        <x:v>795</x:v>
      </x:c>
      <x:c r="F23" s="8" t="n">
        <x:f>F24-F22</x:f>
        <x:v>862</x:v>
      </x:c>
      <x:c r="G23" s="8" t="n">
        <x:f>G24-G22</x:f>
        <x:v>-1743</x:v>
      </x:c>
      <x:c r="H23" s="6" t="n">
        <x:f>Inputs!L41-H22</x:f>
        <x:v>900</x:v>
      </x:c>
      <x:c r="I23" s="1"/>
      <x:c r="J23" s="1"/>
      <x:c r="K23" s="1"/>
      <x:c r="L23" s="1"/>
    </x:row>
    <x:row r="24">
      <x:c r="B24" s="14" t="s">
        <x:v>243</x:v>
      </x:c>
      <x:c r="C24" s="22">
        <x:v>-5198</x:v>
      </x:c>
      <x:c r="D24" s="22">
        <x:v>-14087</x:v>
      </x:c>
      <x:c r="E24" s="22">
        <x:v>-4594</x:v>
      </x:c>
      <x:c r="F24" s="22">
        <x:v>-5525</x:v>
      </x:c>
      <x:c r="G24" s="22">
        <x:v>-9569</x:v>
      </x:c>
      <x:c r="H24" s="9" t="n">
        <x:f>SUM(H22:H23)</x:f>
        <x:v>-9600</x:v>
      </x:c>
      <x:c r="I24" s="1"/>
      <x:c r="J24" s="1"/>
      <x:c r="K24" s="1"/>
      <x:c r="L24" s="1"/>
    </x:row>
    <x:row r="25">
      <x:c r="B25" s="1" t="s">
        <x:v>244</x:v>
      </x:c>
      <x:c r="C25" s="8"/>
      <x:c r="D25" s="8"/>
      <x:c r="E25" s="8"/>
      <x:c r="F25" s="8"/>
      <x:c r="G25" s="8"/>
      <x:c r="H25" s="19"/>
      <x:c r="I25" s="1"/>
      <x:c r="J25" s="1"/>
      <x:c r="K25" s="1"/>
      <x:c r="L25" s="1"/>
    </x:row>
    <x:row r="26">
      <x:c r="B26" s="1" t="s">
        <x:v>245</x:v>
      </x:c>
      <x:c r="C26" s="4">
        <x:v>0</x:v>
      </x:c>
      <x:c r="D26" s="4">
        <x:v>0</x:v>
      </x:c>
      <x:c r="E26" s="4">
        <x:v>-300</x:v>
      </x:c>
      <x:c r="F26" s="4">
        <x:v>-350</x:v>
      </x:c>
      <x:c r="G26" s="4">
        <x:v>0</x:v>
      </x:c>
      <x:c r="H26" s="6" t="n">
        <x:f>Inputs!L57</x:f>
        <x:v>-200</x:v>
      </x:c>
      <x:c r="I26" s="1"/>
      <x:c r="J26" s="1"/>
      <x:c r="K26" s="1"/>
      <x:c r="L26" s="1"/>
    </x:row>
    <x:row r="27">
      <x:c r="B27" s="1" t="s">
        <x:v>246</x:v>
      </x:c>
      <x:c r="C27" s="4">
        <x:v>0</x:v>
      </x:c>
      <x:c r="D27" s="4">
        <x:v>0</x:v>
      </x:c>
      <x:c r="E27" s="4">
        <x:v>-367</x:v>
      </x:c>
      <x:c r="F27" s="4">
        <x:v>-178</x:v>
      </x:c>
      <x:c r="G27" s="4">
        <x:v>-217</x:v>
      </x:c>
      <x:c r="H27" s="6" t="n">
        <x:f>Inputs!L58</x:f>
        <x:v>-200</x:v>
      </x:c>
      <x:c r="I27" s="1"/>
      <x:c r="J27" s="1"/>
      <x:c r="K27" s="1"/>
      <x:c r="L27" s="1"/>
    </x:row>
    <x:row r="28">
      <x:c r="B28" s="1" t="s">
        <x:v>247</x:v>
      </x:c>
      <x:c r="C28" s="4">
        <x:v>-130</x:v>
      </x:c>
      <x:c r="D28" s="4">
        <x:v>-522</x:v>
      </x:c>
      <x:c r="E28" s="4">
        <x:v>-134</x:v>
      </x:c>
      <x:c r="F28" s="4">
        <x:v>-132</x:v>
      </x:c>
      <x:c r="G28" s="4">
        <x:v>-171</x:v>
      </x:c>
      <x:c r="H28" s="6" t="n">
        <x:f>Inputs!L44</x:f>
        <x:v>-170</x:v>
      </x:c>
      <x:c r="I28" s="1"/>
      <x:c r="J28" s="1"/>
      <x:c r="K28" s="1"/>
      <x:c r="L28" s="1"/>
    </x:row>
    <x:row r="29">
      <x:c r="B29" s="1" t="s">
        <x:v>248</x:v>
      </x:c>
      <x:c r="C29" s="4">
        <x:v>-1015</x:v>
      </x:c>
      <x:c r="D29" s="4">
        <x:v>-189</x:v>
      </x:c>
      <x:c r="E29" s="4">
        <x:v>-2943</x:v>
      </x:c>
      <x:c r="F29" s="4">
        <x:v>-1683</x:v>
      </x:c>
      <x:c r="G29" s="4">
        <x:v>-4754</x:v>
      </x:c>
      <x:c r="H29" s="6" t="n">
        <x:f>('Balance Sheet'!H26+'Balance Sheet'!H29)-('Balance Sheet'!G26+'Balance Sheet'!G29)</x:f>
        <x:v>0</x:v>
      </x:c>
      <x:c r="I29" s="1"/>
      <x:c r="J29" s="1"/>
      <x:c r="K29" s="1"/>
      <x:c r="L29" s="1"/>
    </x:row>
    <x:row r="30">
      <x:c r="B30" s="1" t="s">
        <x:v>249</x:v>
      </x:c>
      <x:c r="C30" s="8" t="n">
        <x:f>C31-SUM(C26:C29)</x:f>
        <x:v>81</x:v>
      </x:c>
      <x:c r="D30" s="8" t="n">
        <x:f>D31-SUM(D26:D29)</x:f>
        <x:v>-139</x:v>
      </x:c>
      <x:c r="E30" s="8" t="n">
        <x:f>E31-SUM(E26:E29)</x:f>
        <x:v>-1</x:v>
      </x:c>
      <x:c r="F30" s="8" t="n">
        <x:f>F31-SUM(F26:F29)</x:f>
        <x:v>176</x:v>
      </x:c>
      <x:c r="G30" s="8" t="n">
        <x:f>G31-SUM(G26:G29)</x:f>
        <x:v>408</x:v>
      </x:c>
      <x:c r="H30" s="6" t="n">
        <x:f>Inputs!L42-SUM(H26:H29)</x:f>
        <x:v>-30</x:v>
      </x:c>
      <x:c r="I30" s="1"/>
      <x:c r="J30" s="1"/>
      <x:c r="K30" s="1"/>
      <x:c r="L30" s="1"/>
    </x:row>
    <x:row r="31">
      <x:c r="B31" s="14" t="s">
        <x:v>250</x:v>
      </x:c>
      <x:c r="C31" s="22">
        <x:v>-1064</x:v>
      </x:c>
      <x:c r="D31" s="22">
        <x:v>-850</x:v>
      </x:c>
      <x:c r="E31" s="22">
        <x:v>-3745</x:v>
      </x:c>
      <x:c r="F31" s="22">
        <x:v>-2167</x:v>
      </x:c>
      <x:c r="G31" s="22">
        <x:v>-4734</x:v>
      </x:c>
      <x:c r="H31" s="9" t="n">
        <x:f>SUM(H26:H30)</x:f>
        <x:v>-600</x:v>
      </x:c>
      <x:c r="I31" s="1"/>
      <x:c r="J31" s="1"/>
      <x:c r="K31" s="1"/>
      <x:c r="L31" s="1"/>
    </x:row>
    <x:row r="32">
      <x:c r="B32" s="1" t="s">
        <x:v>251</x:v>
      </x:c>
      <x:c r="C32" s="4">
        <x:v>9</x:v>
      </x:c>
      <x:c r="D32" s="4">
        <x:v>6</x:v>
      </x:c>
      <x:c r="E32" s="4">
        <x:v>14</x:v>
      </x:c>
      <x:c r="F32" s="4">
        <x:v>-9</x:v>
      </x:c>
      <x:c r="G32" s="4">
        <x:v>3</x:v>
      </x:c>
      <x:c r="H32" s="6" t="n">
        <x:f>Inputs!L43</x:f>
        <x:v>0</x:v>
      </x:c>
      <x:c r="I32" s="1"/>
      <x:c r="J32" s="1"/>
      <x:c r="K32" s="1"/>
      <x:c r="L32" s="1"/>
    </x:row>
    <x:row r="33">
      <x:c r="B33" s="14" t="s">
        <x:v>252</x:v>
      </x:c>
      <x:c r="C33" s="7" t="n">
        <x:f>SUM(C19,C24,C31:C32)</x:f>
        <x:v>-523</x:v>
      </x:c>
      <x:c r="D33" s="7" t="n">
        <x:f>SUM(D19,D24,D31:D32)</x:f>
        <x:v>2594</x:v>
      </x:c>
      <x:c r="E33" s="7" t="n">
        <x:f>SUM(E19,E24,E31:E32)</x:f>
        <x:v>86</x:v>
      </x:c>
      <x:c r="F33" s="7" t="n">
        <x:f>SUM(F19,F24,F31:F32)</x:f>
        <x:v>4202</x:v>
      </x:c>
      <x:c r="G33" s="7" t="n">
        <x:f>SUM(G19,G24,G31:G32)</x:f>
        <x:v>11088</x:v>
      </x:c>
      <x:c r="H33" s="9" t="n">
        <x:f>SUM(H19,H24,H31:H32)</x:f>
        <x:v>23832.602079420576</x:v>
      </x:c>
      <x:c r="I33" s="1"/>
      <x:c r="J33" s="1"/>
      <x:c r="K33" s="1"/>
      <x:c r="L33" s="1"/>
    </x:row>
    <x:row r="34">
      <x:c r="B34" s="1" t="s">
        <x:v>253</x:v>
      </x:c>
      <x:c r="C34" s="4">
        <x:v>10169</x:v>
      </x:c>
      <x:c r="D34" s="4">
        <x:v>7052</x:v>
      </x:c>
      <x:c r="E34" s="4">
        <x:v>9646</x:v>
      </x:c>
      <x:c r="F34" s="4">
        <x:v>9732</x:v>
      </x:c>
      <x:c r="G34" s="4">
        <x:v>13934</x:v>
      </x:c>
      <x:c r="H34" s="19" t="n">
        <x:f>G35</x:f>
        <x:v>25022</x:v>
      </x:c>
      <x:c r="I34" s="1"/>
      <x:c r="J34" s="1"/>
      <x:c r="K34" s="1"/>
      <x:c r="L34" s="1"/>
    </x:row>
    <x:row r="35">
      <x:c r="B35" s="14" t="s">
        <x:v>254</x:v>
      </x:c>
      <x:c r="C35" s="7" t="n">
        <x:f>C33+C34</x:f>
        <x:v>9646</x:v>
      </x:c>
      <x:c r="D35" s="7" t="n">
        <x:f>D33+D34</x:f>
        <x:v>9646</x:v>
      </x:c>
      <x:c r="E35" s="7" t="n">
        <x:f>E33+E34</x:f>
        <x:v>9732</x:v>
      </x:c>
      <x:c r="F35" s="7" t="n">
        <x:f>F33+F34</x:f>
        <x:v>13934</x:v>
      </x:c>
      <x:c r="G35" s="7" t="n">
        <x:f>G33+G34</x:f>
        <x:v>25022</x:v>
      </x:c>
      <x:c r="H35" s="9" t="n">
        <x:f>H33+H34</x:f>
        <x:v>48854.602079420576</x:v>
      </x:c>
      <x:c r="I35" s="1"/>
      <x:c r="J35" s="1"/>
      <x:c r="K35" s="1"/>
      <x:c r="L35" s="1"/>
    </x:row>
    <x:row r="36">
      <x:c r="B36" s="1" t="s">
        <x:v>255</x:v>
      </x:c>
      <x:c r="C36" s="4">
        <x:v>4</x:v>
      </x:c>
      <x:c r="D36" s="4">
        <x:v>4</x:v>
      </x:c>
      <x:c r="E36" s="4">
        <x:v>1</x:v>
      </x:c>
      <x:c r="F36" s="4">
        <x:v>26</x:v>
      </x:c>
      <x:c r="G36" s="4">
        <x:v>27</x:v>
      </x:c>
      <x:c r="H36" s="19" t="n">
        <x:f>G36</x:f>
        <x:v>27</x:v>
      </x:c>
      <x:c r="I36" s="1"/>
      <x:c r="J36" s="1"/>
      <x:c r="K36" s="1"/>
      <x:c r="L36" s="1"/>
    </x:row>
    <x:row r="37">
      <x:c r="B37" s="14" t="s">
        <x:v>256</x:v>
      </x:c>
      <x:c r="C37" s="7" t="n">
        <x:f>C35-C36</x:f>
        <x:v>9642</x:v>
      </x:c>
      <x:c r="D37" s="7" t="n">
        <x:f>D35-D36</x:f>
        <x:v>9642</x:v>
      </x:c>
      <x:c r="E37" s="7" t="n">
        <x:f>E35-E36</x:f>
        <x:v>9731</x:v>
      </x:c>
      <x:c r="F37" s="7" t="n">
        <x:f>F35-F36</x:f>
        <x:v>13908</x:v>
      </x:c>
      <x:c r="G37" s="7" t="n">
        <x:f>G35-G36</x:f>
        <x:v>24995</x:v>
      </x:c>
      <x:c r="H37" s="9" t="n">
        <x:f>H35-H36</x:f>
        <x:v>48827.602079420576</x:v>
      </x:c>
      <x:c r="I37" s="1"/>
      <x:c r="J37" s="1"/>
      <x:c r="K37" s="1"/>
      <x:c r="L37" s="1"/>
    </x:row>
    <x:row r="38">
      <x:c r="B38" s="1" t="s">
        <x:v>257</x:v>
      </x:c>
      <x:c r="C38" s="13" t="n">
        <x:f>C37-'Balance Sheet'!C10</x:f>
        <x:v>0</x:v>
      </x:c>
      <x:c r="D38" s="13" t="n">
        <x:f>D37-'Balance Sheet'!D10</x:f>
        <x:v>0</x:v>
      </x:c>
      <x:c r="E38" s="13" t="n">
        <x:f>E37-'Balance Sheet'!E10</x:f>
        <x:v>0</x:v>
      </x:c>
      <x:c r="F38" s="13" t="n">
        <x:f>F37-'Balance Sheet'!F10</x:f>
        <x:v>0</x:v>
      </x:c>
      <x:c r="G38" s="13" t="n">
        <x:f>G37-'Balance Sheet'!G10</x:f>
        <x:v>0</x:v>
      </x:c>
      <x:c r="H38" s="6" t="n">
        <x:f>H37-'Balance Sheet'!H10</x:f>
        <x:v>0</x:v>
      </x:c>
      <x:c r="I38" s="1"/>
      <x:c r="J38" s="1" t="s">
        <x:v>258</x:v>
      </x:c>
      <x:c r="K38" s="1"/>
      <x:c r="L38" s="1"/>
    </x:row>
    <x:row r="39">
      <x:c r="B39" s="1" t="s">
        <x:v>259</x:v>
      </x:c>
      <x:c r="C39" s="8"/>
      <x:c r="D39" s="8"/>
      <x:c r="E39" s="13" t="n">
        <x:f>E33-('Balance Sheet'!E10-'Balance Sheet'!C10+E36-C36)</x:f>
        <x:v>0</x:v>
      </x:c>
      <x:c r="F39" s="13" t="n">
        <x:f>F33-('Balance Sheet'!F10-'Balance Sheet'!E10+F36-E36)</x:f>
        <x:v>0</x:v>
      </x:c>
      <x:c r="G39" s="13" t="n">
        <x:f>G33-('Balance Sheet'!G10-'Balance Sheet'!F10+G36-F36)</x:f>
        <x:v>0</x:v>
      </x:c>
      <x:c r="H39" s="6" t="n">
        <x:f>H33-('Balance Sheet'!H10-'Balance Sheet'!G10+H36-G36)</x:f>
        <x:v>0</x:v>
      </x:c>
      <x:c r="I39" s="1"/>
      <x:c r="J39" s="1"/>
      <x:c r="K39" s="1"/>
      <x:c r="L39" s="1"/>
    </x:row>
    <x:row r="40">
      <x:c r="B40" s="1" t="s">
        <x:v>260</x:v>
      </x:c>
      <x:c r="C40" s="8" t="b">
        <x:f>ABS(C38)&lt;0.01</x:f>
        <x:v>1</x:v>
      </x:c>
      <x:c r="D40" s="8" t="b">
        <x:f>ABS(D38)&lt;0.01</x:f>
        <x:v>1</x:v>
      </x:c>
      <x:c r="E40" s="8" t="b">
        <x:f>ABS(E38)&lt;0.01</x:f>
        <x:v>1</x:v>
      </x:c>
      <x:c r="F40" s="8" t="b">
        <x:f>ABS(F38)&lt;0.01</x:f>
        <x:v>1</x:v>
      </x:c>
      <x:c r="G40" s="8" t="b">
        <x:f>ABS(G38)&lt;0.01</x:f>
        <x:v>1</x:v>
      </x:c>
      <x:c r="H40" s="19" t="b">
        <x:f>ABS(H38)&lt;0.01</x:f>
        <x:v>1</x:v>
      </x:c>
      <x:c r="I40" s="1"/>
      <x:c r="J40" s="1"/>
      <x:c r="K40" s="1"/>
      <x:c r="L40" s="1"/>
    </x:row>
    <x:row r="41">
      <x:c r="B41" s="1" t="s">
        <x:v>261</x:v>
      </x:c>
      <x:c r="C41" s="1"/>
      <x:c r="D41" s="1"/>
      <x:c r="E41" s="1"/>
      <x:c r="F41" s="1"/>
      <x:c r="G41" s="1"/>
      <x:c r="H41" s="13" t="n">
        <x:f>H13-('Balance Sheet'!G12-'Balance Sheet'!H12)</x:f>
        <x:v>0</x:v>
      </x:c>
      <x:c r="I41" s="1"/>
      <x:c r="J41" s="1" t="s">
        <x:v>262</x:v>
      </x:c>
      <x:c r="K41" s="1"/>
      <x:c r="L41" s="1"/>
    </x:row>
    <x:row r="42">
      <x:c r="B42" s="1" t="s">
        <x:v>263</x:v>
      </x:c>
      <x:c r="C42" s="1"/>
      <x:c r="D42" s="1"/>
      <x:c r="E42" s="1"/>
      <x:c r="F42" s="1"/>
      <x:c r="G42" s="1"/>
      <x:c r="H42" s="13" t="n">
        <x:f>H15-('Balance Sheet'!H25-'Balance Sheet'!G25)</x:f>
        <x:v>0</x:v>
      </x:c>
      <x:c r="I42" s="1"/>
      <x:c r="J42" s="1"/>
      <x:c r="K42" s="1"/>
      <x:c r="L42" s="1"/>
    </x:row>
    <x:row r="43">
      <x:c r="B43" s="1" t="s">
        <x:v>264</x:v>
      </x:c>
      <x:c r="C43" s="1"/>
      <x:c r="D43" s="1"/>
      <x:c r="E43" s="1"/>
      <x:c r="F43" s="1"/>
      <x:c r="G43" s="1"/>
      <x:c r="H43" s="13" t="n">
        <x:f>('Balance Sheet'!H17-'Balance Sheet'!G17)+H22+H11+H23</x:f>
        <x:v>0</x:v>
      </x:c>
      <x:c r="I43" s="1"/>
      <x:c r="J43" s="1"/>
      <x:c r="K43" s="1"/>
      <x:c r="L43" s="1"/>
    </x:row>
    <x:row r="44">
      <x:c r="B44" s="1" t="s">
        <x:v>265</x:v>
      </x:c>
      <x:c r="C44" s="1"/>
      <x:c r="D44" s="1"/>
      <x:c r="E44" s="1"/>
      <x:c r="F44" s="1"/>
      <x:c r="G44" s="1"/>
      <x:c r="H44" s="13" t="n">
        <x:f>H18+('Balance Sheet'!H22-'Balance Sheet'!G22)</x:f>
        <x:v>0</x:v>
      </x:c>
      <x:c r="I44" s="1"/>
      <x:c r="J44" s="1"/>
      <x:c r="K44" s="1"/>
      <x:c r="L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266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267</x:v>
      </x:c>
      <x:c r="C9" s="8"/>
      <x:c r="D9" s="8"/>
      <x:c r="E9" s="8"/>
      <x:c r="F9" s="8"/>
      <x:c r="G9" s="8"/>
      <x:c r="H9" s="19"/>
      <x:c r="I9" s="1"/>
      <x:c r="J9" s="1" t="s">
        <x:v>34</x:v>
      </x:c>
      <x:c r="K9" s="1"/>
      <x:c r="L9" s="1"/>
    </x:row>
    <x:row r="10">
      <x:c r="B10" s="1" t="s">
        <x:v>268</x:v>
      </x:c>
      <x:c r="C10" s="8"/>
      <x:c r="D10" s="4">
        <x:v>24113</x:v>
      </x:c>
      <x:c r="E10" s="8"/>
      <x:c r="F10" s="8"/>
      <x:c r="G10" s="8"/>
      <x:c r="H10" s="6" t="n">
        <x:f>'Revenue summary'!H53*D10/D42</x:f>
        <x:v>33210.875857174615</x:v>
      </x:c>
      <x:c r="I10" s="1"/>
      <x:c r="J10" s="1" t="s">
        <x:v>269</x:v>
      </x:c>
      <x:c r="K10" s="1"/>
      <x:c r="L10" s="1"/>
    </x:row>
    <x:row r="11">
      <x:c r="B11" s="1" t="s">
        <x:v>69</x:v>
      </x:c>
      <x:c r="C11" s="8"/>
      <x:c r="D11" s="5" t="n">
        <x:f>IFERROR(D10/D42,0)</x:f>
        <x:v>0.6451120980255766</x:v>
      </x:c>
      <x:c r="E11" s="5"/>
      <x:c r="F11" s="5"/>
      <x:c r="G11" s="5"/>
      <x:c r="H11" s="21" t="n">
        <x:f>IFERROR(H10/H42,0)</x:f>
        <x:v>0.6451120980255766</x:v>
      </x:c>
      <x:c r="I11" s="1"/>
      <x:c r="J11" s="1"/>
      <x:c r="K11" s="1"/>
      <x:c r="L11" s="1"/>
    </x:row>
    <x:row r="12">
      <x:c r="B12" s="1" t="s">
        <x:v>270</x:v>
      </x:c>
      <x:c r="C12" s="5"/>
      <x:c r="D12" s="5"/>
      <x:c r="E12" s="5"/>
      <x:c r="F12" s="5"/>
      <x:c r="G12" s="5"/>
      <x:c r="H12" s="21"/>
      <x:c r="I12" s="1"/>
      <x:c r="J12" s="1"/>
      <x:c r="K12" s="1"/>
      <x:c r="L12" s="1"/>
    </x:row>
    <x:row r="13">
      <x:c r="B13" s="1" t="s">
        <x:v>271</x:v>
      </x:c>
      <x:c r="C13" s="8"/>
      <x:c r="D13" s="8"/>
      <x:c r="E13" s="8"/>
      <x:c r="F13" s="8"/>
      <x:c r="G13" s="8"/>
      <x:c r="H13" s="19" t="n">
        <x:f>(H11-D11)*10000</x:f>
        <x:v>0</x:v>
      </x:c>
      <x:c r="I13" s="1"/>
      <x:c r="J13" s="1"/>
      <x:c r="K13" s="1"/>
      <x:c r="L13" s="1"/>
    </x:row>
    <x:row r="14">
      <x:c r="B14" s="1" t="s">
        <x:v>272</x:v>
      </x:c>
      <x:c r="C14" s="8"/>
      <x:c r="D14" s="4">
        <x:v>5672</x:v>
      </x:c>
      <x:c r="E14" s="8"/>
      <x:c r="F14" s="8"/>
      <x:c r="G14" s="8"/>
      <x:c r="H14" s="6" t="n">
        <x:f>'Revenue summary'!H53*D14/D42</x:f>
        <x:v>7812.055234184649</x:v>
      </x:c>
      <x:c r="I14" s="1"/>
      <x:c r="J14" s="1"/>
      <x:c r="K14" s="1"/>
      <x:c r="L14" s="1"/>
    </x:row>
    <x:row r="15">
      <x:c r="B15" s="1" t="s">
        <x:v>69</x:v>
      </x:c>
      <x:c r="C15" s="8"/>
      <x:c r="D15" s="5" t="n">
        <x:f>IFERROR(D14/D42,0)</x:f>
        <x:v>0.15174701696184922</x:v>
      </x:c>
      <x:c r="E15" s="5"/>
      <x:c r="F15" s="5"/>
      <x:c r="G15" s="5"/>
      <x:c r="H15" s="21" t="n">
        <x:f>IFERROR(H14/H42,0)</x:f>
        <x:v>0.15174701696184925</x:v>
      </x:c>
      <x:c r="I15" s="1"/>
      <x:c r="J15" s="1"/>
      <x:c r="K15" s="1"/>
      <x:c r="L15" s="1"/>
    </x:row>
    <x:row r="16">
      <x:c r="B16" s="1" t="s">
        <x:v>270</x:v>
      </x:c>
      <x:c r="C16" s="5"/>
      <x:c r="D16" s="5"/>
      <x:c r="E16" s="5"/>
      <x:c r="F16" s="5"/>
      <x:c r="G16" s="5"/>
      <x:c r="H16" s="21"/>
      <x:c r="I16" s="1"/>
      <x:c r="J16" s="1"/>
      <x:c r="K16" s="1"/>
      <x:c r="L16" s="1"/>
    </x:row>
    <x:row r="17">
      <x:c r="B17" s="1" t="s">
        <x:v>271</x:v>
      </x:c>
      <x:c r="C17" s="8"/>
      <x:c r="D17" s="8"/>
      <x:c r="E17" s="8"/>
      <x:c r="F17" s="8"/>
      <x:c r="G17" s="8"/>
      <x:c r="H17" s="19" t="n">
        <x:f>(H15-D15)*10000</x:f>
        <x:v>2.7755575615628914e-13</x:v>
      </x:c>
      <x:c r="I17" s="1"/>
      <x:c r="J17" s="1"/>
      <x:c r="K17" s="1"/>
      <x:c r="L17" s="1"/>
    </x:row>
    <x:row r="18">
      <x:c r="B18" s="1" t="s">
        <x:v>273</x:v>
      </x:c>
      <x:c r="C18" s="8"/>
      <x:c r="D18" s="4">
        <x:v>2639</x:v>
      </x:c>
      <x:c r="E18" s="8"/>
      <x:c r="F18" s="8"/>
      <x:c r="G18" s="8"/>
      <x:c r="H18" s="6" t="n">
        <x:f>'Revenue summary'!H53*D18/D42</x:f>
        <x:v>3634.69918247766</x:v>
      </x:c>
      <x:c r="I18" s="1"/>
      <x:c r="J18" s="1"/>
      <x:c r="K18" s="1"/>
      <x:c r="L18" s="1"/>
    </x:row>
    <x:row r="19">
      <x:c r="B19" s="1" t="s">
        <x:v>69</x:v>
      </x:c>
      <x:c r="C19" s="8"/>
      <x:c r="D19" s="5" t="n">
        <x:f>IFERROR(D18/D42,0)</x:f>
        <x:v>0.07060302851944994</x:v>
      </x:c>
      <x:c r="E19" s="5"/>
      <x:c r="F19" s="5"/>
      <x:c r="G19" s="5"/>
      <x:c r="H19" s="21" t="n">
        <x:f>IFERROR(H18/H42,0)</x:f>
        <x:v>0.07060302851944995</x:v>
      </x:c>
      <x:c r="I19" s="1"/>
      <x:c r="J19" s="1"/>
      <x:c r="K19" s="1"/>
      <x:c r="L19" s="1"/>
    </x:row>
    <x:row r="20">
      <x:c r="B20" s="1" t="s">
        <x:v>270</x:v>
      </x:c>
      <x:c r="C20" s="5"/>
      <x:c r="D20" s="5"/>
      <x:c r="E20" s="5"/>
      <x:c r="F20" s="5"/>
      <x:c r="G20" s="5"/>
      <x:c r="H20" s="21"/>
      <x:c r="I20" s="1"/>
      <x:c r="J20" s="1"/>
      <x:c r="K20" s="1"/>
      <x:c r="L20" s="1"/>
    </x:row>
    <x:row r="21">
      <x:c r="B21" s="1" t="s">
        <x:v>271</x:v>
      </x:c>
      <x:c r="C21" s="8"/>
      <x:c r="D21" s="8"/>
      <x:c r="E21" s="8"/>
      <x:c r="F21" s="8"/>
      <x:c r="G21" s="8"/>
      <x:c r="H21" s="19" t="n">
        <x:f>(H19-D19)*10000</x:f>
        <x:v>1.3877787807814457e-13</x:v>
      </x:c>
      <x:c r="I21" s="1"/>
      <x:c r="J21" s="1"/>
      <x:c r="K21" s="1"/>
      <x:c r="L21" s="1"/>
    </x:row>
    <x:row r="22">
      <x:c r="B22" s="1" t="s">
        <x:v>274</x:v>
      </x:c>
      <x:c r="C22" s="8"/>
      <x:c r="D22" s="4">
        <x:v>1913</x:v>
      </x:c>
      <x:c r="E22" s="8"/>
      <x:c r="F22" s="8"/>
      <x:c r="G22" s="8"/>
      <x:c r="H22" s="6" t="n">
        <x:f>'Revenue summary'!H53*D22/D42</x:f>
        <x:v>2634.778149329202</x:v>
      </x:c>
      <x:c r="I22" s="1"/>
      <x:c r="J22" s="1"/>
      <x:c r="K22" s="1"/>
      <x:c r="L22" s="1"/>
    </x:row>
    <x:row r="23">
      <x:c r="B23" s="1" t="s">
        <x:v>69</x:v>
      </x:c>
      <x:c r="C23" s="8"/>
      <x:c r="D23" s="5" t="n">
        <x:f>IFERROR(D22/D42,0)</x:f>
        <x:v>0.05117983840761946</x:v>
      </x:c>
      <x:c r="E23" s="5"/>
      <x:c r="F23" s="5"/>
      <x:c r="G23" s="5"/>
      <x:c r="H23" s="21" t="n">
        <x:f>IFERROR(H22/H42,0)</x:f>
        <x:v>0.051179838407619464</x:v>
      </x:c>
      <x:c r="I23" s="1"/>
      <x:c r="J23" s="1"/>
      <x:c r="K23" s="1"/>
      <x:c r="L23" s="1"/>
    </x:row>
    <x:row r="24">
      <x:c r="B24" s="1" t="s">
        <x:v>270</x:v>
      </x:c>
      <x:c r="C24" s="5"/>
      <x:c r="D24" s="5"/>
      <x:c r="E24" s="5"/>
      <x:c r="F24" s="5"/>
      <x:c r="G24" s="5"/>
      <x:c r="H24" s="21"/>
      <x:c r="I24" s="1"/>
      <x:c r="J24" s="1"/>
      <x:c r="K24" s="1"/>
      <x:c r="L24" s="1"/>
    </x:row>
    <x:row r="25">
      <x:c r="B25" s="1" t="s">
        <x:v>271</x:v>
      </x:c>
      <x:c r="C25" s="8"/>
      <x:c r="D25" s="8"/>
      <x:c r="E25" s="8"/>
      <x:c r="F25" s="8"/>
      <x:c r="G25" s="8"/>
      <x:c r="H25" s="19" t="n">
        <x:f>(H23-D23)*10000</x:f>
        <x:v>6.938893903907228e-14</x:v>
      </x:c>
      <x:c r="I25" s="1"/>
      <x:c r="J25" s="1"/>
      <x:c r="K25" s="1"/>
      <x:c r="L25" s="1"/>
    </x:row>
    <x:row r="26">
      <x:c r="B26" s="1" t="s">
        <x:v>275</x:v>
      </x:c>
      <x:c r="C26" s="8"/>
      <x:c r="D26" s="4">
        <x:v>1138</x:v>
      </x:c>
      <x:c r="E26" s="8"/>
      <x:c r="F26" s="8"/>
      <x:c r="G26" s="8"/>
      <x:c r="H26" s="6" t="n">
        <x:f>'Revenue summary'!H53*D26/D42</x:f>
        <x:v>1567.3693329517155</x:v>
      </x:c>
      <x:c r="I26" s="1"/>
      <x:c r="J26" s="1"/>
      <x:c r="K26" s="1"/>
      <x:c r="L26" s="1"/>
    </x:row>
    <x:row r="27">
      <x:c r="B27" s="1" t="s">
        <x:v>69</x:v>
      </x:c>
      <x:c r="C27" s="8"/>
      <x:c r="D27" s="5" t="n">
        <x:f>IFERROR(D26/D42,0)</x:f>
        <x:v>0.03044571673176735</x:v>
      </x:c>
      <x:c r="E27" s="5"/>
      <x:c r="F27" s="5"/>
      <x:c r="G27" s="5"/>
      <x:c r="H27" s="21" t="n">
        <x:f>IFERROR(H26/H42,0)</x:f>
        <x:v>0.030445716731767353</x:v>
      </x:c>
      <x:c r="I27" s="1"/>
      <x:c r="J27" s="1"/>
      <x:c r="K27" s="1"/>
      <x:c r="L27" s="1"/>
    </x:row>
    <x:row r="28">
      <x:c r="B28" s="1" t="s">
        <x:v>270</x:v>
      </x:c>
      <x:c r="C28" s="5"/>
      <x:c r="D28" s="5"/>
      <x:c r="E28" s="5"/>
      <x:c r="F28" s="5"/>
      <x:c r="G28" s="5"/>
      <x:c r="H28" s="21"/>
      <x:c r="I28" s="1"/>
      <x:c r="J28" s="1"/>
      <x:c r="K28" s="1"/>
      <x:c r="L28" s="1"/>
    </x:row>
    <x:row r="29">
      <x:c r="B29" s="1" t="s">
        <x:v>271</x:v>
      </x:c>
      <x:c r="C29" s="8"/>
      <x:c r="D29" s="8"/>
      <x:c r="E29" s="8"/>
      <x:c r="F29" s="8"/>
      <x:c r="G29" s="8"/>
      <x:c r="H29" s="19" t="n">
        <x:f>(H27-D27)*10000</x:f>
        <x:v>3.469446951953614e-14</x:v>
      </x:c>
      <x:c r="I29" s="1"/>
      <x:c r="J29" s="1"/>
      <x:c r="K29" s="1"/>
      <x:c r="L29" s="1"/>
    </x:row>
    <x:row r="30">
      <x:c r="B30" s="1" t="s">
        <x:v>276</x:v>
      </x:c>
      <x:c r="C30" s="8"/>
      <x:c r="D30" s="4">
        <x:v>895</x:v>
      </x:c>
      <x:c r="E30" s="8"/>
      <x:c r="F30" s="8"/>
      <x:c r="G30" s="8"/>
      <x:c r="H30" s="6" t="n">
        <x:f>'Revenue summary'!H53*D30/D42</x:f>
        <x:v>1232.6850202036778</x:v>
      </x:c>
      <x:c r="I30" s="1"/>
      <x:c r="J30" s="1"/>
      <x:c r="K30" s="1"/>
      <x:c r="L30" s="1"/>
    </x:row>
    <x:row r="31">
      <x:c r="B31" s="1" t="s">
        <x:v>69</x:v>
      </x:c>
      <x:c r="C31" s="8"/>
      <x:c r="D31" s="5" t="n">
        <x:f>IFERROR(D30/D42,0)</x:f>
        <x:v>0.02394456632243566</x:v>
      </x:c>
      <x:c r="E31" s="5"/>
      <x:c r="F31" s="5"/>
      <x:c r="G31" s="5"/>
      <x:c r="H31" s="21" t="n">
        <x:f>IFERROR(H30/H42,0)</x:f>
        <x:v>0.023944566322435662</x:v>
      </x:c>
      <x:c r="I31" s="1"/>
      <x:c r="J31" s="1"/>
      <x:c r="K31" s="1"/>
      <x:c r="L31" s="1"/>
    </x:row>
    <x:row r="32">
      <x:c r="B32" s="1" t="s">
        <x:v>270</x:v>
      </x:c>
      <x:c r="C32" s="5"/>
      <x:c r="D32" s="5"/>
      <x:c r="E32" s="5"/>
      <x:c r="F32" s="5"/>
      <x:c r="G32" s="5"/>
      <x:c r="H32" s="21"/>
      <x:c r="I32" s="1"/>
      <x:c r="J32" s="1"/>
      <x:c r="K32" s="1"/>
      <x:c r="L32" s="1"/>
    </x:row>
    <x:row r="33">
      <x:c r="B33" s="1" t="s">
        <x:v>271</x:v>
      </x:c>
      <x:c r="C33" s="8"/>
      <x:c r="D33" s="8"/>
      <x:c r="E33" s="8"/>
      <x:c r="F33" s="8"/>
      <x:c r="G33" s="8"/>
      <x:c r="H33" s="19" t="n">
        <x:f>(H31-D31)*10000</x:f>
        <x:v>3.469446951953614e-14</x:v>
      </x:c>
      <x:c r="I33" s="1"/>
      <x:c r="J33" s="1"/>
      <x:c r="K33" s="1"/>
      <x:c r="L33" s="1"/>
    </x:row>
    <x:row r="34">
      <x:c r="B34" s="1" t="s">
        <x:v>277</x:v>
      </x:c>
      <x:c r="C34" s="8"/>
      <x:c r="D34" s="4">
        <x:v>625</x:v>
      </x:c>
      <x:c r="E34" s="8"/>
      <x:c r="F34" s="8"/>
      <x:c r="G34" s="8"/>
      <x:c r="H34" s="6" t="n">
        <x:f>'Revenue summary'!H53*D34/D42</x:f>
        <x:v>860.8135615947471</x:v>
      </x:c>
      <x:c r="I34" s="1"/>
      <x:c r="J34" s="1"/>
      <x:c r="K34" s="1"/>
      <x:c r="L34" s="1"/>
    </x:row>
    <x:row r="35">
      <x:c r="B35" s="1" t="s">
        <x:v>69</x:v>
      </x:c>
      <x:c r="C35" s="8"/>
      <x:c r="D35" s="5" t="n">
        <x:f>IFERROR(D34/D42,0)</x:f>
        <x:v>0.016721065867622665</x:v>
      </x:c>
      <x:c r="E35" s="5"/>
      <x:c r="F35" s="5"/>
      <x:c r="G35" s="5"/>
      <x:c r="H35" s="21" t="n">
        <x:f>IFERROR(H34/H42,0)</x:f>
        <x:v>0.01672106586762267</x:v>
      </x:c>
      <x:c r="I35" s="1"/>
      <x:c r="J35" s="1"/>
      <x:c r="K35" s="1"/>
      <x:c r="L35" s="1"/>
    </x:row>
    <x:row r="36">
      <x:c r="B36" s="1" t="s">
        <x:v>270</x:v>
      </x:c>
      <x:c r="C36" s="5"/>
      <x:c r="D36" s="5"/>
      <x:c r="E36" s="5"/>
      <x:c r="F36" s="5"/>
      <x:c r="G36" s="5"/>
      <x:c r="H36" s="21"/>
      <x:c r="I36" s="1"/>
      <x:c r="J36" s="1"/>
      <x:c r="K36" s="1"/>
      <x:c r="L36" s="1"/>
    </x:row>
    <x:row r="37">
      <x:c r="B37" s="1" t="s">
        <x:v>271</x:v>
      </x:c>
      <x:c r="C37" s="8"/>
      <x:c r="D37" s="8"/>
      <x:c r="E37" s="8"/>
      <x:c r="F37" s="8"/>
      <x:c r="G37" s="8"/>
      <x:c r="H37" s="19" t="n">
        <x:f>(H35-D35)*10000</x:f>
        <x:v>3.469446951953614e-14</x:v>
      </x:c>
      <x:c r="I37" s="1"/>
      <x:c r="J37" s="1"/>
      <x:c r="K37" s="1"/>
      <x:c r="L37" s="1"/>
    </x:row>
    <x:row r="38">
      <x:c r="B38" s="1" t="s">
        <x:v>278</x:v>
      </x:c>
      <x:c r="C38" s="8"/>
      <x:c r="D38" s="4">
        <x:v>383</x:v>
      </x:c>
      <x:c r="E38" s="8"/>
      <x:c r="F38" s="8"/>
      <x:c r="G38" s="8"/>
      <x:c r="H38" s="6" t="n">
        <x:f>'Revenue summary'!H53*D38/D42</x:f>
        <x:v>527.506550545261</x:v>
      </x:c>
      <x:c r="I38" s="1"/>
      <x:c r="J38" s="1"/>
      <x:c r="K38" s="1"/>
      <x:c r="L38" s="1"/>
    </x:row>
    <x:row r="39">
      <x:c r="B39" s="1" t="s">
        <x:v>69</x:v>
      </x:c>
      <x:c r="C39" s="8"/>
      <x:c r="D39" s="5" t="n">
        <x:f>IFERROR(D38/D42,0)</x:f>
        <x:v>0.010246669163679169</x:v>
      </x:c>
      <x:c r="E39" s="5"/>
      <x:c r="F39" s="5"/>
      <x:c r="G39" s="5"/>
      <x:c r="H39" s="21" t="n">
        <x:f>IFERROR(H38/H42,0)</x:f>
        <x:v>0.01024666916367917</x:v>
      </x:c>
      <x:c r="I39" s="1"/>
      <x:c r="J39" s="1"/>
      <x:c r="K39" s="1"/>
      <x:c r="L39" s="1"/>
    </x:row>
    <x:row r="40">
      <x:c r="B40" s="1" t="s">
        <x:v>270</x:v>
      </x:c>
      <x:c r="C40" s="5"/>
      <x:c r="D40" s="5"/>
      <x:c r="E40" s="5"/>
      <x:c r="F40" s="5"/>
      <x:c r="G40" s="5"/>
      <x:c r="H40" s="21"/>
      <x:c r="I40" s="1"/>
      <x:c r="J40" s="1"/>
      <x:c r="K40" s="1"/>
      <x:c r="L40" s="1"/>
    </x:row>
    <x:row r="41">
      <x:c r="B41" s="1" t="s">
        <x:v>271</x:v>
      </x:c>
      <x:c r="C41" s="8"/>
      <x:c r="D41" s="8"/>
      <x:c r="E41" s="8"/>
      <x:c r="F41" s="8"/>
      <x:c r="G41" s="8"/>
      <x:c r="H41" s="19" t="n">
        <x:f>(H39-D39)*10000</x:f>
        <x:v>1.734723475976807e-14</x:v>
      </x:c>
      <x:c r="I41" s="1"/>
      <x:c r="J41" s="1"/>
      <x:c r="K41" s="1"/>
      <x:c r="L41" s="1"/>
    </x:row>
    <x:row r="42">
      <x:c r="B42" s="33" t="s">
        <x:v>279</x:v>
      </x:c>
      <x:c r="C42" s="12"/>
      <x:c r="D42" s="12" t="n">
        <x:f>SUM(D10,D14,D18,D22,D26,D30,D34,D38)</x:f>
        <x:v>37378</x:v>
      </x:c>
      <x:c r="E42" s="12"/>
      <x:c r="F42" s="12"/>
      <x:c r="G42" s="12"/>
      <x:c r="H42" s="24" t="n">
        <x:f>SUM(H10,H14,H18,H22,H26,H30,H34,H38)</x:f>
        <x:v>51480.78288846152</x:v>
      </x:c>
      <x:c r="I42" s="1"/>
      <x:c r="J42" s="1"/>
      <x:c r="K42" s="1"/>
      <x:c r="L42" s="1"/>
    </x:row>
    <x:row r="43">
      <x:c r="B43" s="33" t="s">
        <x:v>280</x:v>
      </x:c>
      <x:c r="C43" s="12"/>
      <x:c r="D43" s="57" t="n">
        <x:f>D42-Inputs!L86</x:f>
        <x:v>0</x:v>
      </x:c>
      <x:c r="E43" s="12"/>
      <x:c r="F43" s="12"/>
      <x:c r="G43" s="12"/>
      <x:c r="H43" s="56" t="n">
        <x:f>H42-'Revenue summary'!H53</x:f>
        <x:v>-7.275957614183426e-12</x:v>
      </x:c>
      <x:c r="I43" s="1"/>
      <x:c r="J43" s="1" t="s">
        <x:v>281</x:v>
      </x:c>
      <x:c r="K43" s="1"/>
      <x:c r="L43" s="1"/>
    </x:row>
    <x:row r="44">
      <x:c r="B44" s="1" t="s">
        <x:v>282</x:v>
      </x:c>
      <x:c r="C44" s="66" t="s">
        <x:v>44</x:v>
      </x:c>
      <x:c r="D44" s="66"/>
      <x:c r="E44" s="66" t="s">
        <x:v>44</x:v>
      </x:c>
      <x:c r="F44" s="66" t="s">
        <x:v>44</x:v>
      </x:c>
      <x:c r="G44" s="66" t="s">
        <x:v>44</x:v>
      </x:c>
      <x:c r="H44" s="19"/>
      <x:c r="I44" s="1"/>
      <x:c r="J44" s="1"/>
      <x:c r="K44" s="1"/>
      <x:c r="L44" s="1"/>
    </x:row>
    <x:row r="45">
      <x:c r="B45" s="1"/>
      <x:c r="C45" s="8"/>
      <x:c r="D45" s="8"/>
      <x:c r="E45" s="8"/>
      <x:c r="F45" s="8"/>
      <x:c r="G45" s="8"/>
      <x:c r="H45" s="19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283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1"/>
      <x:c r="I8" s="1"/>
      <x:c r="J8" s="1"/>
      <x:c r="K8" s="1"/>
      <x:c r="L8" s="1"/>
    </x:row>
    <x:row r="9">
      <x:c r="B9" s="1" t="s">
        <x:v>284</x:v>
      </x:c>
      <x:c r="C9" s="8"/>
      <x:c r="D9" s="8"/>
      <x:c r="E9" s="8"/>
      <x:c r="F9" s="8"/>
      <x:c r="G9" s="8"/>
      <x:c r="H9" s="19"/>
      <x:c r="I9" s="1"/>
      <x:c r="J9" s="1"/>
      <x:c r="K9" s="1"/>
      <x:c r="L9" s="1"/>
    </x:row>
    <x:row r="10">
      <x:c r="B10" s="1" t="s">
        <x:v>285</x:v>
      </x:c>
      <x:c r="C10" s="13" t="n">
        <x:f>'Cash Flow Statement'!C26</x:f>
        <x:v>0</x:v>
      </x:c>
      <x:c r="D10" s="13" t="n">
        <x:f>'Cash Flow Statement'!D26</x:f>
        <x:v>0</x:v>
      </x:c>
      <x:c r="E10" s="13" t="n">
        <x:f>'Cash Flow Statement'!E26</x:f>
        <x:v>-300</x:v>
      </x:c>
      <x:c r="F10" s="13" t="n">
        <x:f>'Cash Flow Statement'!F26</x:f>
        <x:v>-350</x:v>
      </x:c>
      <x:c r="G10" s="13" t="n">
        <x:f>'Cash Flow Statement'!G26</x:f>
        <x:v>0</x:v>
      </x:c>
      <x:c r="H10" s="6" t="n">
        <x:f>'Cash Flow Statement'!H26</x:f>
        <x:v>-200</x:v>
      </x:c>
      <x:c r="I10" s="1"/>
      <x:c r="J10" s="1"/>
      <x:c r="K10" s="1"/>
      <x:c r="L10" s="1"/>
    </x:row>
    <x:row r="11">
      <x:c r="B11" s="1" t="s">
        <x:v>286</x:v>
      </x:c>
      <x:c r="C11" s="13" t="n">
        <x:f>'Cash Flow Statement'!C27</x:f>
        <x:v>0</x:v>
      </x:c>
      <x:c r="D11" s="13" t="n">
        <x:f>'Cash Flow Statement'!D27</x:f>
        <x:v>0</x:v>
      </x:c>
      <x:c r="E11" s="13" t="n">
        <x:f>'Cash Flow Statement'!E27</x:f>
        <x:v>-367</x:v>
      </x:c>
      <x:c r="F11" s="13" t="n">
        <x:f>'Cash Flow Statement'!F27</x:f>
        <x:v>-178</x:v>
      </x:c>
      <x:c r="G11" s="13" t="n">
        <x:f>'Cash Flow Statement'!G27</x:f>
        <x:v>-217</x:v>
      </x:c>
      <x:c r="H11" s="6" t="n">
        <x:f>'Cash Flow Statement'!H27</x:f>
        <x:v>-200</x:v>
      </x:c>
      <x:c r="I11" s="1"/>
      <x:c r="J11" s="1"/>
      <x:c r="K11" s="1"/>
      <x:c r="L11" s="1"/>
    </x:row>
    <x:row r="12">
      <x:c r="B12" s="1" t="s">
        <x:v>287</x:v>
      </x:c>
      <x:c r="C12" s="66" t="s">
        <x:v>44</x:v>
      </x:c>
      <x:c r="D12" s="66" t="s">
        <x:v>44</x:v>
      </x:c>
      <x:c r="E12" s="66" t="s">
        <x:v>44</x:v>
      </x:c>
      <x:c r="F12" s="66" t="s">
        <x:v>44</x:v>
      </x:c>
      <x:c r="G12" s="66" t="s">
        <x:v>44</x:v>
      </x:c>
      <x:c r="H12" s="71" t="s">
        <x:v>44</x:v>
      </x:c>
      <x:c r="I12" s="1"/>
      <x:c r="J12" s="1"/>
      <x:c r="K12" s="1"/>
      <x:c r="L12" s="1"/>
    </x:row>
    <x:row r="13">
      <x:c r="B13" s="1" t="s">
        <x:v>288</x:v>
      </x:c>
      <x:c r="C13" s="8"/>
      <x:c r="D13" s="8"/>
      <x:c r="E13" s="8" t="n">
        <x:f>E15-C15</x:f>
        <x:v>5</x:v>
      </x:c>
      <x:c r="F13" s="8" t="n">
        <x:f>F15-E15</x:f>
        <x:v>1</x:v>
      </x:c>
      <x:c r="G13" s="8" t="n">
        <x:f>G15-F15</x:f>
        <x:v>2</x:v>
      </x:c>
      <x:c r="H13" s="19" t="n">
        <x:f>H15-G15</x:f>
        <x:v>4</x:v>
      </x:c>
      <x:c r="I13" s="1"/>
      <x:c r="J13" s="1"/>
      <x:c r="K13" s="1"/>
      <x:c r="L13" s="1"/>
    </x:row>
    <x:row r="14">
      <x:c r="B14" s="1" t="s">
        <x:v>289</x:v>
      </x:c>
      <x:c r="C14" s="8"/>
      <x:c r="D14" s="8"/>
      <x:c r="E14" s="8"/>
      <x:c r="F14" s="8"/>
      <x:c r="G14" s="8"/>
      <x:c r="H14" s="19"/>
      <x:c r="I14" s="1"/>
      <x:c r="J14" s="1"/>
      <x:c r="K14" s="1"/>
      <x:c r="L14" s="1"/>
    </x:row>
    <x:row r="15">
      <x:c r="B15" s="46" t="s">
        <x:v>171</x:v>
      </x:c>
      <x:c r="C15" s="36">
        <x:v>1120</x:v>
      </x:c>
      <x:c r="D15" s="36">
        <x:v>1116</x:v>
      </x:c>
      <x:c r="E15" s="36">
        <x:v>1125</x:v>
      </x:c>
      <x:c r="F15" s="36">
        <x:v>1126</x:v>
      </x:c>
      <x:c r="G15" s="36">
        <x:v>1128</x:v>
      </x:c>
      <x:c r="H15" s="15" t="n">
        <x:f>Inputs!L32</x:f>
        <x:v>1132</x:v>
      </x:c>
      <x:c r="I15" s="1"/>
      <x:c r="J15" s="1"/>
      <x:c r="K15" s="1"/>
      <x:c r="L15" s="1"/>
    </x:row>
    <x:row r="16">
      <x:c r="B16" s="1" t="s">
        <x:v>290</x:v>
      </x:c>
      <x:c r="C16" s="8"/>
      <x:c r="D16" s="8"/>
      <x:c r="E16" s="8" t="n">
        <x:f>E15-C15</x:f>
        <x:v>5</x:v>
      </x:c>
      <x:c r="F16" s="8" t="n">
        <x:f>F15-E15</x:f>
        <x:v>1</x:v>
      </x:c>
      <x:c r="G16" s="8" t="n">
        <x:f>G15-F15</x:f>
        <x:v>2</x:v>
      </x:c>
      <x:c r="H16" s="19" t="n">
        <x:f>H15-G15</x:f>
        <x:v>4</x:v>
      </x:c>
      <x:c r="I16" s="1"/>
      <x:c r="J16" s="1"/>
      <x:c r="K16" s="1"/>
      <x:c r="L16" s="1"/>
    </x:row>
    <x:row r="17">
      <x:c r="B17" s="1" t="s">
        <x:v>291</x:v>
      </x:c>
      <x:c r="C17" s="8" t="n">
        <x:f>C18-C15</x:f>
        <x:v>11</x:v>
      </x:c>
      <x:c r="D17" s="8" t="n">
        <x:f>D18-D15</x:f>
        <x:v>9</x:v>
      </x:c>
      <x:c r="E17" s="8" t="n">
        <x:f>E18-E15</x:f>
        <x:v>13</x:v>
      </x:c>
      <x:c r="F17" s="8" t="n">
        <x:f>F18-F15</x:f>
        <x:v>16</x:v>
      </x:c>
      <x:c r="G17" s="8" t="n">
        <x:f>G18-G15</x:f>
        <x:v>17</x:v>
      </x:c>
      <x:c r="H17" s="6" t="n">
        <x:f>Inputs!L33</x:f>
        <x:v>17</x:v>
      </x:c>
      <x:c r="I17" s="1"/>
      <x:c r="J17" s="1"/>
      <x:c r="K17" s="1"/>
      <x:c r="L17" s="1"/>
    </x:row>
    <x:row r="18">
      <x:c r="B18" s="46" t="s">
        <x:v>172</x:v>
      </x:c>
      <x:c r="C18" s="36">
        <x:v>1131</x:v>
      </x:c>
      <x:c r="D18" s="36">
        <x:v>1125</x:v>
      </x:c>
      <x:c r="E18" s="36">
        <x:v>1138</x:v>
      </x:c>
      <x:c r="F18" s="36">
        <x:v>1142</x:v>
      </x:c>
      <x:c r="G18" s="36">
        <x:v>1145</x:v>
      </x:c>
      <x:c r="H18" s="38" t="n">
        <x:f>H15+H17</x:f>
        <x:v>1149</x:v>
      </x:c>
      <x:c r="I18" s="1"/>
      <x:c r="J18" s="1"/>
      <x:c r="K18" s="1"/>
      <x:c r="L18" s="1"/>
    </x:row>
    <x:row r="19">
      <x:c r="B19" s="1" t="s">
        <x:v>292</x:v>
      </x:c>
      <x:c r="C19" s="4">
        <x:v>14</x:v>
      </x:c>
      <x:c r="D19" s="4">
        <x:v>18</x:v>
      </x:c>
      <x:c r="E19" s="4">
        <x:v>10</x:v>
      </x:c>
      <x:c r="F19" s="4">
        <x:v>7</x:v>
      </x:c>
      <x:c r="G19" s="4">
        <x:v>4</x:v>
      </x:c>
      <x:c r="H19" s="6" t="n">
        <x:f>Inputs!L34</x:f>
        <x:v>4</x:v>
      </x:c>
      <x:c r="I19" s="1"/>
      <x:c r="J19" s="1"/>
      <x:c r="K19" s="1"/>
      <x:c r="L19" s="1"/>
    </x:row>
    <x:row r="20">
      <x:c r="B20" s="46" t="s">
        <x:v>293</x:v>
      </x:c>
      <x:c r="C20" s="18" t="n">
        <x:f>C18+C19</x:f>
        <x:v>1145</x:v>
      </x:c>
      <x:c r="D20" s="18" t="n">
        <x:f>D18+D19</x:f>
        <x:v>1143</x:v>
      </x:c>
      <x:c r="E20" s="18" t="n">
        <x:f>E18+E19</x:f>
        <x:v>1148</x:v>
      </x:c>
      <x:c r="F20" s="18" t="n">
        <x:f>F18+F19</x:f>
        <x:v>1149</x:v>
      </x:c>
      <x:c r="G20" s="18" t="n">
        <x:f>G18+G19</x:f>
        <x:v>1149</x:v>
      </x:c>
      <x:c r="H20" s="38" t="n">
        <x:f>H18+H19</x:f>
        <x:v>1153</x:v>
      </x:c>
      <x:c r="I20" s="1"/>
      <x:c r="J20" s="1"/>
      <x:c r="K20" s="1"/>
      <x:c r="L20" s="1"/>
    </x:row>
    <x:row r="21">
      <x:c r="B21" s="1" t="s">
        <x:v>294</x:v>
      </x:c>
      <x:c r="C21" s="8" t="n">
        <x:f>C18-C15</x:f>
        <x:v>11</x:v>
      </x:c>
      <x:c r="D21" s="8" t="n">
        <x:f>D18-D15</x:f>
        <x:v>9</x:v>
      </x:c>
      <x:c r="E21" s="8" t="n">
        <x:f>E18-E15</x:f>
        <x:v>13</x:v>
      </x:c>
      <x:c r="F21" s="8" t="n">
        <x:f>F18-F15</x:f>
        <x:v>16</x:v>
      </x:c>
      <x:c r="G21" s="8" t="n">
        <x:f>G18-G15</x:f>
        <x:v>17</x:v>
      </x:c>
      <x:c r="H21" s="19" t="n">
        <x:f>H18-H15</x:f>
        <x:v>17</x:v>
      </x:c>
      <x:c r="I21" s="1"/>
      <x:c r="J21" s="1"/>
      <x:c r="K21" s="1"/>
      <x:c r="L21" s="1"/>
    </x:row>
    <x:row r="22">
      <x:c r="B22" s="1" t="s">
        <x:v>295</x:v>
      </x:c>
      <x:c r="C22" s="8" t="n">
        <x:f>C20-C18</x:f>
        <x:v>14</x:v>
      </x:c>
      <x:c r="D22" s="8" t="n">
        <x:f>D20-D18</x:f>
        <x:v>18</x:v>
      </x:c>
      <x:c r="E22" s="8" t="n">
        <x:f>E20-E18</x:f>
        <x:v>10</x:v>
      </x:c>
      <x:c r="F22" s="8" t="n">
        <x:f>F20-F18</x:f>
        <x:v>7</x:v>
      </x:c>
      <x:c r="G22" s="8" t="n">
        <x:f>G20-G18</x:f>
        <x:v>4</x:v>
      </x:c>
      <x:c r="H22" s="19" t="n">
        <x:f>H20-H18</x:f>
        <x:v>4</x:v>
      </x:c>
      <x:c r="I22" s="1"/>
      <x:c r="J22" s="1"/>
      <x:c r="K22" s="1"/>
      <x:c r="L22" s="1"/>
    </x:row>
    <x:row r="23">
      <x:c r="B23" s="1" t="s">
        <x:v>296</x:v>
      </x:c>
      <x:c r="C23" s="13" t="n">
        <x:f>'Income Statement'!C32/C15</x:f>
        <x:v>2.8580357142857142</x:v>
      </x:c>
      <x:c r="D23" s="13" t="n">
        <x:f>'Income Statement'!D32/D15</x:f>
        <x:v>7.651433691756273</x:v>
      </x:c>
      <x:c r="E23" s="13" t="n">
        <x:f>'Income Statement'!E32/E15</x:f>
        <x:v>4.657777777777778</x:v>
      </x:c>
      <x:c r="F23" s="13" t="n">
        <x:f>'Income Statement'!F32/F15</x:f>
        <x:v>12.242451154529308</x:v>
      </x:c>
      <x:c r="G23" s="13" t="n">
        <x:f>'Income Statement'!G32/G15</x:f>
        <x:v>25.038120567375888</x:v>
      </x:c>
      <x:c r="H23" s="6" t="n">
        <x:f>'Income Statement'!H32/H15</x:f>
        <x:v>31.97324289480616</x:v>
      </x:c>
      <x:c r="I23" s="1"/>
      <x:c r="J23" s="1"/>
      <x:c r="K23" s="1"/>
      <x:c r="L23" s="1"/>
    </x:row>
    <x:row r="24">
      <x:c r="B24" s="1" t="s">
        <x:v>297</x:v>
      </x:c>
      <x:c r="C24" s="13" t="n">
        <x:f>C18-'Income Statement'!C35</x:f>
        <x:v>0</x:v>
      </x:c>
      <x:c r="D24" s="13" t="n">
        <x:f>D18-'Income Statement'!D35</x:f>
        <x:v>0</x:v>
      </x:c>
      <x:c r="E24" s="13" t="n">
        <x:f>E18-'Income Statement'!E35</x:f>
        <x:v>0</x:v>
      </x:c>
      <x:c r="F24" s="13" t="n">
        <x:f>F18-'Income Statement'!F35</x:f>
        <x:v>0</x:v>
      </x:c>
      <x:c r="G24" s="13" t="n">
        <x:f>G18-'Income Statement'!G35</x:f>
        <x:v>0</x:v>
      </x:c>
      <x:c r="H24" s="6" t="n">
        <x:f>H18-'Income Statement'!H35</x:f>
        <x:v>0</x:v>
      </x:c>
      <x:c r="I24" s="1"/>
      <x:c r="J24" s="1"/>
      <x:c r="K24" s="1"/>
      <x:c r="L24" s="1"/>
    </x:row>
    <x:row r="25">
      <x:c r="B25" s="1" t="s">
        <x:v>298</x:v>
      </x:c>
      <x:c r="C25" s="13" t="n">
        <x:f>C20-'Income Statement'!C47</x:f>
        <x:v>0</x:v>
      </x:c>
      <x:c r="D25" s="13" t="n">
        <x:f>D20-'Income Statement'!D47</x:f>
        <x:v>0</x:v>
      </x:c>
      <x:c r="E25" s="13" t="n">
        <x:f>E20-'Income Statement'!E47</x:f>
        <x:v>0</x:v>
      </x:c>
      <x:c r="F25" s="13" t="n">
        <x:f>F20-'Income Statement'!F47</x:f>
        <x:v>0</x:v>
      </x:c>
      <x:c r="G25" s="13" t="n">
        <x:f>G20-'Income Statement'!G47</x:f>
        <x:v>0</x:v>
      </x:c>
      <x:c r="H25" s="6" t="n">
        <x:f>H20-'Income Statement'!H47</x:f>
        <x:v>0</x:v>
      </x:c>
      <x:c r="I25" s="1"/>
      <x:c r="J25" s="1"/>
      <x:c r="K25" s="1"/>
      <x:c r="L25" s="1"/>
    </x:row>
    <x:row r="26">
      <x:c r="B26" s="1"/>
      <x:c r="C26" s="1"/>
      <x:c r="D26" s="1"/>
      <x:c r="E26" s="1"/>
      <x:c r="F26" s="1"/>
      <x:c r="G26" s="1"/>
      <x:c r="H26" s="11"/>
      <x:c r="I26" s="1"/>
      <x:c r="J26" s="1"/>
      <x:c r="K26" s="1"/>
      <x:c r="L26" s="1"/>
    </x:row>
    <x:row r="27">
      <x:c r="B27" s="1"/>
      <x:c r="C27" s="1"/>
      <x:c r="D27" s="1"/>
      <x:c r="E27" s="1"/>
      <x:c r="F27" s="1"/>
      <x:c r="G27" s="1"/>
      <x:c r="H27" s="11"/>
      <x:c r="I27" s="1"/>
      <x:c r="J27" s="1"/>
      <x:c r="K27" s="1"/>
      <x:c r="L27" s="1"/>
    </x:row>
    <x:row r="28">
      <x:c r="B28" s="1"/>
      <x:c r="C28" s="1"/>
      <x:c r="D28" s="1"/>
      <x:c r="E28" s="1"/>
      <x:c r="F28" s="1"/>
      <x:c r="G28" s="1"/>
      <x:c r="H28" s="11"/>
      <x:c r="I28" s="1"/>
      <x:c r="J28" s="1"/>
      <x:c r="K28" s="1"/>
      <x:c r="L28" s="1"/>
    </x:row>
    <x:row r="29">
      <x:c r="B29" s="1"/>
      <x:c r="C29" s="1"/>
      <x:c r="D29" s="1"/>
      <x:c r="E29" s="1"/>
      <x:c r="F29" s="1"/>
      <x:c r="G29" s="1"/>
      <x:c r="H29" s="11"/>
      <x:c r="I29" s="1"/>
      <x:c r="J29" s="1"/>
      <x:c r="K29" s="1"/>
      <x:c r="L29" s="1"/>
    </x:row>
    <x:row r="30">
      <x:c r="B30" s="1"/>
      <x:c r="C30" s="1"/>
      <x:c r="D30" s="1"/>
      <x:c r="E30" s="1"/>
      <x:c r="F30" s="1"/>
      <x:c r="G30" s="1"/>
      <x:c r="H30" s="11"/>
      <x:c r="I30" s="1"/>
      <x:c r="J30" s="1"/>
      <x:c r="K30" s="1"/>
      <x:c r="L30" s="1"/>
    </x:row>
    <x:row r="3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2" customWidth="1"/>
    <x:col min="3" max="9" width="15" customWidth="1"/>
    <x:col min="10" max="10" width="18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299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>
      <x:c r="B9" s="31" t="s">
        <x:v>35</x:v>
      </x:c>
      <x:c r="C9" s="68" t="s">
        <x:v>300</x:v>
      </x:c>
      <x:c r="D9" s="31" t="s">
        <x:v>301</x:v>
      </x:c>
      <x:c r="E9" s="31" t="s">
        <x:v>302</x:v>
      </x:c>
      <x:c r="F9" s="68" t="s">
        <x:v>303</x:v>
      </x:c>
      <x:c r="G9" s="68" t="s">
        <x:v>304</x:v>
      </x:c>
      <x:c r="H9" s="68" t="s">
        <x:v>305</x:v>
      </x:c>
      <x:c r="I9" s="68" t="s">
        <x:v>306</x:v>
      </x:c>
      <x:c r="J9" s="31" t="s">
        <x:v>307</x:v>
      </x:c>
      <x:c r="K9" s="1" t="s">
        <x:v>34</x:v>
      </x:c>
      <x:c r="L9" s="1"/>
    </x:row>
    <x:row r="10">
      <x:c r="B10" s="1" t="s">
        <x:v>159</x:v>
      </x:c>
      <x:c r="C10" s="3">
        <x:v>45923</x:v>
      </x:c>
      <x:c r="D10" s="1" t="s">
        <x:v>6</x:v>
      </x:c>
      <x:c r="E10" s="1" t="s">
        <x:v>308</x:v>
      </x:c>
      <x:c r="F10" s="4">
        <x:v>12200</x:v>
      </x:c>
      <x:c r="G10" s="4">
        <x:v>12800</x:v>
      </x:c>
      <x:c r="H10" s="8" t="n">
        <x:f>AVERAGE(F10:G10)</x:f>
        <x:v>12500</x:v>
      </x:c>
      <x:c r="I10" s="13" t="n">
        <x:f>'Income Statement'!E10</x:f>
        <x:v>13643</x:v>
      </x:c>
      <x:c r="J10" s="1" t="str">
        <x:f>IF(I10="","unavailable",IF(I10&gt;H10,"BEAT",IF(I10&lt;H10,"MISS","INLINE")))</x:f>
        <x:v>BEAT</x:v>
      </x:c>
      <x:c r="K10" s="1"/>
      <x:c r="L10" s="1"/>
    </x:row>
    <x:row r="11">
      <x:c r="B11" s="1" t="s">
        <x:v>309</x:v>
      </x:c>
      <x:c r="C11" s="3">
        <x:v>45923</x:v>
      </x:c>
      <x:c r="D11" s="1" t="s">
        <x:v>6</x:v>
      </x:c>
      <x:c r="E11" s="1" t="s">
        <x:v>308</x:v>
      </x:c>
      <x:c r="F11" s="35">
        <x:v>0.495</x:v>
      </x:c>
      <x:c r="G11" s="35">
        <x:v>0.515</x:v>
      </x:c>
      <x:c r="H11" s="5" t="n">
        <x:f>AVERAGE(F11:G11)</x:f>
        <x:v>0.505</x:v>
      </x:c>
      <x:c r="I11" s="17" t="n">
        <x:f>'Income Statement'!E15</x:f>
        <x:v>0.5604339221578831</x:v>
      </x:c>
      <x:c r="J11" s="44" t="str">
        <x:f>IF(I11="","unavailable",IF(I11&gt;H11,"BEAT",IF(I11&lt;H11,"MISS","INLINE")))</x:f>
        <x:v>BEAT</x:v>
      </x:c>
      <x:c r="K11" s="1"/>
      <x:c r="L11" s="1"/>
    </x:row>
    <x:row r="12">
      <x:c r="B12" s="1" t="s">
        <x:v>309</x:v>
      </x:c>
      <x:c r="C12" s="3">
        <x:v>45923</x:v>
      </x:c>
      <x:c r="D12" s="1" t="s">
        <x:v>6</x:v>
      </x:c>
      <x:c r="E12" s="1" t="s">
        <x:v>310</x:v>
      </x:c>
      <x:c r="F12" s="35">
        <x:v>0.505</x:v>
      </x:c>
      <x:c r="G12" s="35">
        <x:v>0.525</x:v>
      </x:c>
      <x:c r="H12" s="5" t="n">
        <x:f>AVERAGE(F12:G12)</x:f>
        <x:v>0.515</x:v>
      </x:c>
      <x:c r="I12" s="35">
        <x:v>0.568</x:v>
      </x:c>
      <x:c r="J12" s="1" t="str">
        <x:f>IF(I12="","unavailable",IF(I12&gt;H12,"BEAT",IF(I12&lt;H12,"MISS","INLINE")))</x:f>
        <x:v>BEAT</x:v>
      </x:c>
      <x:c r="K12" s="1"/>
      <x:c r="L12" s="1"/>
    </x:row>
    <x:row r="13">
      <x:c r="B13" s="1" t="s">
        <x:v>311</x:v>
      </x:c>
      <x:c r="C13" s="3">
        <x:v>45923</x:v>
      </x:c>
      <x:c r="D13" s="1" t="s">
        <x:v>6</x:v>
      </x:c>
      <x:c r="E13" s="1" t="s">
        <x:v>308</x:v>
      </x:c>
      <x:c r="F13" s="4">
        <x:v>1470</x:v>
      </x:c>
      <x:c r="G13" s="4">
        <x:v>1510</x:v>
      </x:c>
      <x:c r="H13" s="8" t="n">
        <x:f>AVERAGE(F13:G13)</x:f>
        <x:v>1490</x:v>
      </x:c>
      <x:c r="I13" s="13" t="n">
        <x:f>'Income Statement'!E21</x:f>
        <x:v>1510</x:v>
      </x:c>
      <x:c r="J13" s="1" t="str">
        <x:f>IF(I13="","unavailable",IF(I13&lt;H13,"BEAT",IF(I13&gt;H13,"MISS","INLINE")))</x:f>
        <x:v>MISS</x:v>
      </x:c>
      <x:c r="K13" s="1"/>
      <x:c r="L13" s="1"/>
    </x:row>
    <x:row r="14">
      <x:c r="B14" s="1" t="s">
        <x:v>311</x:v>
      </x:c>
      <x:c r="C14" s="3">
        <x:v>45923</x:v>
      </x:c>
      <x:c r="D14" s="1" t="s">
        <x:v>6</x:v>
      </x:c>
      <x:c r="E14" s="1" t="s">
        <x:v>310</x:v>
      </x:c>
      <x:c r="F14" s="4">
        <x:v>1320</x:v>
      </x:c>
      <x:c r="G14" s="4">
        <x:v>1360</x:v>
      </x:c>
      <x:c r="H14" s="8" t="n">
        <x:f>AVERAGE(F14:G14)</x:f>
        <x:v>1340</x:v>
      </x:c>
      <x:c r="I14" s="4">
        <x:v>1334</x:v>
      </x:c>
      <x:c r="J14" s="1" t="str">
        <x:f>IF(I14="","unavailable",IF(I14&lt;H14,"BEAT",IF(I14&gt;H14,"MISS","INLINE")))</x:f>
        <x:v>BEAT</x:v>
      </x:c>
      <x:c r="K14" s="1"/>
      <x:c r="L14" s="1"/>
    </x:row>
    <x:row r="15">
      <x:c r="B15" s="1" t="s">
        <x:v>47</x:v>
      </x:c>
      <x:c r="C15" s="3">
        <x:v>45923</x:v>
      </x:c>
      <x:c r="D15" s="1" t="s">
        <x:v>6</x:v>
      </x:c>
      <x:c r="E15" s="1" t="s">
        <x:v>308</x:v>
      </x:c>
      <x:c r="F15" s="32">
        <x:v>3.41</x:v>
      </x:c>
      <x:c r="G15" s="32">
        <x:v>3.71</x:v>
      </x:c>
      <x:c r="H15" s="30" t="n">
        <x:f>AVERAGE(F15:G15)</x:f>
        <x:v>3.56</x:v>
      </x:c>
      <x:c r="I15" s="26" t="n">
        <x:f>'Income Statement'!E33</x:f>
        <x:v>4.6045694200351495</x:v>
      </x:c>
      <x:c r="J15" s="30" t="str">
        <x:f>IF(I15="","unavailable",IF(I15&gt;H15,"BEAT",IF(I15&lt;H15,"MISS","INLINE")))</x:f>
        <x:v>BEAT</x:v>
      </x:c>
      <x:c r="K15" s="1"/>
      <x:c r="L15" s="1"/>
    </x:row>
    <x:row r="16">
      <x:c r="B16" s="1" t="s">
        <x:v>45</x:v>
      </x:c>
      <x:c r="C16" s="3">
        <x:v>45923</x:v>
      </x:c>
      <x:c r="D16" s="1" t="s">
        <x:v>6</x:v>
      </x:c>
      <x:c r="E16" s="1" t="s">
        <x:v>310</x:v>
      </x:c>
      <x:c r="F16" s="32">
        <x:v>3.6</x:v>
      </x:c>
      <x:c r="G16" s="32">
        <x:v>3.9</x:v>
      </x:c>
      <x:c r="H16" s="30" t="n">
        <x:f>AVERAGE(F16:G16)</x:f>
        <x:v>3.75</x:v>
      </x:c>
      <x:c r="I16" s="26" t="n">
        <x:f>'Income Statement'!E48</x:f>
        <x:v>4.775261324041812</x:v>
      </x:c>
      <x:c r="J16" s="30" t="str">
        <x:f>IF(I16="","unavailable",IF(I16&gt;H16,"BEAT",IF(I16&lt;H16,"MISS","INLINE")))</x:f>
        <x:v>BEAT</x:v>
      </x:c>
      <x:c r="K16" s="1"/>
      <x:c r="L16" s="1"/>
    </x:row>
    <x:row r="17">
      <x:c r="B17" s="1" t="s">
        <x:v>159</x:v>
      </x:c>
      <x:c r="C17" s="3">
        <x:v>46008</x:v>
      </x:c>
      <x:c r="D17" s="1" t="s">
        <x:v>7</x:v>
      </x:c>
      <x:c r="E17" s="1" t="s">
        <x:v>308</x:v>
      </x:c>
      <x:c r="F17" s="4">
        <x:v>18300</x:v>
      </x:c>
      <x:c r="G17" s="4">
        <x:v>19100</x:v>
      </x:c>
      <x:c r="H17" s="8" t="n">
        <x:f>AVERAGE(F17:G17)</x:f>
        <x:v>18700</x:v>
      </x:c>
      <x:c r="I17" s="13" t="n">
        <x:f>'Income Statement'!F10</x:f>
        <x:v>23860</x:v>
      </x:c>
      <x:c r="J17" s="1" t="str">
        <x:f>IF(I17="","unavailable",IF(I17&gt;H17,"BEAT",IF(I17&lt;H17,"MISS","INLINE")))</x:f>
        <x:v>BEAT</x:v>
      </x:c>
      <x:c r="K17" s="1"/>
      <x:c r="L17" s="1"/>
    </x:row>
    <x:row r="18">
      <x:c r="B18" s="1" t="s">
        <x:v>309</x:v>
      </x:c>
      <x:c r="C18" s="3">
        <x:v>46008</x:v>
      </x:c>
      <x:c r="D18" s="1" t="s">
        <x:v>7</x:v>
      </x:c>
      <x:c r="E18" s="1" t="s">
        <x:v>308</x:v>
      </x:c>
      <x:c r="F18" s="35">
        <x:v>0.66</x:v>
      </x:c>
      <x:c r="G18" s="35">
        <x:v>0.68</x:v>
      </x:c>
      <x:c r="H18" s="5" t="n">
        <x:f>AVERAGE(F18:G18)</x:f>
        <x:v>0.67</x:v>
      </x:c>
      <x:c r="I18" s="17" t="n">
        <x:f>'Income Statement'!F15</x:f>
        <x:v>0.7441324392288349</x:v>
      </x:c>
      <x:c r="J18" s="44" t="str">
        <x:f>IF(I18="","unavailable",IF(I18&gt;H18,"BEAT",IF(I18&lt;H18,"MISS","INLINE")))</x:f>
        <x:v>BEAT</x:v>
      </x:c>
      <x:c r="K18" s="1"/>
      <x:c r="L18" s="1"/>
    </x:row>
    <x:row r="19">
      <x:c r="B19" s="1" t="s">
        <x:v>309</x:v>
      </x:c>
      <x:c r="C19" s="3">
        <x:v>46008</x:v>
      </x:c>
      <x:c r="D19" s="1" t="s">
        <x:v>7</x:v>
      </x:c>
      <x:c r="E19" s="1" t="s">
        <x:v>310</x:v>
      </x:c>
      <x:c r="F19" s="35">
        <x:v>0.67</x:v>
      </x:c>
      <x:c r="G19" s="35">
        <x:v>0.69</x:v>
      </x:c>
      <x:c r="H19" s="5" t="n">
        <x:f>AVERAGE(F19:G19)</x:f>
        <x:v>0.6799999999999999</x:v>
      </x:c>
      <x:c r="I19" s="35">
        <x:v>0.749</x:v>
      </x:c>
      <x:c r="J19" s="1" t="str">
        <x:f>IF(I19="","unavailable",IF(I19&gt;H19,"BEAT",IF(I19&lt;H19,"MISS","INLINE")))</x:f>
        <x:v>BEAT</x:v>
      </x:c>
      <x:c r="K19" s="1"/>
      <x:c r="L19" s="1"/>
    </x:row>
    <x:row r="20">
      <x:c r="B20" s="1" t="s">
        <x:v>311</x:v>
      </x:c>
      <x:c r="C20" s="3">
        <x:v>46008</x:v>
      </x:c>
      <x:c r="D20" s="1" t="s">
        <x:v>7</x:v>
      </x:c>
      <x:c r="E20" s="1" t="s">
        <x:v>308</x:v>
      </x:c>
      <x:c r="F20" s="4">
        <x:v>1540</x:v>
      </x:c>
      <x:c r="G20" s="4">
        <x:v>1580</x:v>
      </x:c>
      <x:c r="H20" s="8" t="n">
        <x:f>AVERAGE(F20:G20)</x:f>
        <x:v>1560</x:v>
      </x:c>
      <x:c r="I20" s="13" t="n">
        <x:f>'Income Statement'!F21</x:f>
        <x:v>1620</x:v>
      </x:c>
      <x:c r="J20" s="1" t="str">
        <x:f>IF(I20="","unavailable",IF(I20&lt;H20,"BEAT",IF(I20&gt;H20,"MISS","INLINE")))</x:f>
        <x:v>MISS</x:v>
      </x:c>
      <x:c r="K20" s="1"/>
      <x:c r="L20" s="1"/>
    </x:row>
    <x:row r="21">
      <x:c r="B21" s="1" t="s">
        <x:v>311</x:v>
      </x:c>
      <x:c r="C21" s="3">
        <x:v>46008</x:v>
      </x:c>
      <x:c r="D21" s="1" t="s">
        <x:v>7</x:v>
      </x:c>
      <x:c r="E21" s="1" t="s">
        <x:v>310</x:v>
      </x:c>
      <x:c r="F21" s="4">
        <x:v>1360</x:v>
      </x:c>
      <x:c r="G21" s="4">
        <x:v>1400</x:v>
      </x:c>
      <x:c r="H21" s="8" t="n">
        <x:f>AVERAGE(F21:G21)</x:f>
        <x:v>1380</x:v>
      </x:c>
      <x:c r="I21" s="4">
        <x:v>1421</x:v>
      </x:c>
      <x:c r="J21" s="1" t="str">
        <x:f>IF(I21="","unavailable",IF(I21&lt;H21,"BEAT",IF(I21&gt;H21,"MISS","INLINE")))</x:f>
        <x:v>MISS</x:v>
      </x:c>
      <x:c r="K21" s="1"/>
      <x:c r="L21" s="1"/>
    </x:row>
    <x:row r="22">
      <x:c r="B22" s="1" t="s">
        <x:v>47</x:v>
      </x:c>
      <x:c r="C22" s="3">
        <x:v>46008</x:v>
      </x:c>
      <x:c r="D22" s="1" t="s">
        <x:v>7</x:v>
      </x:c>
      <x:c r="E22" s="1" t="s">
        <x:v>308</x:v>
      </x:c>
      <x:c r="F22" s="32">
        <x:v>7.99</x:v>
      </x:c>
      <x:c r="G22" s="32">
        <x:v>8.39</x:v>
      </x:c>
      <x:c r="H22" s="30" t="n">
        <x:f>AVERAGE(F22:G22)</x:f>
        <x:v>8.190000000000001</x:v>
      </x:c>
      <x:c r="I22" s="26" t="n">
        <x:f>'Income Statement'!F33</x:f>
        <x:v>12.07092819614711</x:v>
      </x:c>
      <x:c r="J22" s="30" t="str">
        <x:f>IF(I22="","unavailable",IF(I22&gt;H22,"BEAT",IF(I22&lt;H22,"MISS","INLINE")))</x:f>
        <x:v>BEAT</x:v>
      </x:c>
      <x:c r="K22" s="1"/>
      <x:c r="L22" s="1"/>
    </x:row>
    <x:row r="23">
      <x:c r="B23" s="1" t="s">
        <x:v>45</x:v>
      </x:c>
      <x:c r="C23" s="3">
        <x:v>46008</x:v>
      </x:c>
      <x:c r="D23" s="1" t="s">
        <x:v>7</x:v>
      </x:c>
      <x:c r="E23" s="1" t="s">
        <x:v>310</x:v>
      </x:c>
      <x:c r="F23" s="32">
        <x:v>8.22</x:v>
      </x:c>
      <x:c r="G23" s="32">
        <x:v>8.62</x:v>
      </x:c>
      <x:c r="H23" s="30" t="n">
        <x:f>AVERAGE(F23:G23)</x:f>
        <x:v>8.42</x:v>
      </x:c>
      <x:c r="I23" s="26" t="n">
        <x:f>'Income Statement'!F48</x:f>
        <x:v>12.202785030461271</x:v>
      </x:c>
      <x:c r="J23" s="30" t="str">
        <x:f>IF(I23="","unavailable",IF(I23&gt;H23,"BEAT",IF(I23&lt;H23,"MISS","INLINE")))</x:f>
        <x:v>BEAT</x:v>
      </x:c>
      <x:c r="K23" s="1"/>
      <x:c r="L23" s="1"/>
    </x:row>
    <x:row r="24">
      <x:c r="B24" s="1" t="s">
        <x:v>159</x:v>
      </x:c>
      <x:c r="C24" s="3">
        <x:v>46099</x:v>
      </x:c>
      <x:c r="D24" s="1" t="s">
        <x:v>8</x:v>
      </x:c>
      <x:c r="E24" s="1" t="s">
        <x:v>308</x:v>
      </x:c>
      <x:c r="F24" s="4">
        <x:v>32750</x:v>
      </x:c>
      <x:c r="G24" s="4">
        <x:v>34250</x:v>
      </x:c>
      <x:c r="H24" s="8" t="n">
        <x:f>AVERAGE(F24:G24)</x:f>
        <x:v>33500</x:v>
      </x:c>
      <x:c r="I24" s="13" t="n">
        <x:f>'Income Statement'!G10</x:f>
        <x:v>41456</x:v>
      </x:c>
      <x:c r="J24" s="1" t="str">
        <x:f>IF(I24="","unavailable",IF(I24&gt;H24,"BEAT",IF(I24&lt;H24,"MISS","INLINE")))</x:f>
        <x:v>BEAT</x:v>
      </x:c>
      <x:c r="K24" s="1"/>
      <x:c r="L24" s="1"/>
    </x:row>
    <x:row r="25">
      <x:c r="B25" s="1" t="s">
        <x:v>309</x:v>
      </x:c>
      <x:c r="C25" s="3">
        <x:v>46099</x:v>
      </x:c>
      <x:c r="D25" s="1" t="s">
        <x:v>8</x:v>
      </x:c>
      <x:c r="E25" s="1" t="s">
        <x:v>308</x:v>
      </x:c>
      <x:c r="F25" s="35">
        <x:v>0.81</x:v>
      </x:c>
      <x:c r="G25" s="35">
        <x:v>0.81</x:v>
      </x:c>
      <x:c r="H25" s="5" t="n">
        <x:f>AVERAGE(F25:G25)</x:f>
        <x:v>0.81</x:v>
      </x:c>
      <x:c r="I25" s="17" t="n">
        <x:f>'Income Statement'!G15</x:f>
        <x:v>0.8456194519490544</x:v>
      </x:c>
      <x:c r="J25" s="44" t="str">
        <x:f>IF(I25="","unavailable",IF(I25&gt;H25,"BEAT",IF(I25&lt;H25,"MISS","INLINE")))</x:f>
        <x:v>BEAT</x:v>
      </x:c>
      <x:c r="K25" s="1"/>
      <x:c r="L25" s="1"/>
    </x:row>
    <x:row r="26">
      <x:c r="B26" s="1" t="s">
        <x:v>309</x:v>
      </x:c>
      <x:c r="C26" s="3">
        <x:v>46099</x:v>
      </x:c>
      <x:c r="D26" s="1" t="s">
        <x:v>8</x:v>
      </x:c>
      <x:c r="E26" s="1" t="s">
        <x:v>310</x:v>
      </x:c>
      <x:c r="F26" s="35">
        <x:v>0.81</x:v>
      </x:c>
      <x:c r="G26" s="35">
        <x:v>0.81</x:v>
      </x:c>
      <x:c r="H26" s="5" t="n">
        <x:f>AVERAGE(F26:G26)</x:f>
        <x:v>0.81</x:v>
      </x:c>
      <x:c r="I26" s="35">
        <x:v>0.849</x:v>
      </x:c>
      <x:c r="J26" s="1" t="str">
        <x:f>IF(I26="","unavailable",IF(I26&gt;H26,"BEAT",IF(I26&lt;H26,"MISS","INLINE")))</x:f>
        <x:v>BEAT</x:v>
      </x:c>
      <x:c r="K26" s="1"/>
      <x:c r="L26" s="1"/>
    </x:row>
    <x:row r="27">
      <x:c r="B27" s="1" t="s">
        <x:v>311</x:v>
      </x:c>
      <x:c r="C27" s="3">
        <x:v>46099</x:v>
      </x:c>
      <x:c r="D27" s="1" t="s">
        <x:v>8</x:v>
      </x:c>
      <x:c r="E27" s="1" t="s">
        <x:v>308</x:v>
      </x:c>
      <x:c r="F27" s="4">
        <x:v>1600</x:v>
      </x:c>
      <x:c r="G27" s="4">
        <x:v>1600</x:v>
      </x:c>
      <x:c r="H27" s="8" t="n">
        <x:f>AVERAGE(F27:G27)</x:f>
        <x:v>1600</x:v>
      </x:c>
      <x:c r="I27" s="13" t="n">
        <x:f>'Income Statement'!G21</x:f>
        <x:v>1738</x:v>
      </x:c>
      <x:c r="J27" s="1" t="str">
        <x:f>IF(I27="","unavailable",IF(I27&lt;H27,"BEAT",IF(I27&gt;H27,"MISS","INLINE")))</x:f>
        <x:v>MISS</x:v>
      </x:c>
      <x:c r="K27" s="1"/>
      <x:c r="L27" s="1"/>
    </x:row>
    <x:row r="28">
      <x:c r="B28" s="1" t="s">
        <x:v>311</x:v>
      </x:c>
      <x:c r="C28" s="3">
        <x:v>46099</x:v>
      </x:c>
      <x:c r="D28" s="1" t="s">
        <x:v>8</x:v>
      </x:c>
      <x:c r="E28" s="1" t="s">
        <x:v>310</x:v>
      </x:c>
      <x:c r="F28" s="4">
        <x:v>1400</x:v>
      </x:c>
      <x:c r="G28" s="4">
        <x:v>1400</x:v>
      </x:c>
      <x:c r="H28" s="8" t="n">
        <x:f>AVERAGE(F28:G28)</x:f>
        <x:v>1400</x:v>
      </x:c>
      <x:c r="I28" s="4">
        <x:v>1518</x:v>
      </x:c>
      <x:c r="J28" s="1" t="str">
        <x:f>IF(I28="","unavailable",IF(I28&lt;H28,"BEAT",IF(I28&gt;H28,"MISS","INLINE")))</x:f>
        <x:v>MISS</x:v>
      </x:c>
      <x:c r="K28" s="1"/>
      <x:c r="L28" s="1"/>
    </x:row>
    <x:row r="29">
      <x:c r="B29" s="1" t="s">
        <x:v>47</x:v>
      </x:c>
      <x:c r="C29" s="3">
        <x:v>46099</x:v>
      </x:c>
      <x:c r="D29" s="1" t="s">
        <x:v>8</x:v>
      </x:c>
      <x:c r="E29" s="1" t="s">
        <x:v>308</x:v>
      </x:c>
      <x:c r="F29" s="32">
        <x:v>18.5</x:v>
      </x:c>
      <x:c r="G29" s="32">
        <x:v>19.3</x:v>
      </x:c>
      <x:c r="H29" s="30" t="n">
        <x:f>AVERAGE(F29:G29)</x:f>
        <x:v>18.9</x:v>
      </x:c>
      <x:c r="I29" s="26" t="n">
        <x:f>'Income Statement'!G33</x:f>
        <x:v>24.66637554585153</x:v>
      </x:c>
      <x:c r="J29" s="30" t="str">
        <x:f>IF(I29="","unavailable",IF(I29&gt;H29,"BEAT",IF(I29&lt;H29,"MISS","INLINE")))</x:f>
        <x:v>BEAT</x:v>
      </x:c>
      <x:c r="K29" s="1"/>
      <x:c r="L29" s="1"/>
    </x:row>
    <x:row r="30">
      <x:c r="B30" s="1" t="s">
        <x:v>45</x:v>
      </x:c>
      <x:c r="C30" s="3">
        <x:v>46099</x:v>
      </x:c>
      <x:c r="D30" s="1" t="s">
        <x:v>8</x:v>
      </x:c>
      <x:c r="E30" s="1" t="s">
        <x:v>310</x:v>
      </x:c>
      <x:c r="F30" s="32">
        <x:v>18.75</x:v>
      </x:c>
      <x:c r="G30" s="32">
        <x:v>19.55</x:v>
      </x:c>
      <x:c r="H30" s="30" t="n">
        <x:f>AVERAGE(F30:G30)</x:f>
        <x:v>19.15</x:v>
      </x:c>
      <x:c r="I30" s="26" t="n">
        <x:f>'Income Statement'!G48</x:f>
        <x:v>25.114882506527415</x:v>
      </x:c>
      <x:c r="J30" s="30" t="str">
        <x:f>IF(I30="","unavailable",IF(I30&gt;H30,"BEAT",IF(I30&lt;H30,"MISS","INLINE")))</x:f>
        <x:v>BEAT</x:v>
      </x:c>
      <x:c r="K30" s="1"/>
      <x:c r="L30" s="1"/>
    </x:row>
    <x:row r="31">
      <x:c r="B31" s="1" t="s">
        <x:v>159</x:v>
      </x:c>
      <x:c r="C31" s="3">
        <x:v>46197</x:v>
      </x:c>
      <x:c r="D31" s="1" t="s">
        <x:v>9</x:v>
      </x:c>
      <x:c r="E31" s="1" t="s">
        <x:v>308</x:v>
      </x:c>
      <x:c r="F31" s="4">
        <x:v>49000</x:v>
      </x:c>
      <x:c r="G31" s="4">
        <x:v>51000</x:v>
      </x:c>
      <x:c r="H31" s="8" t="n">
        <x:f>AVERAGE(F31:G31)</x:f>
        <x:v>50000</x:v>
      </x:c>
      <x:c r="I31" s="8"/>
      <x:c r="J31" s="1" t="str">
        <x:f>IF(I31="","unavailable",IF(I31&gt;H31,"BEAT",IF(I31&lt;H31,"MISS","INLINE")))</x:f>
        <x:v>unavailable</x:v>
      </x:c>
      <x:c r="K31" s="1"/>
      <x:c r="L31" s="1"/>
    </x:row>
    <x:row r="32">
      <x:c r="B32" s="1" t="s">
        <x:v>309</x:v>
      </x:c>
      <x:c r="C32" s="3">
        <x:v>46197</x:v>
      </x:c>
      <x:c r="D32" s="1" t="s">
        <x:v>9</x:v>
      </x:c>
      <x:c r="E32" s="1" t="s">
        <x:v>308</x:v>
      </x:c>
      <x:c r="F32" s="35">
        <x:v>0.86</x:v>
      </x:c>
      <x:c r="G32" s="35">
        <x:v>0.86</x:v>
      </x:c>
      <x:c r="H32" s="5" t="n">
        <x:f>AVERAGE(F32:G32)</x:f>
        <x:v>0.86</x:v>
      </x:c>
      <x:c r="I32" s="5"/>
      <x:c r="J32" s="1" t="str">
        <x:f>IF(I32="","unavailable",IF(I32&gt;H32,"BEAT",IF(I32&lt;H32,"MISS","INLINE")))</x:f>
        <x:v>unavailable</x:v>
      </x:c>
      <x:c r="K32" s="1"/>
      <x:c r="L32" s="1"/>
    </x:row>
    <x:row r="33">
      <x:c r="B33" s="1" t="s">
        <x:v>309</x:v>
      </x:c>
      <x:c r="C33" s="3">
        <x:v>46197</x:v>
      </x:c>
      <x:c r="D33" s="1" t="s">
        <x:v>9</x:v>
      </x:c>
      <x:c r="E33" s="1" t="s">
        <x:v>310</x:v>
      </x:c>
      <x:c r="F33" s="35">
        <x:v>0.86</x:v>
      </x:c>
      <x:c r="G33" s="35">
        <x:v>0.86</x:v>
      </x:c>
      <x:c r="H33" s="5" t="n">
        <x:f>AVERAGE(F33:G33)</x:f>
        <x:v>0.86</x:v>
      </x:c>
      <x:c r="I33" s="5"/>
      <x:c r="J33" s="1" t="str">
        <x:f>IF(I33="","unavailable",IF(I33&gt;H33,"BEAT",IF(I33&lt;H33,"MISS","INLINE")))</x:f>
        <x:v>unavailable</x:v>
      </x:c>
      <x:c r="K33" s="1"/>
      <x:c r="L33" s="1"/>
    </x:row>
    <x:row r="34">
      <x:c r="B34" s="1" t="s">
        <x:v>311</x:v>
      </x:c>
      <x:c r="C34" s="3">
        <x:v>46197</x:v>
      </x:c>
      <x:c r="D34" s="1" t="s">
        <x:v>9</x:v>
      </x:c>
      <x:c r="E34" s="1" t="s">
        <x:v>308</x:v>
      </x:c>
      <x:c r="F34" s="4">
        <x:v>1860</x:v>
      </x:c>
      <x:c r="G34" s="4">
        <x:v>1860</x:v>
      </x:c>
      <x:c r="H34" s="8" t="n">
        <x:f>AVERAGE(F34:G34)</x:f>
        <x:v>1860</x:v>
      </x:c>
      <x:c r="I34" s="8"/>
      <x:c r="J34" s="1" t="str">
        <x:f>IF(I34="","unavailable",IF(I34&lt;H34,"BEAT",IF(I34&gt;H34,"MISS","INLINE")))</x:f>
        <x:v>unavailable</x:v>
      </x:c>
      <x:c r="K34" s="1"/>
      <x:c r="L34" s="1"/>
    </x:row>
    <x:row r="35">
      <x:c r="B35" s="1" t="s">
        <x:v>311</x:v>
      </x:c>
      <x:c r="C35" s="3">
        <x:v>46197</x:v>
      </x:c>
      <x:c r="D35" s="1" t="s">
        <x:v>9</x:v>
      </x:c>
      <x:c r="E35" s="1" t="s">
        <x:v>310</x:v>
      </x:c>
      <x:c r="F35" s="4">
        <x:v>1650</x:v>
      </x:c>
      <x:c r="G35" s="4">
        <x:v>1650</x:v>
      </x:c>
      <x:c r="H35" s="8" t="n">
        <x:f>AVERAGE(F35:G35)</x:f>
        <x:v>1650</x:v>
      </x:c>
      <x:c r="I35" s="8"/>
      <x:c r="J35" s="1" t="str">
        <x:f>IF(I35="","unavailable",IF(I35&lt;H35,"BEAT",IF(I35&gt;H35,"MISS","INLINE")))</x:f>
        <x:v>unavailable</x:v>
      </x:c>
      <x:c r="K35" s="1"/>
      <x:c r="L35" s="1"/>
    </x:row>
    <x:row r="36">
      <x:c r="B36" s="1" t="s">
        <x:v>47</x:v>
      </x:c>
      <x:c r="C36" s="3">
        <x:v>46197</x:v>
      </x:c>
      <x:c r="D36" s="1" t="s">
        <x:v>9</x:v>
      </x:c>
      <x:c r="E36" s="1" t="s">
        <x:v>308</x:v>
      </x:c>
      <x:c r="F36" s="32">
        <x:v>29.73</x:v>
      </x:c>
      <x:c r="G36" s="32">
        <x:v>31.73</x:v>
      </x:c>
      <x:c r="H36" s="30" t="n">
        <x:f>AVERAGE(F36:G36)</x:f>
        <x:v>30.73</x:v>
      </x:c>
      <x:c r="I36" s="30"/>
      <x:c r="J36" s="1" t="str">
        <x:f>IF(I36="","unavailable",IF(I36&gt;H36,"BEAT",IF(I36&lt;H36,"MISS","INLINE")))</x:f>
        <x:v>unavailable</x:v>
      </x:c>
      <x:c r="K36" s="1"/>
      <x:c r="L36" s="1"/>
    </x:row>
    <x:row r="37">
      <x:c r="B37" s="1" t="s">
        <x:v>45</x:v>
      </x:c>
      <x:c r="C37" s="3">
        <x:v>46197</x:v>
      </x:c>
      <x:c r="D37" s="1" t="s">
        <x:v>9</x:v>
      </x:c>
      <x:c r="E37" s="1" t="s">
        <x:v>310</x:v>
      </x:c>
      <x:c r="F37" s="32">
        <x:v>30</x:v>
      </x:c>
      <x:c r="G37" s="32">
        <x:v>32</x:v>
      </x:c>
      <x:c r="H37" s="30" t="n">
        <x:f>AVERAGE(F37:G37)</x:f>
        <x:v>31</x:v>
      </x:c>
      <x:c r="I37" s="30"/>
      <x:c r="J37" s="1" t="str">
        <x:f>IF(I37="","unavailable",IF(I37&gt;H37,"BEAT",IF(I37&lt;H37,"MISS","INLINE")))</x:f>
        <x:v>unavailable</x:v>
      </x:c>
      <x:c r="K37" s="1" t="s">
        <x:v>312</x:v>
      </x:c>
      <x:c r="L37" s="1"/>
    </x:row>
    <x:row r="38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B40" s="1"/>
      <x:c r="C40" s="1"/>
      <x:c r="D40" s="1"/>
      <x:c r="E40" s="1"/>
      <x:c r="F40" s="1"/>
      <x:c r="G40" s="1"/>
      <x:c r="H40" s="1"/>
      <x:c r="I40" s="1"/>
      <x:c r="J40" s="1"/>
      <x:c r="K40" s="1" t="s">
        <x:v>313</x:v>
      </x:c>
      <x:c r="L40" s="1"/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3" width="19" customWidth="1"/>
    <x:col min="4" max="4" width="23" customWidth="1"/>
    <x:col min="5" max="5" width="67" customWidth="1"/>
    <x:col min="6" max="6" width="53" customWidth="1"/>
    <x:col min="7" max="8" width="14" customWidth="1"/>
    <x:col min="9" max="9" width="3" customWidth="1"/>
    <x:col min="10" max="10" width="37" customWidth="1"/>
    <x:col min="11" max="11" width="33" customWidth="1"/>
    <x:col min="12" max="12" width="2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B3" s="1" t="s">
        <x:v>314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>
      <x:c r="B9" s="10" t="s">
        <x:v>315</x:v>
      </x:c>
      <x:c r="C9" s="63" t="s">
        <x:v>300</x:v>
      </x:c>
      <x:c r="D9" s="10" t="s">
        <x:v>316</x:v>
      </x:c>
      <x:c r="E9" s="10" t="s">
        <x:v>317</x:v>
      </x:c>
      <x:c r="F9" s="10" t="s">
        <x:v>318</x:v>
      </x:c>
      <x:c r="G9" s="1"/>
      <x:c r="H9" s="1"/>
      <x:c r="I9" s="1"/>
      <x:c r="J9" s="1"/>
      <x:c r="K9" s="1"/>
      <x:c r="L9" s="1"/>
    </x:row>
    <x:row r="10">
      <x:c r="B10" s="1" t="s">
        <x:v>319</x:v>
      </x:c>
      <x:c r="C10" s="3">
        <x:v>46289</x:v>
      </x:c>
      <x:c r="D10" s="1" t="s">
        <x:v>320</x:v>
      </x:c>
      <x:c r="E10" s="1" t="s">
        <x:v>321</x:v>
      </x:c>
      <x:c r="F10" s="1" t="s">
        <x:v>322</x:v>
      </x:c>
      <x:c r="G10" s="1"/>
      <x:c r="H10" s="1"/>
      <x:c r="I10" s="1"/>
      <x:c r="J10" s="1"/>
      <x:c r="K10" s="1"/>
      <x:c r="L10" s="1"/>
    </x:row>
    <x:row r="11">
      <x:c r="B11" s="1" t="s">
        <x:v>323</x:v>
      </x:c>
      <x:c r="C11" s="3">
        <x:v>46289</x:v>
      </x:c>
      <x:c r="D11" s="1" t="s">
        <x:v>320</x:v>
      </x:c>
      <x:c r="E11" s="1" t="s">
        <x:v>324</x:v>
      </x:c>
      <x:c r="F11" s="1" t="s">
        <x:v>325</x:v>
      </x:c>
      <x:c r="G11" s="1"/>
      <x:c r="H11" s="1"/>
      <x:c r="I11" s="1"/>
      <x:c r="J11" s="1"/>
      <x:c r="K11" s="1"/>
      <x:c r="L11" s="1"/>
    </x:row>
    <x:row r="12">
      <x:c r="B12" s="1" t="s">
        <x:v>326</x:v>
      </x:c>
      <x:c r="C12" s="3">
        <x:v>45923</x:v>
      </x:c>
      <x:c r="D12" s="1" t="s">
        <x:v>327</x:v>
      </x:c>
      <x:c r="E12" s="1" t="s">
        <x:v>328</x:v>
      </x:c>
      <x:c r="F12" s="1" t="s">
        <x:v>329</x:v>
      </x:c>
      <x:c r="G12" s="1"/>
      <x:c r="H12" s="1"/>
      <x:c r="I12" s="1"/>
      <x:c r="J12" s="1"/>
      <x:c r="K12" s="1"/>
      <x:c r="L12" s="1"/>
    </x:row>
    <x:row r="13">
      <x:c r="B13" s="1" t="s">
        <x:v>330</x:v>
      </x:c>
      <x:c r="C13" s="3">
        <x:v>45933</x:v>
      </x:c>
      <x:c r="D13" s="1" t="s">
        <x:v>327</x:v>
      </x:c>
      <x:c r="E13" s="1" t="s">
        <x:v>331</x:v>
      </x:c>
      <x:c r="F13" s="1" t="s">
        <x:v>332</x:v>
      </x:c>
      <x:c r="G13" s="1"/>
      <x:c r="H13" s="1"/>
      <x:c r="I13" s="1"/>
      <x:c r="J13" s="1"/>
      <x:c r="K13" s="1"/>
      <x:c r="L13" s="1"/>
    </x:row>
    <x:row r="14">
      <x:c r="B14" s="1" t="s">
        <x:v>333</x:v>
      </x:c>
      <x:c r="C14" s="3">
        <x:v>46008</x:v>
      </x:c>
      <x:c r="D14" s="1" t="s">
        <x:v>327</x:v>
      </x:c>
      <x:c r="E14" s="1" t="s">
        <x:v>334</x:v>
      </x:c>
      <x:c r="F14" s="1" t="s">
        <x:v>335</x:v>
      </x:c>
      <x:c r="G14" s="1"/>
      <x:c r="H14" s="1"/>
      <x:c r="I14" s="1"/>
      <x:c r="J14" s="1"/>
      <x:c r="K14" s="1"/>
      <x:c r="L14" s="1"/>
    </x:row>
    <x:row r="15">
      <x:c r="B15" s="1" t="s">
        <x:v>336</x:v>
      </x:c>
      <x:c r="C15" s="3">
        <x:v>46009</x:v>
      </x:c>
      <x:c r="D15" s="1" t="s">
        <x:v>327</x:v>
      </x:c>
      <x:c r="E15" s="1" t="s">
        <x:v>337</x:v>
      </x:c>
      <x:c r="F15" s="1" t="s">
        <x:v>338</x:v>
      </x:c>
      <x:c r="G15" s="1"/>
      <x:c r="H15" s="1"/>
      <x:c r="I15" s="1"/>
      <x:c r="J15" s="1"/>
      <x:c r="K15" s="1"/>
      <x:c r="L15" s="1"/>
    </x:row>
    <x:row r="16">
      <x:c r="B16" s="1" t="s">
        <x:v>339</x:v>
      </x:c>
      <x:c r="C16" s="3">
        <x:v>46099</x:v>
      </x:c>
      <x:c r="D16" s="1" t="s">
        <x:v>327</x:v>
      </x:c>
      <x:c r="E16" s="1" t="s">
        <x:v>340</x:v>
      </x:c>
      <x:c r="F16" s="1" t="s">
        <x:v>341</x:v>
      </x:c>
      <x:c r="G16" s="1"/>
      <x:c r="H16" s="1"/>
      <x:c r="I16" s="1"/>
      <x:c r="J16" s="1"/>
      <x:c r="K16" s="1"/>
      <x:c r="L16" s="1"/>
    </x:row>
    <x:row r="17">
      <x:c r="B17" s="1" t="s">
        <x:v>342</x:v>
      </x:c>
      <x:c r="C17" s="3">
        <x:v>46100</x:v>
      </x:c>
      <x:c r="D17" s="1" t="s">
        <x:v>327</x:v>
      </x:c>
      <x:c r="E17" s="1" t="s">
        <x:v>343</x:v>
      </x:c>
      <x:c r="F17" s="1" t="s">
        <x:v>344</x:v>
      </x:c>
      <x:c r="G17" s="1"/>
      <x:c r="H17" s="1"/>
      <x:c r="I17" s="1"/>
      <x:c r="J17" s="1"/>
      <x:c r="K17" s="1"/>
      <x:c r="L17" s="1"/>
    </x:row>
    <x:row r="18">
      <x:c r="B18" s="1" t="s">
        <x:v>345</x:v>
      </x:c>
      <x:c r="C18" s="3">
        <x:v>46197</x:v>
      </x:c>
      <x:c r="D18" s="1" t="s">
        <x:v>327</x:v>
      </x:c>
      <x:c r="E18" s="1" t="s">
        <x:v>346</x:v>
      </x:c>
      <x:c r="F18" s="1" t="s">
        <x:v>347</x:v>
      </x:c>
      <x:c r="G18" s="1"/>
      <x:c r="H18" s="1"/>
      <x:c r="I18" s="1"/>
      <x:c r="J18" s="1"/>
      <x:c r="K18" s="1"/>
      <x:c r="L18" s="1"/>
    </x:row>
    <x:row r="19">
      <x:c r="B19" s="1" t="s">
        <x:v>348</x:v>
      </x:c>
      <x:c r="C19" s="3">
        <x:v>46198</x:v>
      </x:c>
      <x:c r="D19" s="1" t="s">
        <x:v>327</x:v>
      </x:c>
      <x:c r="E19" s="1" t="s">
        <x:v>349</x:v>
      </x:c>
      <x:c r="F19" s="1" t="s">
        <x:v>350</x:v>
      </x:c>
      <x:c r="G19" s="1"/>
      <x:c r="H19" s="1"/>
      <x:c r="I19" s="1"/>
      <x:c r="J19" s="1"/>
      <x:c r="K19" s="1"/>
      <x:c r="L19" s="1"/>
    </x:row>
    <x:row r="20">
      <x:c r="B20" s="1" t="s">
        <x:v>351</x:v>
      </x:c>
      <x:c r="C20" s="3">
        <x:v>45933</x:v>
      </x:c>
      <x:c r="D20" s="1" t="s">
        <x:v>327</x:v>
      </x:c>
      <x:c r="E20" s="1" t="s">
        <x:v>352</x:v>
      </x:c>
      <x:c r="F20" s="1" t="s">
        <x:v>353</x:v>
      </x:c>
      <x:c r="G20" s="1"/>
      <x:c r="H20" s="1"/>
      <x:c r="I20" s="1"/>
      <x:c r="J20" s="1"/>
      <x:c r="K20" s="1"/>
      <x:c r="L20" s="1"/>
    </x:row>
    <x:row r="21">
      <x:c r="B21" s="1" t="s">
        <x:v>354</x:v>
      </x:c>
      <x:c r="C21" s="3">
        <x:v>45933</x:v>
      </x:c>
      <x:c r="D21" s="1" t="s">
        <x:v>327</x:v>
      </x:c>
      <x:c r="E21" s="1" t="s">
        <x:v>355</x:v>
      </x:c>
      <x:c r="F21" s="1" t="s">
        <x:v>356</x:v>
      </x:c>
      <x:c r="G21" s="1"/>
      <x:c r="H21" s="1"/>
      <x:c r="I21" s="1"/>
      <x:c r="J21" s="1"/>
      <x:c r="K21" s="1"/>
      <x:c r="L21" s="1"/>
    </x:row>
    <x:row r="22">
      <x:c r="B22" s="1" t="s">
        <x:v>357</x:v>
      </x:c>
      <x:c r="C22" s="3">
        <x:v>46272</x:v>
      </x:c>
      <x:c r="D22" s="1" t="s">
        <x:v>358</x:v>
      </x:c>
      <x:c r="E22" s="1" t="s">
        <x:v>359</x:v>
      </x:c>
      <x:c r="F22" s="1" t="s">
        <x:v>360</x:v>
      </x:c>
      <x:c r="G22" s="1"/>
      <x:c r="H22" s="1"/>
      <x:c r="I22" s="1"/>
      <x:c r="J22" s="1"/>
      <x:c r="K22" s="1"/>
      <x:c r="L22" s="1"/>
    </x:row>
    <x:row r="23">
      <x:c r="B23" s="1" t="s">
        <x:v>361</x:v>
      </x:c>
      <x:c r="C23" s="3">
        <x:v>46232</x:v>
      </x:c>
      <x:c r="D23" s="1" t="s">
        <x:v>362</x:v>
      </x:c>
      <x:c r="E23" s="1" t="s">
        <x:v>363</x:v>
      </x:c>
      <x:c r="F23" s="1" t="s">
        <x:v>364</x:v>
      </x:c>
      <x:c r="G23" s="1"/>
      <x:c r="H23" s="1"/>
      <x:c r="I23" s="1"/>
      <x:c r="J23" s="1"/>
      <x:c r="K23" s="1"/>
      <x:c r="L23" s="1"/>
    </x:row>
    <x:row r="24">
      <x:c r="B24" s="1" t="s">
        <x:v>365</x:v>
      </x:c>
      <x:c r="C24" s="3">
        <x:v>46289</x:v>
      </x:c>
      <x:c r="D24" s="1" t="s">
        <x:v>366</x:v>
      </x:c>
      <x:c r="E24" s="1" t="s">
        <x:v>367</x:v>
      </x:c>
      <x:c r="F24" s="1" t="s">
        <x:v>368</x:v>
      </x:c>
      <x:c r="G24" s="1"/>
      <x:c r="H24" s="1"/>
      <x:c r="I24" s="1"/>
      <x:c r="J24" s="1"/>
      <x:c r="K24" s="1"/>
      <x:c r="L24" s="1"/>
    </x:row>
    <x:row r="25">
      <x:c r="B25" s="1" t="s">
        <x:v>369</x:v>
      </x:c>
      <x:c r="C25" s="3">
        <x:v>46289</x:v>
      </x:c>
      <x:c r="D25" s="1" t="s">
        <x:v>370</x:v>
      </x:c>
      <x:c r="E25" s="1" t="s">
        <x:v>371</x:v>
      </x:c>
      <x:c r="F25" s="1" t="s">
        <x:v>372</x:v>
      </x:c>
      <x:c r="G25" s="1"/>
      <x:c r="H25" s="1"/>
      <x:c r="I25" s="1"/>
      <x:c r="J25" s="1"/>
      <x:c r="K25" s="1"/>
      <x:c r="L25" s="1"/>
    </x:row>
    <x:row r="26"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B27" s="31" t="s">
        <x:v>373</x:v>
      </x:c>
      <x:c r="C27" s="31"/>
      <x:c r="D27" s="31"/>
      <x:c r="E27" s="31"/>
      <x:c r="F27" s="31"/>
      <x:c r="G27" s="1"/>
      <x:c r="H27" s="1"/>
      <x:c r="I27" s="1"/>
      <x:c r="J27" s="1"/>
      <x:c r="K27" s="1"/>
      <x:c r="L27" s="1"/>
    </x:row>
    <x:row r="28">
      <x:c r="B28" s="1" t="s">
        <x:v>374</x:v>
      </x:c>
      <x:c r="C28" s="1" t="s">
        <x:v>375</x:v>
      </x:c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B29" s="1" t="s">
        <x:v>376</x:v>
      </x:c>
      <x:c r="C29" s="1" t="s">
        <x:v>377</x:v>
      </x:c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B30" s="1" t="s">
        <x:v>378</x:v>
      </x:c>
      <x:c r="C30" s="48">
        <x:v>46289</x:v>
      </x:c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B31" s="1" t="s">
        <x:v>379</x:v>
      </x:c>
      <x:c r="C31" s="1" t="s">
        <x:v>25</x:v>
      </x:c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B32" s="1" t="s">
        <x:v>380</x:v>
      </x:c>
      <x:c r="C32" s="1" t="s">
        <x:v>381</x:v>
      </x:c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B33" s="1" t="s">
        <x:v>382</x:v>
      </x:c>
      <x:c r="C33" s="1" t="s">
        <x:v>383</x:v>
      </x:c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B34" s="1" t="s">
        <x:v>384</x:v>
      </x:c>
      <x:c r="C34" s="1" t="s">
        <x:v>385</x:v>
      </x:c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B35" s="1" t="s">
        <x:v>386</x:v>
      </x:c>
      <x:c r="C35" s="1" t="s">
        <x:v>387</x:v>
      </x:c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B36" s="1" t="s">
        <x:v>388</x:v>
      </x:c>
      <x:c r="C36" s="1" t="s">
        <x:v>389</x:v>
      </x:c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B37" s="1" t="s">
        <x:v>390</x:v>
      </x:c>
      <x:c r="C37" s="1" t="s">
        <x:v>391</x:v>
      </x:c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B38" s="1" t="s">
        <x:v>392</x:v>
      </x:c>
      <x:c r="C38" s="1" t="s">
        <x:v>393</x:v>
      </x:c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B39" s="1" t="s">
        <x:v>394</x:v>
      </x:c>
      <x:c r="C39" s="1" t="s">
        <x:v>395</x:v>
      </x:c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B40" s="1" t="s">
        <x:v>396</x:v>
      </x:c>
      <x:c r="C40" s="1" t="s">
        <x:v>397</x:v>
      </x:c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4" customWidth="1"/>
    <x:col min="3" max="8" width="14" customWidth="1"/>
    <x:col min="9" max="9" width="3" customWidth="1"/>
    <x:col min="10" max="10" width="37" customWidth="1"/>
    <x:col min="11" max="11" width="33" customWidth="1"/>
    <x:col min="12" max="13" width="20" customWidth="1"/>
    <x:col min="14" max="14" width="56" customWidth="1"/>
    <x:col min="15" max="22" width="16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B3" s="1" t="s">
        <x:v>398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B5" s="10" t="s">
        <x:v>3</x:v>
      </x:c>
      <x:c r="C5" s="63" t="s">
        <x:v>4</x:v>
      </x:c>
      <x:c r="D5" s="63" t="s">
        <x:v>5</x:v>
      </x:c>
      <x:c r="E5" s="63" t="s">
        <x:v>6</x:v>
      </x:c>
      <x:c r="F5" s="63" t="s">
        <x:v>7</x:v>
      </x:c>
      <x:c r="G5" s="63" t="s">
        <x:v>8</x:v>
      </x:c>
      <x:c r="H5" s="65" t="s">
        <x:v>9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B6" s="10" t="s">
        <x:v>10</x:v>
      </x:c>
      <x:c r="C6" s="2">
        <x:v>45897</x:v>
      </x:c>
      <x:c r="D6" s="2">
        <x:v>45897</x:v>
      </x:c>
      <x:c r="E6" s="2">
        <x:v>45988</x:v>
      </x:c>
      <x:c r="F6" s="2">
        <x:v>46079</x:v>
      </x:c>
      <x:c r="G6" s="2">
        <x:v>46170</x:v>
      </x:c>
      <x:c r="H6" s="29">
        <x:v>46268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B7" s="10" t="s">
        <x:v>11</x:v>
      </x:c>
      <x:c r="C7" s="10">
        <x:v>91</x:v>
      </x:c>
      <x:c r="D7" s="10">
        <x:v>364</x:v>
      </x:c>
      <x:c r="E7" s="10">
        <x:v>91</x:v>
      </x:c>
      <x:c r="F7" s="10">
        <x:v>91</x:v>
      </x:c>
      <x:c r="G7" s="10">
        <x:v>91</x:v>
      </x:c>
      <x:c r="H7" s="25">
        <x:v>98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B9" s="69" t="s">
        <x:v>10</x:v>
      </x:c>
      <x:c r="C9" s="69" t="s">
        <x:v>399</x:v>
      </x:c>
      <x:c r="D9" s="69" t="s">
        <x:v>400</x:v>
      </x:c>
      <x:c r="E9" s="69" t="s">
        <x:v>401</x:v>
      </x:c>
      <x:c r="F9" s="69" t="s">
        <x:v>402</x:v>
      </x:c>
      <x:c r="G9" s="69" t="s">
        <x:v>403</x:v>
      </x:c>
      <x:c r="H9" s="69" t="s">
        <x:v>404</x:v>
      </x:c>
      <x:c r="I9" s="69" t="s">
        <x:v>405</x:v>
      </x:c>
      <x:c r="J9" s="1"/>
      <x:c r="K9" s="1" t="s">
        <x:v>406</x:v>
      </x:c>
      <x:c r="L9" s="69" t="s">
        <x:v>407</x:v>
      </x:c>
      <x:c r="M9" s="1"/>
      <x:c r="N9" s="1" t="s">
        <x:v>34</x:v>
      </x:c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B10" s="3">
        <x:v>45716</x:v>
      </x:c>
      <x:c r="C10" s="48">
        <x:v>1.42</x:v>
      </x:c>
      <x:c r="D10" s="48">
        <x:v>1.56</x:v>
      </x:c>
      <x:c r="E10" s="48">
        <x:v>1.27</x:v>
      </x:c>
      <x:c r="F10" s="48">
        <x:v>1.41</x:v>
      </x:c>
      <x:c r="G10" s="48">
        <x:v>7889.25</x:v>
      </x:c>
      <x:c r="H10" s="48">
        <x:v>8053</x:v>
      </x:c>
      <x:c r="I10" s="3">
        <x:v>45736</x:v>
      </x:c>
      <x:c r="J10" s="1"/>
      <x:c r="K10" s="1" t="s">
        <x:v>408</x:v>
      </x:c>
      <x:c r="L10" s="50">
        <x:v>0.015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B11" s="3">
        <x:v>45808</x:v>
      </x:c>
      <x:c r="C11" s="48">
        <x:v>1.59</x:v>
      </x:c>
      <x:c r="D11" s="48">
        <x:v>1.91</x:v>
      </x:c>
      <x:c r="E11" s="48">
        <x:v>1.45</x:v>
      </x:c>
      <x:c r="F11" s="48">
        <x:v>1.68</x:v>
      </x:c>
      <x:c r="G11" s="48">
        <x:v>8826.49</x:v>
      </x:c>
      <x:c r="H11" s="48">
        <x:v>9301</x:v>
      </x:c>
      <x:c r="I11" s="3">
        <x:v>45833</x:v>
      </x:c>
      <x:c r="J11" s="1"/>
      <x:c r="K11" s="1" t="s">
        <x:v>409</x:v>
      </x:c>
      <x:c r="L11" s="50">
        <x:v>0.149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B12" s="3">
        <x:v>45900</x:v>
      </x:c>
      <x:c r="C12" s="48">
        <x:v>2.86</x:v>
      </x:c>
      <x:c r="D12" s="48">
        <x:v>3.03</x:v>
      </x:c>
      <x:c r="E12" s="48">
        <x:v>2.69</x:v>
      </x:c>
      <x:c r="F12" s="48">
        <x:v>2.83</x:v>
      </x:c>
      <x:c r="G12" s="48">
        <x:v>11155.18</x:v>
      </x:c>
      <x:c r="H12" s="48">
        <x:v>11315</x:v>
      </x:c>
      <x:c r="I12" s="3">
        <x:v>45923</x:v>
      </x:c>
      <x:c r="J12" s="1"/>
      <x:c r="K12" s="1" t="s">
        <x:v>410</x:v>
      </x:c>
      <x:c r="L12" s="50">
        <x:v>0.005</x:v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B13" s="3">
        <x:v>45991</x:v>
      </x:c>
      <x:c r="C13" s="48">
        <x:v>3.96</x:v>
      </x:c>
      <x:c r="D13" s="48">
        <x:v>4.78</x:v>
      </x:c>
      <x:c r="E13" s="48">
        <x:v>3.87</x:v>
      </x:c>
      <x:c r="F13" s="48">
        <x:v>4.6</x:v>
      </x:c>
      <x:c r="G13" s="48">
        <x:v>12882.26</x:v>
      </x:c>
      <x:c r="H13" s="48">
        <x:v>13643</x:v>
      </x:c>
      <x:c r="I13" s="3">
        <x:v>46008</x:v>
      </x:c>
      <x:c r="J13" s="1"/>
      <x:c r="K13" s="1" t="s">
        <x:v>411</x:v>
      </x:c>
      <x:c r="L13" s="50">
        <x:v>0.157</x:v>
      </x:c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B14" s="3">
        <x:v>46081</x:v>
      </x:c>
      <x:c r="C14" s="48">
        <x:v>9.16</x:v>
      </x:c>
      <x:c r="D14" s="48">
        <x:v>12.2</x:v>
      </x:c>
      <x:c r="E14" s="48">
        <x:v>9.39</x:v>
      </x:c>
      <x:c r="F14" s="48">
        <x:v>12.07</x:v>
      </x:c>
      <x:c r="G14" s="48">
        <x:v>19755.79</x:v>
      </x:c>
      <x:c r="H14" s="48">
        <x:v>23860</x:v>
      </x:c>
      <x:c r="I14" s="3">
        <x:v>46099</x:v>
      </x:c>
      <x:c r="J14" s="1"/>
      <x:c r="K14" s="1" t="s">
        <x:v>412</x:v>
      </x:c>
      <x:c r="L14" s="50">
        <x:v>-0.01</x:v>
      </x:c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B15" s="3">
        <x:v>46173</x:v>
      </x:c>
      <x:c r="C15" s="48">
        <x:v>20.69</x:v>
      </x:c>
      <x:c r="D15" s="48">
        <x:v>25.11</x:v>
      </x:c>
      <x:c r="E15" s="48">
        <x:v>21.02</x:v>
      </x:c>
      <x:c r="F15" s="48">
        <x:v>24.67</x:v>
      </x:c>
      <x:c r="G15" s="48">
        <x:v>35819.81</x:v>
      </x:c>
      <x:c r="H15" s="48">
        <x:v>41456</x:v>
      </x:c>
      <x:c r="I15" s="3">
        <x:v>46197</x:v>
      </x:c>
      <x:c r="J15" s="1"/>
      <x:c r="K15" s="1" t="s">
        <x:v>413</x:v>
      </x:c>
      <x:c r="L15" s="50">
        <x:v>0.144</x:v>
      </x:c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B16" s="1"/>
      <x:c r="C16" s="1"/>
      <x:c r="D16" s="1"/>
      <x:c r="E16" s="1"/>
      <x:c r="F16" s="1"/>
      <x:c r="G16" s="1"/>
      <x:c r="H16" s="1"/>
      <x:c r="I16" s="1"/>
      <x:c r="J16" s="1"/>
      <x:c r="K16" s="1" t="s">
        <x:v>414</x:v>
      </x:c>
      <x:c r="L16" s="50">
        <x:v>-0.005</x:v>
      </x:c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B17" s="1"/>
      <x:c r="C17" s="1"/>
      <x:c r="D17" s="1"/>
      <x:c r="E17" s="1"/>
      <x:c r="F17" s="1"/>
      <x:c r="G17" s="1"/>
      <x:c r="H17" s="1"/>
      <x:c r="I17" s="1"/>
      <x:c r="J17" s="1"/>
      <x:c r="K17" s="1" t="s">
        <x:v>415</x:v>
      </x:c>
      <x:c r="L17" s="50">
        <x:v>0.147</x:v>
      </x:c>
      <x:c r="M17" s="1"/>
      <x:c r="N17" s="1" t="s">
        <x:v>416</x:v>
      </x:c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B18" s="1"/>
      <x:c r="C18" s="1"/>
      <x:c r="D18" s="1"/>
      <x:c r="E18" s="1"/>
      <x:c r="F18" s="1"/>
      <x:c r="G18" s="1"/>
      <x:c r="H18" s="1"/>
      <x:c r="I18" s="1"/>
      <x:c r="J18" s="1"/>
      <x:c r="K18" s="1" t="s">
        <x:v>417</x:v>
      </x:c>
      <x:c r="L18" s="50">
        <x:v>0.2</x:v>
      </x:c>
      <x:c r="M18" s="1"/>
      <x:c r="N18" s="1" t="s">
        <x:v>418</x:v>
      </x:c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B19" s="1"/>
      <x:c r="C19" s="1"/>
      <x:c r="D19" s="1"/>
      <x:c r="E19" s="1"/>
      <x:c r="F19" s="1"/>
      <x:c r="G19" s="1"/>
      <x:c r="H19" s="1"/>
      <x:c r="I19" s="1"/>
      <x:c r="J19" s="1"/>
      <x:c r="K19" s="1" t="s">
        <x:v>419</x:v>
      </x:c>
      <x:c r="L19" s="50">
        <x:v>0.861</x:v>
      </x:c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B20" s="1" t="s">
        <x:v>420</x:v>
      </x:c>
      <x:c r="C20" s="1" t="s">
        <x:v>15</x:v>
      </x:c>
      <x:c r="D20" s="1"/>
      <x:c r="E20" s="1"/>
      <x:c r="F20" s="1"/>
      <x:c r="G20" s="1"/>
      <x:c r="H20" s="1"/>
      <x:c r="I20" s="1"/>
      <x:c r="J20" s="1"/>
      <x:c r="K20" s="1" t="s">
        <x:v>421</x:v>
      </x:c>
      <x:c r="L20" s="48">
        <x:v>1390</x:v>
      </x:c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B21" s="1" t="s">
        <x:v>422</x:v>
      </x:c>
      <x:c r="C21" s="1" t="s">
        <x:v>0</x:v>
      </x:c>
      <x:c r="D21" s="1"/>
      <x:c r="E21" s="1"/>
      <x:c r="F21" s="1"/>
      <x:c r="G21" s="1"/>
      <x:c r="H21" s="1"/>
      <x:c r="I21" s="1"/>
      <x:c r="J21" s="1"/>
      <x:c r="K21" s="1" t="s">
        <x:v>423</x:v>
      </x:c>
      <x:c r="L21" s="48">
        <x:v>440</x:v>
      </x:c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B22" s="1" t="s">
        <x:v>424</x:v>
      </x:c>
      <x:c r="C22" s="1" t="s">
        <x:v>425</x:v>
      </x:c>
      <x:c r="D22" s="1"/>
      <x:c r="E22" s="1"/>
      <x:c r="F22" s="1"/>
      <x:c r="G22" s="1"/>
      <x:c r="H22" s="1"/>
      <x:c r="I22" s="1"/>
      <x:c r="J22" s="1"/>
      <x:c r="K22" s="1" t="s">
        <x:v>426</x:v>
      </x:c>
      <x:c r="L22" s="48">
        <x:v>30</x:v>
      </x:c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B23" s="1" t="s">
        <x:v>427</x:v>
      </x:c>
      <x:c r="C23" s="48">
        <x:v>289030</x:v>
      </x:c>
      <x:c r="D23" s="1"/>
      <x:c r="E23" s="1"/>
      <x:c r="F23" s="1"/>
      <x:c r="G23" s="1"/>
      <x:c r="H23" s="1"/>
      <x:c r="I23" s="1"/>
      <x:c r="J23" s="1"/>
      <x:c r="K23" s="1" t="s">
        <x:v>163</x:v>
      </x:c>
      <x:c r="L23" s="48">
        <x:v>225</x:v>
      </x:c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B24" s="1" t="s">
        <x:v>428</x:v>
      </x:c>
      <x:c r="C24" s="48">
        <x:v>51</x:v>
      </x:c>
      <x:c r="D24" s="1"/>
      <x:c r="E24" s="1"/>
      <x:c r="F24" s="1"/>
      <x:c r="G24" s="1"/>
      <x:c r="H24" s="1"/>
      <x:c r="I24" s="1"/>
      <x:c r="J24" s="1"/>
      <x:c r="K24" s="1" t="s">
        <x:v>429</x:v>
      </x:c>
      <x:c r="L24" s="48">
        <x:v>0</x:v>
      </x:c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B25" s="1" t="s">
        <x:v>430</x:v>
      </x:c>
      <x:c r="C25" s="1" t="s">
        <x:v>431</x:v>
      </x:c>
      <x:c r="D25" s="1"/>
      <x:c r="E25" s="1"/>
      <x:c r="F25" s="1"/>
      <x:c r="G25" s="1"/>
      <x:c r="H25" s="1"/>
      <x:c r="I25" s="1"/>
      <x:c r="J25" s="1"/>
      <x:c r="K25" s="1" t="s">
        <x:v>432</x:v>
      </x:c>
      <x:c r="L25" s="48">
        <x:v>-115</x:v>
      </x:c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B26" s="1" t="s">
        <x:v>433</x:v>
      </x:c>
      <x:c r="C26" s="1" t="s">
        <x:v>434</x:v>
      </x:c>
      <x:c r="D26" s="1"/>
      <x:c r="E26" s="1"/>
      <x:c r="F26" s="1"/>
      <x:c r="G26" s="1"/>
      <x:c r="H26" s="1"/>
      <x:c r="I26" s="1"/>
      <x:c r="J26" s="1"/>
      <x:c r="K26" s="1" t="s">
        <x:v>435</x:v>
      </x:c>
      <x:c r="L26" s="48">
        <x:v>5</x:v>
      </x:c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B27" s="1" t="s">
        <x:v>436</x:v>
      </x:c>
      <x:c r="C27" s="3">
        <x:v>46265</x:v>
      </x:c>
      <x:c r="D27" s="1"/>
      <x:c r="E27" s="1"/>
      <x:c r="F27" s="1"/>
      <x:c r="G27" s="1"/>
      <x:c r="H27" s="1"/>
      <x:c r="I27" s="1"/>
      <x:c r="J27" s="1"/>
      <x:c r="K27" s="1" t="s">
        <x:v>437</x:v>
      </x:c>
      <x:c r="L27" s="50">
        <x:v>0.15</x:v>
      </x:c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B28" s="1" t="s">
        <x:v>438</x:v>
      </x:c>
      <x:c r="C28" s="3">
        <x:v>46295</x:v>
      </x:c>
      <x:c r="D28" s="1"/>
      <x:c r="E28" s="1"/>
      <x:c r="F28" s="1"/>
      <x:c r="G28" s="1"/>
      <x:c r="H28" s="1"/>
      <x:c r="I28" s="1"/>
      <x:c r="J28" s="1"/>
      <x:c r="K28" s="1" t="s">
        <x:v>439</x:v>
      </x:c>
      <x:c r="L28" s="48">
        <x:v>355</x:v>
      </x:c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B29" s="1" t="s">
        <x:v>440</x:v>
      </x:c>
      <x:c r="C29" s="48">
        <x:v>31.6</x:v>
      </x:c>
      <x:c r="D29" s="1"/>
      <x:c r="E29" s="1"/>
      <x:c r="F29" s="1"/>
      <x:c r="G29" s="1"/>
      <x:c r="H29" s="1"/>
      <x:c r="I29" s="1"/>
      <x:c r="J29" s="1"/>
      <x:c r="K29" s="1" t="s">
        <x:v>441</x:v>
      </x:c>
      <x:c r="L29" s="48">
        <x:v>0</x:v>
      </x:c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B30" s="1" t="s">
        <x:v>442</x:v>
      </x:c>
      <x:c r="C30" s="48">
        <x:v>31.2</x:v>
      </x:c>
      <x:c r="D30" s="1"/>
      <x:c r="E30" s="1"/>
      <x:c r="F30" s="1"/>
      <x:c r="G30" s="1"/>
      <x:c r="H30" s="1"/>
      <x:c r="I30" s="1"/>
      <x:c r="J30" s="1"/>
      <x:c r="K30" s="1" t="s">
        <x:v>443</x:v>
      </x:c>
      <x:c r="L30" s="48">
        <x:v>25</x:v>
      </x:c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B31" s="1" t="s">
        <x:v>444</x:v>
      </x:c>
      <x:c r="C31" s="48">
        <x:v>37.44</x:v>
      </x:c>
      <x:c r="D31" s="1"/>
      <x:c r="E31" s="1"/>
      <x:c r="F31" s="1"/>
      <x:c r="G31" s="1"/>
      <x:c r="H31" s="1"/>
      <x:c r="I31" s="1"/>
      <x:c r="J31" s="1"/>
      <x:c r="K31" s="1" t="s">
        <x:v>445</x:v>
      </x:c>
      <x:c r="L31" s="48">
        <x:v>-80</x:v>
      </x:c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B32" s="1" t="s">
        <x:v>446</x:v>
      </x:c>
      <x:c r="C32" s="48">
        <x:v>28.04</x:v>
      </x:c>
      <x:c r="D32" s="1"/>
      <x:c r="E32" s="1"/>
      <x:c r="F32" s="1"/>
      <x:c r="G32" s="1"/>
      <x:c r="H32" s="1"/>
      <x:c r="I32" s="1"/>
      <x:c r="J32" s="1"/>
      <x:c r="K32" s="1" t="s">
        <x:v>447</x:v>
      </x:c>
      <x:c r="L32" s="48">
        <x:v>1132</x:v>
      </x:c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B33" s="1" t="s">
        <x:v>448</x:v>
      </x:c>
      <x:c r="C33" s="48">
        <x:v>1.41</x:v>
      </x:c>
      <x:c r="D33" s="1"/>
      <x:c r="E33" s="1"/>
      <x:c r="F33" s="1"/>
      <x:c r="G33" s="1"/>
      <x:c r="H33" s="1"/>
      <x:c r="I33" s="1"/>
      <x:c r="J33" s="1"/>
      <x:c r="K33" s="1" t="s">
        <x:v>449</x:v>
      </x:c>
      <x:c r="L33" s="48">
        <x:v>17</x:v>
      </x:c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B34" s="1" t="s">
        <x:v>450</x:v>
      </x:c>
      <x:c r="C34" s="48">
        <x:v>33</x:v>
      </x:c>
      <x:c r="D34" s="1"/>
      <x:c r="E34" s="1"/>
      <x:c r="F34" s="1"/>
      <x:c r="G34" s="1"/>
      <x:c r="H34" s="1"/>
      <x:c r="I34" s="1"/>
      <x:c r="J34" s="1"/>
      <x:c r="K34" s="1" t="s">
        <x:v>451</x:v>
      </x:c>
      <x:c r="L34" s="48">
        <x:v>4</x:v>
      </x:c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B35" s="1" t="s">
        <x:v>452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48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B36" s="1" t="s">
        <x:v>453</x:v>
      </x:c>
      <x:c r="C36" s="48">
        <x:v>30</x:v>
      </x:c>
      <x:c r="D36" s="1"/>
      <x:c r="E36" s="1"/>
      <x:c r="F36" s="1"/>
      <x:c r="G36" s="1"/>
      <x:c r="H36" s="1"/>
      <x:c r="I36" s="1"/>
      <x:c r="J36" s="1"/>
      <x:c r="K36" s="1"/>
      <x:c r="L36" s="48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B37" s="1" t="s">
        <x:v>454</x:v>
      </x:c>
      <x:c r="C37" s="48">
        <x:v>32</x:v>
      </x:c>
      <x:c r="D37" s="1"/>
      <x:c r="E37" s="1"/>
      <x:c r="F37" s="1"/>
      <x:c r="G37" s="1"/>
      <x:c r="H37" s="1"/>
      <x:c r="I37" s="1"/>
      <x:c r="J37" s="1"/>
      <x:c r="K37" s="1"/>
      <x:c r="L37" s="48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B38" s="1" t="s">
        <x:v>455</x:v>
      </x:c>
      <x:c r="C38" s="48">
        <x:v>31.58</x:v>
      </x:c>
      <x:c r="D38" s="1"/>
      <x:c r="E38" s="1"/>
      <x:c r="F38" s="1"/>
      <x:c r="G38" s="1"/>
      <x:c r="H38" s="1"/>
      <x:c r="I38" s="1"/>
      <x:c r="J38" s="1"/>
      <x:c r="K38" s="1" t="s">
        <x:v>456</x:v>
      </x:c>
      <x:c r="L38" s="70" t="s">
        <x:v>407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B39" s="1" t="s">
        <x:v>457</x:v>
      </x:c>
      <x:c r="C39" s="48">
        <x:v>31.01</x:v>
      </x:c>
      <x:c r="D39" s="1"/>
      <x:c r="E39" s="1"/>
      <x:c r="F39" s="1"/>
      <x:c r="G39" s="1"/>
      <x:c r="H39" s="1"/>
      <x:c r="I39" s="1"/>
      <x:c r="J39" s="1"/>
      <x:c r="K39" s="1" t="s">
        <x:v>230</x:v>
      </x:c>
      <x:c r="L39" s="48">
        <x:v>2500</x:v>
      </x:c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B40" s="1" t="s">
        <x:v>458</x:v>
      </x:c>
      <x:c r="C40" s="48">
        <x:v>37.7</x:v>
      </x:c>
      <x:c r="D40" s="1"/>
      <x:c r="E40" s="1"/>
      <x:c r="F40" s="1"/>
      <x:c r="G40" s="1"/>
      <x:c r="H40" s="1"/>
      <x:c r="I40" s="1"/>
      <x:c r="J40" s="1"/>
      <x:c r="K40" s="1" t="s">
        <x:v>459</x:v>
      </x:c>
      <x:c r="L40" s="48">
        <x:v>1500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B41" s="1" t="s">
        <x:v>460</x:v>
      </x:c>
      <x:c r="C41" s="48">
        <x:v>27.99</x:v>
      </x:c>
      <x:c r="D41" s="1"/>
      <x:c r="E41" s="1"/>
      <x:c r="F41" s="1"/>
      <x:c r="G41" s="1"/>
      <x:c r="H41" s="1"/>
      <x:c r="I41" s="1"/>
      <x:c r="J41" s="1"/>
      <x:c r="K41" s="1" t="s">
        <x:v>461</x:v>
      </x:c>
      <x:c r="L41" s="48">
        <x:v>-9600</x:v>
      </x:c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B42" s="1" t="s">
        <x:v>462</x:v>
      </x:c>
      <x:c r="C42" s="48">
        <x:v>2.03</x:v>
      </x:c>
      <x:c r="D42" s="1"/>
      <x:c r="E42" s="1"/>
      <x:c r="F42" s="1"/>
      <x:c r="G42" s="1"/>
      <x:c r="H42" s="1"/>
      <x:c r="I42" s="1"/>
      <x:c r="J42" s="1"/>
      <x:c r="K42" s="1" t="s">
        <x:v>463</x:v>
      </x:c>
      <x:c r="L42" s="48">
        <x:v>-600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B43" s="1" t="s">
        <x:v>464</x:v>
      </x:c>
      <x:c r="C43" s="48">
        <x:v>18</x:v>
      </x:c>
      <x:c r="D43" s="1"/>
      <x:c r="E43" s="1"/>
      <x:c r="F43" s="1"/>
      <x:c r="G43" s="1"/>
      <x:c r="H43" s="1"/>
      <x:c r="I43" s="1"/>
      <x:c r="J43" s="1"/>
      <x:c r="K43" s="1" t="s">
        <x:v>465</x:v>
      </x:c>
      <x:c r="L43" s="48">
        <x:v>0</x:v>
      </x:c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B44" s="1" t="s">
        <x:v>466</x:v>
      </x:c>
      <x:c r="C44" s="48">
        <x:v>29.73</x:v>
      </x:c>
      <x:c r="D44" s="1"/>
      <x:c r="E44" s="1"/>
      <x:c r="F44" s="1"/>
      <x:c r="G44" s="1"/>
      <x:c r="H44" s="1"/>
      <x:c r="I44" s="1"/>
      <x:c r="J44" s="1"/>
      <x:c r="K44" s="1" t="s">
        <x:v>247</x:v>
      </x:c>
      <x:c r="L44" s="48">
        <x:v>-170</x:v>
      </x:c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B45" s="1" t="s">
        <x:v>467</x:v>
      </x:c>
      <x:c r="C45" s="48">
        <x:v>31.73</x:v>
      </x:c>
      <x:c r="D45" s="1"/>
      <x:c r="E45" s="1"/>
      <x:c r="F45" s="1"/>
      <x:c r="G45" s="1"/>
      <x:c r="H45" s="1"/>
      <x:c r="I45" s="1"/>
      <x:c r="J45" s="1"/>
      <x:c r="K45" s="1"/>
      <x:c r="L45" s="48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B46" s="1" t="s">
        <x:v>468</x:v>
      </x:c>
      <x:c r="C46" s="48">
        <x:v>51250.26</x:v>
      </x:c>
      <x:c r="D46" s="1"/>
      <x:c r="E46" s="1"/>
      <x:c r="F46" s="1"/>
      <x:c r="G46" s="1"/>
      <x:c r="H46" s="1"/>
      <x:c r="I46" s="1"/>
      <x:c r="J46" s="1"/>
      <x:c r="K46" s="1" t="s">
        <x:v>469</x:v>
      </x:c>
      <x:c r="L46" s="48">
        <x:v>4000</x:v>
      </x:c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B47" s="1" t="s">
        <x:v>470</x:v>
      </x:c>
      <x:c r="C47" s="48">
        <x:v>50792</x:v>
      </x:c>
      <x:c r="D47" s="1"/>
      <x:c r="E47" s="1"/>
      <x:c r="F47" s="1"/>
      <x:c r="G47" s="1"/>
      <x:c r="H47" s="1"/>
      <x:c r="I47" s="1"/>
      <x:c r="J47" s="1"/>
      <x:c r="K47" s="1" t="s">
        <x:v>471</x:v>
      </x:c>
      <x:c r="L47" s="55">
        <x:v>0.57</x:v>
      </x:c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B48" s="1" t="s">
        <x:v>472</x:v>
      </x:c>
      <x:c r="C48" s="48">
        <x:v>59805</x:v>
      </x:c>
      <x:c r="D48" s="1"/>
      <x:c r="E48" s="1"/>
      <x:c r="F48" s="1"/>
      <x:c r="G48" s="1"/>
      <x:c r="H48" s="1"/>
      <x:c r="I48" s="1"/>
      <x:c r="J48" s="1"/>
      <x:c r="K48" s="1" t="s">
        <x:v>473</x:v>
      </x:c>
      <x:c r="L48" s="50">
        <x:v>0</x:v>
      </x:c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B49" s="1" t="s">
        <x:v>474</x:v>
      </x:c>
      <x:c r="C49" s="48">
        <x:v>46911</x:v>
      </x:c>
      <x:c r="D49" s="1"/>
      <x:c r="E49" s="1"/>
      <x:c r="F49" s="1"/>
      <x:c r="G49" s="1"/>
      <x:c r="H49" s="1"/>
      <x:c r="I49" s="1"/>
      <x:c r="J49" s="1"/>
      <x:c r="K49" s="1" t="s">
        <x:v>475</x:v>
      </x:c>
      <x:c r="L49" s="50">
        <x:v>0</x:v>
      </x:c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B50" s="1" t="s">
        <x:v>476</x:v>
      </x:c>
      <x:c r="C50" s="48">
        <x:v>2044.89</x:v>
      </x:c>
      <x:c r="D50" s="1"/>
      <x:c r="E50" s="1"/>
      <x:c r="F50" s="1"/>
      <x:c r="G50" s="1"/>
      <x:c r="H50" s="1"/>
      <x:c r="I50" s="1"/>
      <x:c r="J50" s="1"/>
      <x:c r="K50" s="1" t="s">
        <x:v>477</x:v>
      </x:c>
      <x:c r="L50" s="50">
        <x:v>0.852</x:v>
      </x:c>
      <x:c r="M50" s="1"/>
      <x:c r="N50" s="1" t="s">
        <x:v>478</x:v>
      </x:c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B51" s="1" t="s">
        <x:v>479</x:v>
      </x:c>
      <x:c r="C51" s="48">
        <x:v>35</x:v>
      </x:c>
      <x:c r="D51" s="1"/>
      <x:c r="E51" s="1"/>
      <x:c r="F51" s="1"/>
      <x:c r="G51" s="1"/>
      <x:c r="H51" s="1"/>
      <x:c r="I51" s="1"/>
      <x:c r="J51" s="1"/>
      <x:c r="K51" s="1" t="s">
        <x:v>480</x:v>
      </x:c>
      <x:c r="L51" s="50">
        <x:v>0.885</x:v>
      </x:c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B52" s="1" t="s">
        <x:v>481</x:v>
      </x:c>
      <x:c r="C52" s="48">
        <x:v>49000</x:v>
      </x:c>
      <x:c r="D52" s="1"/>
      <x:c r="E52" s="1"/>
      <x:c r="F52" s="1"/>
      <x:c r="G52" s="1"/>
      <x:c r="H52" s="1"/>
      <x:c r="I52" s="1"/>
      <x:c r="J52" s="1"/>
      <x:c r="K52" s="1" t="s">
        <x:v>482</x:v>
      </x:c>
      <x:c r="L52" s="50">
        <x:v>0.882</x:v>
      </x:c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B53" s="1" t="s">
        <x:v>483</x:v>
      </x:c>
      <x:c r="C53" s="48">
        <x:v>51000</x:v>
      </x:c>
      <x:c r="D53" s="1"/>
      <x:c r="E53" s="1"/>
      <x:c r="F53" s="1"/>
      <x:c r="G53" s="1"/>
      <x:c r="H53" s="1"/>
      <x:c r="I53" s="1"/>
      <x:c r="J53" s="1"/>
      <x:c r="K53" s="1" t="s">
        <x:v>484</x:v>
      </x:c>
      <x:c r="L53" s="50">
        <x:v>0.805</x:v>
      </x:c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B54" s="1" t="s">
        <x:v>485</x:v>
      </x:c>
      <x:c r="C54" s="48">
        <x:v>44723.44</x:v>
      </x:c>
      <x:c r="D54" s="1"/>
      <x:c r="E54" s="1"/>
      <x:c r="F54" s="1"/>
      <x:c r="G54" s="1"/>
      <x:c r="H54" s="1"/>
      <x:c r="I54" s="1"/>
      <x:c r="J54" s="1"/>
      <x:c r="K54" s="1" t="s">
        <x:v>486</x:v>
      </x:c>
      <x:c r="L54" s="50">
        <x:v>0.15</x:v>
      </x:c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B55" s="1" t="s">
        <x:v>487</x:v>
      </x:c>
      <x:c r="C55" s="48">
        <x:v>42194.19</x:v>
      </x:c>
      <x:c r="D55" s="1"/>
      <x:c r="E55" s="1"/>
      <x:c r="F55" s="1"/>
      <x:c r="G55" s="1"/>
      <x:c r="H55" s="1"/>
      <x:c r="I55" s="1"/>
      <x:c r="J55" s="1"/>
      <x:c r="K55" s="1" t="s">
        <x:v>488</x:v>
      </x:c>
      <x:c r="L55" s="50">
        <x:v>0.17</x:v>
      </x:c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B56" s="1" t="s">
        <x:v>489</x:v>
      </x:c>
      <x:c r="C56" s="48">
        <x:v>35951.27</x:v>
      </x:c>
      <x:c r="D56" s="1"/>
      <x:c r="E56" s="1"/>
      <x:c r="F56" s="1"/>
      <x:c r="G56" s="1"/>
      <x:c r="H56" s="1"/>
      <x:c r="I56" s="1"/>
      <x:c r="J56" s="1"/>
      <x:c r="K56" s="1" t="s">
        <x:v>490</x:v>
      </x:c>
      <x:c r="L56" s="48">
        <x:v>-10500</x:v>
      </x:c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B57" s="1" t="s">
        <x:v>491</x:v>
      </x:c>
      <x:c r="C57" s="48">
        <x:v>36026.28</x:v>
      </x:c>
      <x:c r="D57" s="1"/>
      <x:c r="E57" s="1"/>
      <x:c r="F57" s="1"/>
      <x:c r="G57" s="1"/>
      <x:c r="H57" s="1"/>
      <x:c r="I57" s="1"/>
      <x:c r="J57" s="1"/>
      <x:c r="K57" s="1" t="s">
        <x:v>492</x:v>
      </x:c>
      <x:c r="L57" s="48">
        <x:v>-200</x:v>
      </x:c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B58" s="1" t="s">
        <x:v>493</x:v>
      </x:c>
      <x:c r="C58" s="48">
        <x:v>86.5</x:v>
      </x:c>
      <x:c r="D58" s="1"/>
      <x:c r="E58" s="1"/>
      <x:c r="F58" s="1"/>
      <x:c r="G58" s="1"/>
      <x:c r="H58" s="1"/>
      <x:c r="I58" s="1"/>
      <x:c r="J58" s="1"/>
      <x:c r="K58" s="1" t="s">
        <x:v>494</x:v>
      </x:c>
      <x:c r="L58" s="48">
        <x:v>-200</x:v>
      </x:c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B59" s="1" t="s">
        <x:v>495</x:v>
      </x:c>
      <x:c r="C59" s="48">
        <x:v>15.04</x:v>
      </x:c>
      <x:c r="D59" s="1"/>
      <x:c r="E59" s="1"/>
      <x:c r="F59" s="1"/>
      <x:c r="G59" s="1"/>
      <x:c r="H59" s="1"/>
      <x:c r="I59" s="1"/>
      <x:c r="J59" s="1"/>
      <x:c r="K59" s="1" t="s">
        <x:v>496</x:v>
      </x:c>
      <x:c r="L59" s="50">
        <x:v>0.65</x:v>
      </x:c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B60" s="1" t="s">
        <x:v>497</x:v>
      </x:c>
      <x:c r="C60" s="48">
        <x:v>-10269.33</x:v>
      </x:c>
      <x:c r="D60" s="1"/>
      <x:c r="E60" s="1"/>
      <x:c r="F60" s="1"/>
      <x:c r="G60" s="1"/>
      <x:c r="H60" s="1"/>
      <x:c r="I60" s="1"/>
      <x:c r="J60" s="1"/>
      <x:c r="K60" s="1" t="s">
        <x:v>498</x:v>
      </x:c>
      <x:c r="L60" s="48">
        <x:v>1000</x:v>
      </x:c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B61" s="1" t="s">
        <x:v>499</x:v>
      </x:c>
      <x:c r="C61" s="48">
        <x:v>23822.36</x:v>
      </x:c>
      <x:c r="D61" s="1"/>
      <x:c r="E61" s="1"/>
      <x:c r="F61" s="1"/>
      <x:c r="G61" s="1"/>
      <x:c r="H61" s="1"/>
      <x:c r="I61" s="1"/>
      <x:c r="J61" s="1"/>
      <x:c r="K61" s="1" t="s">
        <x:v>500</x:v>
      </x:c>
      <x:c r="L61" s="1" t="s">
        <x:v>501</x:v>
      </x:c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B62" s="1" t="s">
        <x:v>502</x:v>
      </x:c>
      <x:c r="C62" s="48">
        <x:v>33535.42</x:v>
      </x:c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B63" s="1" t="s">
        <x:v>503</x:v>
      </x:c>
      <x:c r="C63" s="48">
        <x:v>2660.54</x:v>
      </x:c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B64" s="1" t="s">
        <x:v>504</x:v>
      </x:c>
      <x:c r="C64" s="1" t="s">
        <x:v>505</x:v>
      </x:c>
      <x:c r="D64" s="1"/>
      <x:c r="E64" s="1"/>
      <x:c r="F64" s="1"/>
      <x:c r="G64" s="1"/>
      <x:c r="H64" s="1"/>
      <x:c r="I64" s="1"/>
      <x:c r="J64" s="1"/>
      <x:c r="K64" s="1" t="s">
        <x:v>506</x:v>
      </x:c>
      <x:c r="L64" s="48">
        <x:v>1</x:v>
      </x:c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B65" s="1" t="s">
        <x:v>507</x:v>
      </x:c>
      <x:c r="C65" s="48">
        <x:v>1.37</x:v>
      </x:c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B66" s="1" t="s">
        <x:v>508</x:v>
      </x:c>
      <x:c r="C66" s="48">
        <x:v>1080.53</x:v>
      </x:c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B67" s="1" t="s">
        <x:v>509</x:v>
      </x:c>
      <x:c r="C67" s="1" t="s">
        <x:v>510</x:v>
      </x:c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B68" s="1" t="s">
        <x:v>511</x:v>
      </x:c>
      <x:c r="C68" s="48">
        <x:v>1515.54</x:v>
      </x:c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B69" s="1" t="s">
        <x:v>512</x:v>
      </x:c>
      <x:c r="C69" s="48">
        <x:v>1545</x:v>
      </x:c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B70" s="1" t="s">
        <x:v>513</x:v>
      </x:c>
      <x:c r="C70" s="48">
        <x:v>2200</x:v>
      </x:c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B71" s="1" t="s">
        <x:v>514</x:v>
      </x:c>
      <x:c r="C71" s="48">
        <x:v>361</x:v>
      </x:c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B72" s="1" t="s">
        <x:v>515</x:v>
      </x:c>
      <x:c r="C72" s="48">
        <x:v>325.2</x:v>
      </x:c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B73" s="1" t="s">
        <x:v>516</x:v>
      </x:c>
      <x:c r="C73" s="48">
        <x:v>46</x:v>
      </x:c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 t="s">
        <x:v>517</x:v>
      </x:c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B80" s="1"/>
      <x:c r="C80" s="1"/>
      <x:c r="D80" s="1"/>
      <x:c r="E80" s="1"/>
      <x:c r="F80" s="1"/>
      <x:c r="G80" s="1"/>
      <x:c r="H80" s="1"/>
      <x:c r="I80" s="1"/>
      <x:c r="J80" s="1"/>
      <x:c r="K80" s="1" t="s">
        <x:v>518</x:v>
      </x:c>
      <x:c r="L80" s="48">
        <x:v>82798</x:v>
      </x:c>
      <x:c r="M80" s="1" t="s">
        <x:v>519</x:v>
      </x:c>
      <x:c r="N80" s="69" t="s">
        <x:v>520</x:v>
      </x:c>
      <x:c r="O80" s="69" t="s">
        <x:v>521</x:v>
      </x:c>
      <x:c r="P80" s="69" t="s">
        <x:v>522</x:v>
      </x:c>
      <x:c r="Q80" s="69" t="s">
        <x:v>523</x:v>
      </x:c>
      <x:c r="R80" s="69" t="s">
        <x:v>524</x:v>
      </x:c>
      <x:c r="S80" s="69" t="s">
        <x:v>525</x:v>
      </x:c>
      <x:c r="T80" s="69" t="s">
        <x:v>526</x:v>
      </x:c>
      <x:c r="U80" s="69" t="s">
        <x:v>73</x:v>
      </x:c>
      <x:c r="V80" s="69" t="s">
        <x:v>527</x:v>
      </x:c>
      <x:c r="W80" s="69" t="s">
        <x:v>528</x:v>
      </x:c>
      <x:c r="X80" s="69" t="s">
        <x:v>529</x:v>
      </x:c>
      <x:c r="Y80" s="69" t="s">
        <x:v>530</x:v>
      </x:c>
      <x:c r="Z80" s="69" t="s">
        <x:v>531</x:v>
      </x:c>
    </x:row>
    <x:row r="81">
      <x:c r="B81" s="1"/>
      <x:c r="C81" s="1"/>
      <x:c r="D81" s="1"/>
      <x:c r="E81" s="1"/>
      <x:c r="F81" s="1"/>
      <x:c r="G81" s="1"/>
      <x:c r="H81" s="1"/>
      <x:c r="I81" s="1"/>
      <x:c r="J81" s="1"/>
      <x:c r="K81" s="1" t="s">
        <x:v>532</x:v>
      </x:c>
      <x:c r="L81" s="48">
        <x:v>85971</x:v>
      </x:c>
      <x:c r="M81" s="1" t="s">
        <x:v>533</x:v>
      </x:c>
      <x:c r="N81" s="48">
        <x:v>6400</x:v>
      </x:c>
      <x:c r="O81" s="48">
        <x:v>2241</x:v>
      </x:c>
      <x:c r="P81" s="48">
        <x:v>68</x:v>
      </x:c>
      <x:c r="Q81" s="48">
        <x:v>2648</x:v>
      </x:c>
      <x:c r="R81" s="48">
        <x:v>2292</x:v>
      </x:c>
      <x:c r="S81" s="48">
        <x:v>2608</x:v>
      </x:c>
      <x:c r="T81" s="48">
        <x:v>1158</x:v>
      </x:c>
      <x:c r="U81" s="48">
        <x:v>3</x:v>
      </x:c>
      <x:c r="V81" s="48">
        <x:v>8709</x:v>
      </x:c>
      <x:c r="W81" s="48">
        <x:v>1066</x:v>
      </x:c>
      <x:c r="X81" s="48">
        <x:v>871</x:v>
      </x:c>
      <x:c r="Y81" s="48">
        <x:v>379</x:v>
      </x:c>
      <x:c r="Z81" s="48">
        <x:v>78</x:v>
      </x:c>
    </x:row>
    <x:row r="82">
      <x:c r="B82" s="1"/>
      <x:c r="C82" s="1"/>
      <x:c r="D82" s="1"/>
      <x:c r="E82" s="1"/>
      <x:c r="F82" s="1"/>
      <x:c r="G82" s="1"/>
      <x:c r="H82" s="1"/>
      <x:c r="I82" s="1"/>
      <x:c r="J82" s="1"/>
      <x:c r="K82" s="1" t="s">
        <x:v>534</x:v>
      </x:c>
      <x:c r="L82" s="48">
        <x:v>101509</x:v>
      </x:c>
      <x:c r="M82" s="1" t="s">
        <x:v>535</x:v>
      </x:c>
      <x:c r="N82" s="48">
        <x:v>6123</x:v>
      </x:c>
      <x:c r="O82" s="48">
        <x:v>1855</x:v>
      </x:c>
      <x:c r="P82" s="48">
        <x:v>75</x:v>
      </x:c>
      <x:c r="Q82" s="48">
        <x:v>2947</x:v>
      </x:c>
      <x:c r="R82" s="48">
        <x:v>1830</x:v>
      </x:c>
      <x:c r="S82" s="48">
        <x:v>2236</x:v>
      </x:c>
      <x:c r="T82" s="48">
        <x:v>1034</x:v>
      </x:c>
      <x:c r="U82" s="48">
        <x:v>6</x:v>
      </x:c>
      <x:c r="V82" s="48">
        <x:v>8053</x:v>
      </x:c>
      <x:c r="W82" s="48">
        <x:v>1320</x:v>
      </x:c>
      <x:c r="X82" s="48">
        <x:v>611</x:v>
      </x:c>
      <x:c r="Y82" s="48">
        <x:v>16</x:v>
      </x:c>
      <x:c r="Z82" s="48">
        <x:v>61</x:v>
      </x:c>
    </x:row>
    <x:row r="83">
      <x:c r="B83" s="1"/>
      <x:c r="C83" s="1"/>
      <x:c r="D83" s="1"/>
      <x:c r="E83" s="1"/>
      <x:c r="F83" s="1"/>
      <x:c r="G83" s="1"/>
      <x:c r="H83" s="1"/>
      <x:c r="I83" s="1"/>
      <x:c r="J83" s="1"/>
      <x:c r="K83" s="1" t="s">
        <x:v>536</x:v>
      </x:c>
      <x:c r="L83" s="48">
        <x:v>134112</x:v>
      </x:c>
      <x:c r="M83" s="1" t="s">
        <x:v>537</x:v>
      </x:c>
      <x:c r="N83" s="48">
        <x:v>7071</x:v>
      </x:c>
      <x:c r="O83" s="48">
        <x:v>2155</x:v>
      </x:c>
      <x:c r="P83" s="48">
        <x:v>75</x:v>
      </x:c>
      <x:c r="Q83" s="48">
        <x:v>3386</x:v>
      </x:c>
      <x:c r="R83" s="48">
        <x:v>1530</x:v>
      </x:c>
      <x:c r="S83" s="48">
        <x:v>3255</x:v>
      </x:c>
      <x:c r="T83" s="48">
        <x:v>1127</x:v>
      </x:c>
      <x:c r="U83" s="48">
        <x:v>3</x:v>
      </x:c>
      <x:c r="V83" s="48">
        <x:v>9301</x:v>
      </x:c>
      <x:c r="W83" s="48">
        <x:v>1573</x:v>
      </x:c>
      <x:c r="X83" s="48">
        <x:v>307</x:v>
      </x:c>
      <x:c r="Y83" s="48">
        <x:v>482</x:v>
      </x:c>
      <x:c r="Z83" s="48">
        <x:v>126</x:v>
      </x:c>
    </x:row>
    <x:row r="84"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 t="s">
        <x:v>538</x:v>
      </x:c>
      <x:c r="N84" s="48">
        <x:v>17603</x:v>
      </x:c>
      <x:c r="O84" s="48">
        <x:v>7227</x:v>
      </x:c>
      <x:c r="P84" s="48">
        <x:v>281</x:v>
      </x:c>
      <x:c r="Q84" s="48">
        <x:v>3792</x:v>
      </x:c>
      <x:c r="R84" s="48">
        <x:v>4984</x:v>
      </x:c>
      <x:c r="S84" s="48">
        <x:v>11667</x:v>
      </x:c>
      <x:c r="T84" s="48">
        <x:v>4631</x:v>
      </x:c>
      <x:c r="U84" s="48">
        <x:v>37</x:v>
      </x:c>
      <x:c r="V84" s="48">
        <x:v>25111</x:v>
      </x:c>
      <x:c r="W84" s="48">
        <x:v>244</x:v>
      </x:c>
      <x:c r="X84" s="48">
        <x:v>255</x:v>
      </x:c>
      <x:c r="Y84" s="48">
        <x:v>-1</x:v>
      </x:c>
      <x:c r="Z84" s="48">
        <x:v>432</x:v>
      </x:c>
    </x:row>
    <x:row r="85"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 t="s">
        <x:v>539</x:v>
      </x:c>
      <x:c r="N85" s="1"/>
      <x:c r="O85" s="1"/>
      <x:c r="P85" s="1"/>
      <x:c r="Q85" s="48">
        <x:v>1449</x:v>
      </x:c>
      <x:c r="R85" s="48">
        <x:v>2048</x:v>
      </x:c>
      <x:c r="S85" s="48">
        <x:v>3019</x:v>
      </x:c>
      <x:c r="T85" s="48">
        <x:v>1230</x:v>
      </x:c>
      <x:c r="U85" s="48">
        <x:v>4</x:v>
      </x:c>
      <x:c r="V85" s="48">
        <x:v>7750</x:v>
      </x:c>
      <x:c r="W85" s="1"/>
      <x:c r="X85" s="1"/>
      <x:c r="Y85" s="1"/>
      <x:c r="Z85" s="1"/>
    </x:row>
    <x:row r="86">
      <x:c r="B86" s="1"/>
      <x:c r="C86" s="1"/>
      <x:c r="D86" s="1"/>
      <x:c r="E86" s="1"/>
      <x:c r="F86" s="1"/>
      <x:c r="G86" s="1"/>
      <x:c r="H86" s="1"/>
      <x:c r="I86" s="1"/>
      <x:c r="J86" s="1"/>
      <x:c r="K86" s="1" t="s">
        <x:v>540</x:v>
      </x:c>
      <x:c r="L86" s="4">
        <x:v>37378</x:v>
      </x:c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 t="s">
        <x:v>541</x:v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K89" s="1"/>
      <x:c r="L89" s="1"/>
      <x:c r="M89" s="1" t="s">
        <x:v>542</x:v>
      </x:c>
      <x:c r="N89" s="1" t="s">
        <x:v>543</x:v>
      </x:c>
      <x:c r="O89" s="69" t="s">
        <x:v>524</x:v>
      </x:c>
      <x:c r="P89" s="69" t="s">
        <x:v>525</x:v>
      </x:c>
      <x:c r="Q89" s="69" t="s">
        <x:v>526</x:v>
      </x:c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K90" s="1"/>
      <x:c r="L90" s="1"/>
      <x:c r="M90" s="1" t="s">
        <x:v>125</x:v>
      </x:c>
      <x:c r="N90" s="48">
        <x:v>4025</x:v>
      </x:c>
      <x:c r="O90" s="48">
        <x:v>3072</x:v>
      </x:c>
      <x:c r="P90" s="48">
        <x:v>6260</x:v>
      </x:c>
      <x:c r="Q90" s="48">
        <x:v>2579</x:v>
      </x:c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K91" s="1"/>
      <x:c r="L91" s="1"/>
      <x:c r="M91" s="1" t="s">
        <x:v>129</x:v>
      </x:c>
      <x:c r="N91" s="48">
        <x:v>851</x:v>
      </x:c>
      <x:c r="O91" s="48">
        <x:v>644</x:v>
      </x:c>
      <x:c r="P91" s="48">
        <x:v>671</x:v>
      </x:c>
      <x:c r="Q91" s="48">
        <x:v>330</x:v>
      </x:c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K92" s="1"/>
      <x:c r="L92" s="1"/>
      <x:c r="M92" s="1" t="s">
        <x:v>544</x:v>
      </x:c>
      <x:c r="N92" s="48">
        <x:v>146</x:v>
      </x:c>
      <x:c r="O92" s="48">
        <x:v>147</x:v>
      </x:c>
      <x:c r="P92" s="48">
        <x:v>290</x:v>
      </x:c>
      <x:c r="Q92" s="48">
        <x:v>144</x:v>
      </x:c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K93" s="1"/>
      <x:c r="L93" s="1"/>
      <x:c r="M93" s="1" t="s">
        <x:v>131</x:v>
      </x:c>
      <x:c r="N93" s="48">
        <x:v>0</x:v>
      </x:c>
      <x:c r="O93" s="48">
        <x:v>0</x:v>
      </x:c>
      <x:c r="P93" s="48">
        <x:v>1</x:v>
      </x:c>
      <x:c r="Q93" s="48">
        <x:v>1</x:v>
      </x:c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K94" s="1"/>
      <x:c r="L94" s="1"/>
      <x:c r="M94" s="1" t="s">
        <x:v>162</x:v>
      </x:c>
      <x:c r="N94" s="48">
        <x:v>3959</x:v>
      </x:c>
      <x:c r="O94" s="48">
        <x:v>1789</x:v>
      </x:c>
      <x:c r="P94" s="48">
        <x:v>877</x:v>
      </x:c>
      <x:c r="Q94" s="48">
        <x:v>265</x:v>
      </x:c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</x:sheetData>
  <x:pageMargins left="0.7" right="0.7" top="0.75" bottom="0.75" header="0.3" footer="0.3"/>
</x:worksheet>
</file>