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8cf341bb7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cc56bb94c39946ae"/>
    <x:sheet xmlns:r="http://schemas.openxmlformats.org/officeDocument/2006/relationships" name="Revenue summary" sheetId="2" r:id="Rdc844323d59244dc"/>
    <x:sheet xmlns:r="http://schemas.openxmlformats.org/officeDocument/2006/relationships" name="Segment - Sales Operations" sheetId="3" r:id="R5e94e242213146d3"/>
    <x:sheet xmlns:r="http://schemas.openxmlformats.org/officeDocument/2006/relationships" name="Segment - Auto Finance" sheetId="4" r:id="R5e726f2293064e65"/>
    <x:sheet xmlns:r="http://schemas.openxmlformats.org/officeDocument/2006/relationships" name="Income Statement" sheetId="5" r:id="Rcce82866e0b245a6"/>
    <x:sheet xmlns:r="http://schemas.openxmlformats.org/officeDocument/2006/relationships" name="Balance Sheet" sheetId="6" r:id="Rf6949697931d4c2c"/>
    <x:sheet xmlns:r="http://schemas.openxmlformats.org/officeDocument/2006/relationships" name="Cash Flow Statement" sheetId="7" r:id="R7371fd013999423a"/>
    <x:sheet xmlns:r="http://schemas.openxmlformats.org/officeDocument/2006/relationships" name="Share Count" sheetId="8" r:id="R15349f3bea6e4a0f"/>
    <x:sheet xmlns:r="http://schemas.openxmlformats.org/officeDocument/2006/relationships" name="Guidance" sheetId="9" r:id="Rb2fad49921584188"/>
    <x:sheet xmlns:r="http://schemas.openxmlformats.org/officeDocument/2006/relationships" name="Sources" sheetId="10" r:id="Rbbd75f4fbb974f10"/>
    <x:sheet xmlns:r="http://schemas.openxmlformats.org/officeDocument/2006/relationships" name="Inputs" sheetId="11" r:id="R6c6fcf25e80c4a1f"/>
  </x:sheets>
</x:workbook>
</file>

<file path=xl/sharedStrings.xml><?xml version="1.0" encoding="utf-8"?>
<x:sst xmlns:x="http://schemas.openxmlformats.org/spreadsheetml/2006/main">
  <x:si>
    <x:t xml:space="preserve">CarMax, Inc.</x:t>
  </x:si>
  <x:si>
    <x:t xml:space="preserve">Cover</x:t>
  </x:si>
  <x:si>
    <x:t xml:space="preserve">$ millions, except per share</x:t>
  </x:si>
  <x:si>
    <x:t xml:space="preserve">2Q26A</x:t>
  </x:si>
  <x:si>
    <x:t xml:space="preserve">3Q26A</x:t>
  </x:si>
  <x:si>
    <x:t xml:space="preserve">4Q26A</x:t>
  </x:si>
  <x:si>
    <x:t xml:space="preserve">FY26A</x:t>
  </x:si>
  <x:si>
    <x:t xml:space="preserve">1Q27A</x:t>
  </x:si>
  <x:si>
    <x:t xml:space="preserve">2Q27E</x:t>
  </x:si>
  <x:si>
    <x:t xml:space="preserve">Company Model — built by Shortcut</x:t>
  </x:si>
  <x:si>
    <x:t xml:space="preserve">Company</x:t>
  </x:si>
  <x:si>
    <x:t xml:space="preserve">Ticker / exchange</x:t>
  </x:si>
  <x:si>
    <x:t xml:space="preserve">KMX / NYSE</x:t>
  </x:si>
  <x:si>
    <x:t xml:space="preserve">Fiscal year end</x:t>
  </x:si>
  <x:si>
    <x:t xml:space="preserve">Feb fiscal year-end</x:t>
  </x:si>
  <x:si>
    <x:t xml:space="preserve">Reporting currency / share</x:t>
  </x:si>
  <x:si>
    <x:t xml:space="preserve">USD / common share</x:t>
  </x:si>
  <x:si>
    <x:t xml:space="preserve">EPS basis</x:t>
  </x:si>
  <x:si>
    <x:t xml:space="preserve">Issuer-adjusted / CapIQ normalized diluted EPS</x:t>
  </x:si>
  <x:si>
    <x:t xml:space="preserve">Information cutoff</x:t>
  </x:si>
  <x:si>
    <x:t xml:space="preserve">2026-09-26T18:44:22.240587+00:00</x:t>
  </x:si>
  <x:si>
    <x:t xml:space="preserve">Expected report date</x:t>
  </x:si>
  <x:si>
    <x:t xml:space="preserve">Consensus captured</x:t>
  </x:si>
  <x:si>
    <x:t xml:space="preserve">Forecast vs as-of consensus</x:t>
  </x:si>
  <x:si>
    <x:t xml:space="preserve">Metric</x:t>
  </x:si>
  <x:si>
    <x:t xml:space="preserve">Our estimate</x:t>
  </x:si>
  <x:si>
    <x:t xml:space="preserve">CapIQ consensus</x:t>
  </x:si>
  <x:si>
    <x:t xml:space="preserve">Variance</x:t>
  </x:si>
  <x:si>
    <x:t xml:space="preserve">Guidance midpoint</x:t>
  </x:si>
  <x:si>
    <x:t xml:space="preserve">Net sales and operating revenue ($m)</x:t>
  </x:si>
  <x:si>
    <x:t xml:space="preserve">Normalized net earnings ($m)</x:t>
  </x:si>
  <x:si>
    <x:t xml:space="preserve">unavailable</x:t>
  </x:si>
  <x:si>
    <x:t xml:space="preserve">Normalized diluted EPS ($)</x:t>
  </x:si>
  <x:si>
    <x:t xml:space="preserve">GAAP diluted EPS ($)</x:t>
  </x:si>
  <x:si>
    <x:t xml:space="preserve">P(beat consensus EPS)</x:t>
  </x:si>
  <x:si>
    <x:t xml:space="preserve">Confidence</x:t>
  </x:si>
  <x:si>
    <x:t xml:space="preserve">low</x:t>
  </x:si>
  <x:si>
    <x:t xml:space="preserve">GAAP net earnings ($m)</x:t>
  </x:si>
  <x:si>
    <x:t xml:space="preserve">Overall model check</x:t>
  </x:si>
  <x:si>
    <x:t xml:space="preserve">Forecast basis note</x:t>
  </x:si>
  <x:si>
    <x:t xml:space="preserve">see J30</x:t>
  </x:si>
  <x:si>
    <x:t xml:space="preserve">Normalized estimate excludes forecast exceptional charges (zero); GAAP and adjusted EPS coincide.</x:t>
  </x:si>
  <x:si>
    <x:t xml:space="preserve">Revenue summary</x:t>
  </x:si>
  <x:si>
    <x:t xml:space="preserve">REPORTED SEGMENTS</x:t>
  </x:si>
  <x:si>
    <x:t xml:space="preserve">CarMax Sales Operations net sales</x:t>
  </x:si>
  <x:si>
    <x:t xml:space="preserve">  Y/Y</x:t>
  </x:si>
  <x:si>
    <x:t xml:space="preserve">  Q/Q</x:t>
  </x:si>
  <x:si>
    <x:t xml:space="preserve">  % of total revenue</x:t>
  </x:si>
  <x:si>
    <x:t xml:space="preserve">CarMax Auto Finance interest revenue¹</x:t>
  </x:si>
  <x:si>
    <x:t xml:space="preserve">  % of total net sales</x:t>
  </x:si>
  <x:si>
    <x:t xml:space="preserve">Less: CAF finance revenue excluded from consolidated net sales</x:t>
  </x:si>
  <x:si>
    <x:t xml:space="preserve">Total net sales and operating revenue</x:t>
  </x:si>
  <x:si>
    <x:t xml:space="preserve">  Retail vehicle mix of sales</x:t>
  </x:si>
  <x:si>
    <x:t xml:space="preserve">Retail used vehicle revenue</x:t>
  </x:si>
  <x:si>
    <x:t xml:space="preserve">Wholesale vehicle revenue</x:t>
  </x:si>
  <x:si>
    <x:t xml:space="preserve">Other sales and operating revenues</x:t>
  </x:si>
  <x:si>
    <x:t xml:space="preserve">  EPP revenue</x:t>
  </x:si>
  <x:si>
    <x:t xml:space="preserve">  Third-party financing fees</x:t>
  </x:si>
  <x:si>
    <x:t xml:space="preserve">  Advertising / subscription</x:t>
  </x:si>
  <x:si>
    <x:t xml:space="preserve">  Other service and repair</x:t>
  </x:si>
  <x:si>
    <x:t xml:space="preserve">  Component rounding / SEC reconciliation</x:t>
  </x:si>
  <x:si>
    <x:t xml:space="preserve">Segments / consolidated net sales check</x:t>
  </x:si>
  <x:si>
    <x:t xml:space="preserve">U.S. operating focus — no geographic revenue split disclosed</x:t>
  </x:si>
  <x:si>
    <x:t xml:space="preserve">¹ CAF interest and fees are finance income, NOT part of net sales</x:t>
  </x:si>
  <x:si>
    <x:t xml:space="preserve">Retail vehicles sold (units)</x:t>
  </x:si>
  <x:si>
    <x:t xml:space="preserve">Wholesale vehicles sold (units)</x:t>
  </x:si>
  <x:si>
    <x:t xml:space="preserve">US used vehicle industry Aug 2026 sales Y/Y</x:t>
  </x:si>
  <x:si>
    <x:t xml:space="preserve">US used vehicle average listing price Aug 2026 Y/Y</x:t>
  </x:si>
  <x:si>
    <x:t xml:space="preserve">Y/Y REVENUE BRIDGES (no M&amp;A or FX disclosed)</x:t>
  </x:si>
  <x:si>
    <x:t xml:space="preserve">  Sales Operations — organic growth</x:t>
  </x:si>
  <x:si>
    <x:t xml:space="preserve">    M&amp;A / scope impact</x:t>
  </x:si>
  <x:si>
    <x:t xml:space="preserve">    FX effect</x:t>
  </x:si>
  <x:si>
    <x:t xml:space="preserve">    Total Y/Y growth</x:t>
  </x:si>
  <x:si>
    <x:t xml:space="preserve">  CAF interest and fee revenue — organic growth</x:t>
  </x:si>
  <x:si>
    <x:t xml:space="preserve">  Consolidated net sales — organic growth</x:t>
  </x:si>
  <x:si>
    <x:t xml:space="preserve">  Retail used vehicle revenue — organic growth</x:t>
  </x:si>
  <x:si>
    <x:t xml:space="preserve">  Wholesale vehicle revenue — organic growth</x:t>
  </x:si>
  <x:si>
    <x:t xml:space="preserve">  Other sales and operating revenue — organic growth</x:t>
  </x:si>
  <x:si>
    <x:t xml:space="preserve">  EPP revenue — organic growth</x:t>
  </x:si>
  <x:si>
    <x:t xml:space="preserve">  Third-party finance fees — organic growth</x:t>
  </x:si>
  <x:si>
    <x:t xml:space="preserve">  Advertising and subscription — organic growth</x:t>
  </x:si>
  <x:si>
    <x:t xml:space="preserve">  Other repair/service revenue — organic growth</x:t>
  </x:si>
  <x:si>
    <x:t xml:space="preserve">Segment - Sales Operations</x:t>
  </x:si>
  <x:si>
    <x:t xml:space="preserve">RETAIL VEHICLES</x:t>
  </x:si>
  <x:si>
    <x:t xml:space="preserve">Retail used vehicles sold (units)</x:t>
  </x:si>
  <x:si>
    <x:t xml:space="preserve">  Y/Y units change</x:t>
  </x:si>
  <x:si>
    <x:t xml:space="preserve">  Sequential units change</x:t>
  </x:si>
  <x:si>
    <x:t xml:space="preserve">Average retail price ($/vehicle)</x:t>
  </x:si>
  <x:si>
    <x:t xml:space="preserve">  Y/Y ASP change</x:t>
  </x:si>
  <x:si>
    <x:t xml:space="preserve">  Sequential ASP change</x:t>
  </x:si>
  <x:si>
    <x:t xml:space="preserve">Retail used-vehicle sales</x:t>
  </x:si>
  <x:si>
    <x:t xml:space="preserve">  Organic growth</x:t>
  </x:si>
  <x:si>
    <x:t xml:space="preserve">  M&amp;A / scope</x:t>
  </x:si>
  <x:si>
    <x:t xml:space="preserve">  FX impact</x:t>
  </x:si>
  <x:si>
    <x:t xml:space="preserve">  Total Y/Y growth</x:t>
  </x:si>
  <x:si>
    <x:t xml:space="preserve">WHOLESALE VEHICLES</x:t>
  </x:si>
  <x:si>
    <x:t xml:space="preserve">Average wholesale price ($/vehicle)</x:t>
  </x:si>
  <x:si>
    <x:t xml:space="preserve">Wholesale vehicle sales</x:t>
  </x:si>
  <x:si>
    <x:t xml:space="preserve">Extended protection plan revenues</x:t>
  </x:si>
  <x:si>
    <x:t xml:space="preserve">Third-party finance fees, net</x:t>
  </x:si>
  <x:si>
    <x:t xml:space="preserve">Vehicle financing fee modeled on disclosed retail units and a forecast fee per unit; source has no separate transaction count.</x:t>
  </x:si>
  <x:si>
    <x:t xml:space="preserve">Advertising and subscription revenue</x:t>
  </x:si>
  <x:si>
    <x:t xml:space="preserve">Advertising/subscription revenue per total sold vehicles is an analyst assumption, not company guidance.</x:t>
  </x:si>
  <x:si>
    <x:t xml:space="preserve">Other service and repair revenue</x:t>
  </x:si>
  <x:si>
    <x:t xml:space="preserve">Other repair/services per retail vehicle is an analyst assumption; issuer does not disclose distinct transaction volumes.</x:t>
  </x:si>
  <x:si>
    <x:t xml:space="preserve">Other sales and revenues subtotal</x:t>
  </x:si>
  <x:si>
    <x:t xml:space="preserve">Disclosed component rounding</x:t>
  </x:si>
  <x:si>
    <x:t xml:space="preserve">Sales Operations segment revenue</x:t>
  </x:si>
  <x:si>
    <x:t xml:space="preserve">Retail used gross profit</x:t>
  </x:si>
  <x:si>
    <x:t xml:space="preserve">Wholesale vehicle gross profit</x:t>
  </x:si>
  <x:si>
    <x:t xml:space="preserve">Other gross profit</x:t>
  </x:si>
  <x:si>
    <x:t xml:space="preserve">Sales Operations gross profit</x:t>
  </x:si>
  <x:si>
    <x:t xml:space="preserve">Retail gross profit per vehicle ($)</x:t>
  </x:si>
  <x:si>
    <x:t xml:space="preserve">  Retail GPU Y/Y change ($)</x:t>
  </x:si>
  <x:si>
    <x:t xml:space="preserve">  Retail GPU sequential change ($)</x:t>
  </x:si>
  <x:si>
    <x:t xml:space="preserve">Wholesale gross profit per vehicle ($)</x:t>
  </x:si>
  <x:si>
    <x:t xml:space="preserve">  Wholesale GPU Y/Y change ($)</x:t>
  </x:si>
  <x:si>
    <x:t xml:space="preserve">  Wholesale GPU sequential change ($)</x:t>
  </x:si>
  <x:si>
    <x:t xml:space="preserve">EPP revenue per retail vehicle ($)</x:t>
  </x:si>
  <x:si>
    <x:t xml:space="preserve">  EPP revenue/unit Y/Y change ($)</x:t>
  </x:si>
  <x:si>
    <x:t xml:space="preserve">  EPP revenue/unit sequential change ($)</x:t>
  </x:si>
  <x:si>
    <x:t xml:space="preserve">Comparable-store retail units change (%)</x:t>
  </x:si>
  <x:si>
    <x:t xml:space="preserve">  Comparable-store unit growth Y/Y (bp)</x:t>
  </x:si>
  <x:si>
    <x:t xml:space="preserve">  Comparable-store unit growth sequential (bp)</x:t>
  </x:si>
  <x:si>
    <x:t xml:space="preserve">CAF penetration of financed retail vehicles</x:t>
  </x:si>
  <x:si>
    <x:t xml:space="preserve">  CAF financed penetration Y/Y (bp)</x:t>
  </x:si>
  <x:si>
    <x:t xml:space="preserve">  CAF financed penetration sequential (bp)</x:t>
  </x:si>
  <x:si>
    <x:t xml:space="preserve">Digital-enabled share of retail units</x:t>
  </x:si>
  <x:si>
    <x:t xml:space="preserve">  Digitally enabled retail share Y/Y (bp)</x:t>
  </x:si>
  <x:si>
    <x:t xml:space="preserve">  Digitally enabled retail share sequential (bp)</x:t>
  </x:si>
  <x:si>
    <x:t xml:space="preserve">Fully online retail units share</x:t>
  </x:si>
  <x:si>
    <x:t xml:space="preserve">  Fully online retail share Y/Y (bp)</x:t>
  </x:si>
  <x:si>
    <x:t xml:space="preserve">  Fully online retail share sequential (bp)</x:t>
  </x:si>
  <x:si>
    <x:t xml:space="preserve">Vehicles acquired from consumers (000s)</x:t>
  </x:si>
  <x:si>
    <x:t xml:space="preserve">  Consumers acquired (000s) Y/Y change</x:t>
  </x:si>
  <x:si>
    <x:t xml:space="preserve">  Consumers acquired (000s) sequential change</x:t>
  </x:si>
  <x:si>
    <x:t xml:space="preserve">Vehicles acquired from dealers (000s)</x:t>
  </x:si>
  <x:si>
    <x:t xml:space="preserve">  Dealer-acquired (000s) Y/Y change</x:t>
  </x:si>
  <x:si>
    <x:t xml:space="preserve">  Dealer-acquired (000s) sequential change</x:t>
  </x:si>
  <x:si>
    <x:t xml:space="preserve">Gross profit margin</x:t>
  </x:si>
  <x:si>
    <x:t xml:space="preserve">  Y/Y gross margin change (bp)</x:t>
  </x:si>
  <x:si>
    <x:t xml:space="preserve">  Q/Q gross margin change (bp)</x:t>
  </x:si>
  <x:si>
    <x:t xml:space="preserve">Total vehicle units</x:t>
  </x:si>
  <x:si>
    <x:t xml:space="preserve">  Y/Y unit change</x:t>
  </x:si>
  <x:si>
    <x:t xml:space="preserve">  Sequential unit change</x:t>
  </x:si>
  <x:si>
    <x:t xml:space="preserve">US business / primary market</x:t>
  </x:si>
  <x:si>
    <x:t xml:space="preserve">Segment revenue reconciliation check</x:t>
  </x:si>
  <x:si>
    <x:t xml:space="preserve">Omni-channel share of retail units</x:t>
  </x:si>
  <x:si>
    <x:t xml:space="preserve">  Omnichannel retail share Y/Y (bp)</x:t>
  </x:si>
  <x:si>
    <x:t xml:space="preserve">  Omnichannel retail share sequential (bp)</x:t>
  </x:si>
  <x:si>
    <x:t xml:space="preserve">Total purchased vehicles (000s)</x:t>
  </x:si>
  <x:si>
    <x:t xml:space="preserve">ADDITIONAL PRODUCT GROWTH BRIDGES</x:t>
  </x:si>
  <x:si>
    <x:t xml:space="preserve">  Third-party finance fees: organic Y/Y</x:t>
  </x:si>
  <x:si>
    <x:t xml:space="preserve">    M&amp;A / scope</x:t>
  </x:si>
  <x:si>
    <x:t xml:space="preserve">    FX impact</x:t>
  </x:si>
  <x:si>
    <x:t xml:space="preserve">    Total Y/Y</x:t>
  </x:si>
  <x:si>
    <x:t xml:space="preserve">  Advertising/subscription: organic Y/Y</x:t>
  </x:si>
  <x:si>
    <x:t xml:space="preserve">  Other service/repair: organic Y/Y</x:t>
  </x:si>
  <x:si>
    <x:t xml:space="preserve">Third-party finance fee per retail unit ($)</x:t>
  </x:si>
  <x:si>
    <x:t xml:space="preserve">  Financing fee/retail unit Y/Y change ($)</x:t>
  </x:si>
  <x:si>
    <x:t xml:space="preserve">  Financing fee/retail unit sequential change ($)</x:t>
  </x:si>
  <x:si>
    <x:t xml:space="preserve">Advertising/subscription revenue per total vehicle ($)</x:t>
  </x:si>
  <x:si>
    <x:t xml:space="preserve">  Ads / total vehicle Y/Y change ($)</x:t>
  </x:si>
  <x:si>
    <x:t xml:space="preserve">  Ads / total vehicle sequential change ($)</x:t>
  </x:si>
  <x:si>
    <x:t xml:space="preserve">Other service/repair revenue per retail unit ($)</x:t>
  </x:si>
  <x:si>
    <x:t xml:space="preserve">  Other service / retail unit Y/Y change ($)</x:t>
  </x:si>
  <x:si>
    <x:t xml:space="preserve">  Other service / retail unit sequential change ($)</x:t>
  </x:si>
  <x:si>
    <x:t xml:space="preserve">Segment - Auto Finance</x:t>
  </x:si>
  <x:si>
    <x:t xml:space="preserve">CAF REVENUE AND INTEREST MARGIN</x:t>
  </x:si>
  <x:si>
    <x:t xml:space="preserve">Interest and fee income (CAF revenue)</x:t>
  </x:si>
  <x:si>
    <x:t xml:space="preserve">  Y/Y change</x:t>
  </x:si>
  <x:si>
    <x:t xml:space="preserve">  Sequential change</x:t>
  </x:si>
  <x:si>
    <x:t xml:space="preserve">  FX effect</x:t>
  </x:si>
  <x:si>
    <x:t xml:space="preserve">Interest expense on securitized funding</x:t>
  </x:si>
  <x:si>
    <x:t xml:space="preserve">Net interest margin</x:t>
  </x:si>
  <x:si>
    <x:t xml:space="preserve">Provision for loan losses</x:t>
  </x:si>
  <x:si>
    <x:t xml:space="preserve">Net interest margin after provision</x:t>
  </x:si>
  <x:si>
    <x:t xml:space="preserve">Servicing income</x:t>
  </x:si>
  <x:si>
    <x:t xml:space="preserve">Direct operating expense</x:t>
  </x:si>
  <x:si>
    <x:t xml:space="preserve">Gain (loss) on loan sales</x:t>
  </x:si>
  <x:si>
    <x:t xml:space="preserve">Fair-value adjustments</x:t>
  </x:si>
  <x:si>
    <x:t xml:space="preserve">CarMax Auto Finance segment income</x:t>
  </x:si>
  <x:si>
    <x:t xml:space="preserve">  Segment income Y/Y growth</x:t>
  </x:si>
  <x:si>
    <x:t xml:space="preserve">Average auto loans outstanding</x:t>
  </x:si>
  <x:si>
    <x:t xml:space="preserve">Opening net loans (incl. held for sale)</x:t>
  </x:si>
  <x:si>
    <x:t xml:space="preserve">Gross loan originations</x:t>
  </x:si>
  <x:si>
    <x:t xml:space="preserve">  Gross originations Y/Y change ($m)</x:t>
  </x:si>
  <x:si>
    <x:t xml:space="preserve">  Gross originations sequential change ($m)</x:t>
  </x:si>
  <x:si>
    <x:t xml:space="preserve">Loan repayments, sales and writeoffs</x:t>
  </x:si>
  <x:si>
    <x:t xml:space="preserve">Gross originations follow units and penetration; $2,076.7m expected paydowns/sales are an analyst assumption in Inputs!H231. Net portfolio changes by approximately ($6m), with separately forecast cash-flow and credit reclassification on the balance sheet.</x:t>
  </x:si>
  <x:si>
    <x:t xml:space="preserve">  Paydowns Y/Y change ($m)</x:t>
  </x:si>
  <x:si>
    <x:t xml:space="preserve">  Paydowns sequential change ($m)</x:t>
  </x:si>
  <x:si>
    <x:t xml:space="preserve">Closing net loans (incl. held for sale)</x:t>
  </x:si>
  <x:si>
    <x:t xml:space="preserve">  Closing loan portfolio Y/Y ($m)</x:t>
  </x:si>
  <x:si>
    <x:t xml:space="preserve">  Closing loan portfolio sequential ($m)</x:t>
  </x:si>
  <x:si>
    <x:t xml:space="preserve">Average period balance as disclosed</x:t>
  </x:si>
  <x:si>
    <x:t xml:space="preserve">Loss provision / average loans</x:t>
  </x:si>
  <x:si>
    <x:t xml:space="preserve">  Y/Y change (bp)</x:t>
  </x:si>
  <x:si>
    <x:t xml:space="preserve">  Q/Q change in provision rate (bp)</x:t>
  </x:si>
  <x:si>
    <x:t xml:space="preserve">Net CAF retail penetration</x:t>
  </x:si>
  <x:si>
    <x:t xml:space="preserve">  Q/Q change (bp)</x:t>
  </x:si>
  <x:si>
    <x:t xml:space="preserve">Weighted average contract rate</x:t>
  </x:si>
  <x:si>
    <x:t xml:space="preserve">  Sequential contract rate (bp)</x:t>
  </x:si>
  <x:si>
    <x:t xml:space="preserve">Ending allowance for losses</x:t>
  </x:si>
  <x:si>
    <x:t xml:space="preserve">  Allowance Y/Y change ($m)</x:t>
  </x:si>
  <x:si>
    <x:t xml:space="preserve">  Allowance sequential change ($m)</x:t>
  </x:si>
  <x:si>
    <x:t xml:space="preserve">CAF customer accounts — opening (000s)</x:t>
  </x:si>
  <x:si>
    <x:t xml:space="preserve">Opening and gross/closed serviced accounts not disclosed in issuer May 2026 Form 10-Q; reported closing 1.1 million only. Do not infer churn.</x:t>
  </x:si>
  <x:si>
    <x:t xml:space="preserve">New accounts, gross additions (000s)</x:t>
  </x:si>
  <x:si>
    <x:t xml:space="preserve">Closed/churned accounts (000s)</x:t>
  </x:si>
  <x:si>
    <x:t xml:space="preserve">Net account additions (000s)</x:t>
  </x:si>
  <x:si>
    <x:t xml:space="preserve">CAF customer accounts — closing (000s)</x:t>
  </x:si>
  <x:si>
    <x:t xml:space="preserve">Average accounts / churn rate disclosure</x:t>
  </x:si>
  <x:si>
    <x:t xml:space="preserve">CAF ending loans vs balance sheet CHECK</x:t>
  </x:si>
  <x:si>
    <x:t xml:space="preserve">  Funding cost Y/Y change</x:t>
  </x:si>
  <x:si>
    <x:t xml:space="preserve">  Funding cost sequential change</x:t>
  </x:si>
  <x:si>
    <x:t xml:space="preserve">  Loss provision Y/Y change</x:t>
  </x:si>
  <x:si>
    <x:t xml:space="preserve">  Loss provision sequential change</x:t>
  </x:si>
  <x:si>
    <x:t xml:space="preserve">  Fee income Y/Y absolute change</x:t>
  </x:si>
  <x:si>
    <x:t xml:space="preserve">  Fee income sequential change</x:t>
  </x:si>
  <x:si>
    <x:t xml:space="preserve">  CAF segment income sequential change</x:t>
  </x:si>
  <x:si>
    <x:t xml:space="preserve">  CAF average loans sequential change</x:t>
  </x:si>
  <x:si>
    <x:t xml:space="preserve">  CAF interest-margin yield annualized</x:t>
  </x:si>
  <x:si>
    <x:t xml:space="preserve">    Y/Y interest-margin yield change (bp)</x:t>
  </x:si>
  <x:si>
    <x:t xml:space="preserve">    Q/Q interest-margin yield change (bp)</x:t>
  </x:si>
  <x:si>
    <x:t xml:space="preserve">  Provision / retail vehicle ($)</x:t>
  </x:si>
  <x:si>
    <x:t xml:space="preserve">    Y/Y provision per unit ($)</x:t>
  </x:si>
  <x:si>
    <x:t xml:space="preserve">    Q/Q provision per unit ($)</x:t>
  </x:si>
  <x:si>
    <x:t xml:space="preserve">Income Statement</x:t>
  </x:si>
  <x:si>
    <x:t xml:space="preserve">GAAP CONSOLIDATED RESULTS</x:t>
  </x:si>
  <x:si>
    <x:t xml:space="preserve">Net sales and operating revenues</x:t>
  </x:si>
  <x:si>
    <x:t xml:space="preserve">  Y/Y growth</x:t>
  </x:si>
  <x:si>
    <x:t xml:space="preserve">Retail used vehicle cost of sales</x:t>
  </x:si>
  <x:si>
    <x:t xml:space="preserve">Wholesale vehicle cost of sales</x:t>
  </x:si>
  <x:si>
    <x:t xml:space="preserve">Other services / EPP cost of sales</x:t>
  </x:si>
  <x:si>
    <x:t xml:space="preserve">Total cost of sales</x:t>
  </x:si>
  <x:si>
    <x:t xml:space="preserve">Gross profit</x:t>
  </x:si>
  <x:si>
    <x:t xml:space="preserve">  Gross profit / revenue</x:t>
  </x:si>
  <x:si>
    <x:t xml:space="preserve">  Y/Y change in margin (bp)</x:t>
  </x:si>
  <x:si>
    <x:t xml:space="preserve">CarMax Auto Finance income</x:t>
  </x:si>
  <x:si>
    <x:t xml:space="preserve">Compensation and benefits, excluding stock compensation</x:t>
  </x:si>
  <x:si>
    <x:t xml:space="preserve">Share-based compensation</x:t>
  </x:si>
  <x:si>
    <x:t xml:space="preserve">Total compensation and benefits</x:t>
  </x:si>
  <x:si>
    <x:t xml:space="preserve">Occupancy costs</x:t>
  </x:si>
  <x:si>
    <x:t xml:space="preserve">Advertising spend</x:t>
  </x:si>
  <x:si>
    <x:t xml:space="preserve">Other SG&amp;A overhead</x:t>
  </x:si>
  <x:si>
    <x:t xml:space="preserve">Total selling, general and administrative expense</x:t>
  </x:si>
  <x:si>
    <x:t xml:space="preserve">Depreciation and amortization</x:t>
  </x:si>
  <x:si>
    <x:t xml:space="preserve">Noncash goodwill impairment</x:t>
  </x:si>
  <x:si>
    <x:t xml:space="preserve">Corporate interest expense</x:t>
  </x:si>
  <x:si>
    <x:t xml:space="preserve">Other income (expense)</x:t>
  </x:si>
  <x:si>
    <x:t xml:space="preserve">Reported precision / rounding</x:t>
  </x:si>
  <x:si>
    <x:t xml:space="preserve">Earnings before income taxes</x:t>
  </x:si>
  <x:si>
    <x:t xml:space="preserve">Income tax provision</x:t>
  </x:si>
  <x:si>
    <x:t xml:space="preserve">GAAP net earnings (loss)</x:t>
  </x:si>
  <x:si>
    <x:t xml:space="preserve">  Net margin</x:t>
  </x:si>
  <x:si>
    <x:t xml:space="preserve">  Y/Y growth in net earnings</x:t>
  </x:si>
  <x:si>
    <x:t xml:space="preserve">Basic weighted average common shares (m)</x:t>
  </x:si>
  <x:si>
    <x:t xml:space="preserve">Diluted weighted average common shares (m)</x:t>
  </x:si>
  <x:si>
    <x:t xml:space="preserve">GAAP basic earnings per share</x:t>
  </x:si>
  <x:si>
    <x:t xml:space="preserve">GAAP diluted earnings per share</x:t>
  </x:si>
  <x:si>
    <x:t xml:space="preserve">GAAP → NORMALIZED (issuer-reconciled)</x:t>
  </x:si>
  <x:si>
    <x:t xml:space="preserve">Add: impairment charges per diluted share</x:t>
  </x:si>
  <x:si>
    <x:t xml:space="preserve">Add: restructuring charges per diluted share</x:t>
  </x:si>
  <x:si>
    <x:t xml:space="preserve">Income tax impact of adjustments per diluted share</x:t>
  </x:si>
  <x:si>
    <x:t xml:space="preserve">Normalized earnings per diluted share</x:t>
  </x:si>
  <x:si>
    <x:t xml:space="preserve">Normalized net earnings attributable ($m)</x:t>
  </x:si>
  <x:si>
    <x:t xml:space="preserve">EPS = normalized net earnings / diluted shares check</x:t>
  </x:si>
  <x:si>
    <x:t xml:space="preserve">GAAP EPS = net earnings / diluted shares check</x:t>
  </x:si>
  <x:si>
    <x:t xml:space="preserve">Balance Sheet</x:t>
  </x:si>
  <x:si>
    <x:t xml:space="preserve">ASSETS</x:t>
  </x:si>
  <x:si>
    <x:t xml:space="preserve">Cash and cash equivalents</x:t>
  </x:si>
  <x:si>
    <x:t xml:space="preserve">Restricted cash: loan collections</x:t>
  </x:si>
  <x:si>
    <x:t xml:space="preserve">Other restricted cash — memorandum, not in total assets</x:t>
  </x:si>
  <x:si>
    <x:t xml:space="preserve">Auto loans held for sale</x:t>
  </x:si>
  <x:si>
    <x:t xml:space="preserve">Accounts receivable, net</x:t>
  </x:si>
  <x:si>
    <x:t xml:space="preserve">Vehicle inventory</x:t>
  </x:si>
  <x:si>
    <x:t xml:space="preserve">Other current assets</x:t>
  </x:si>
  <x:si>
    <x:t xml:space="preserve">Total current assets</x:t>
  </x:si>
  <x:si>
    <x:t xml:space="preserve">Auto loans held for investment, net</x:t>
  </x:si>
  <x:si>
    <x:t xml:space="preserve">Property and equipment, net</x:t>
  </x:si>
  <x:si>
    <x:t xml:space="preserve">Deferred income-tax assets</x:t>
  </x:si>
  <x:si>
    <x:t xml:space="preserve">Operating lease assets</x:t>
  </x:si>
  <x:si>
    <x:t xml:space="preserve">Goodwill</x:t>
  </x:si>
  <x:si>
    <x:t xml:space="preserve">Other noncurrent assets</x:t>
  </x:si>
  <x:si>
    <x:t xml:space="preserve">Total assets</x:t>
  </x:si>
  <x:si>
    <x:t xml:space="preserve">LIABILITIES AND SHAREHOLDERS’ EQUITY</x:t>
  </x:si>
  <x:si>
    <x:t xml:space="preserve">Accounts payable</x:t>
  </x:si>
  <x:si>
    <x:t xml:space="preserve">Accrued expenses and other current liabilities</x:t>
  </x:si>
  <x:si>
    <x:t xml:space="preserve">Income taxes payable</x:t>
  </x:si>
  <x:si>
    <x:t xml:space="preserve">Current operating lease liabilities</x:t>
  </x:si>
  <x:si>
    <x:t xml:space="preserve">Current long-term debt</x:t>
  </x:si>
  <x:si>
    <x:t xml:space="preserve">Current non-recourse notes payable</x:t>
  </x:si>
  <x:si>
    <x:t xml:space="preserve">Total current liabilities</x:t>
  </x:si>
  <x:si>
    <x:t xml:space="preserve">Long-term debt (excluding current)</x:t>
  </x:si>
  <x:si>
    <x:t xml:space="preserve">Non-recourse notes payable (excluding current)</x:t>
  </x:si>
  <x:si>
    <x:t xml:space="preserve">Noncurrent operating lease liabilities</x:t>
  </x:si>
  <x:si>
    <x:t xml:space="preserve">Other noncurrent liabilities</x:t>
  </x:si>
  <x:si>
    <x:t xml:space="preserve">Total liabilities</x:t>
  </x:si>
  <x:si>
    <x:t xml:space="preserve">Common stock</x:t>
  </x:si>
  <x:si>
    <x:t xml:space="preserve">Additional paid-in capital</x:t>
  </x:si>
  <x:si>
    <x:t xml:space="preserve">Other comprehensive income / (loss)</x:t>
  </x:si>
  <x:si>
    <x:t xml:space="preserve">Retained earnings</x:t>
  </x:si>
  <x:si>
    <x:t xml:space="preserve">Total shareholders’ equity</x:t>
  </x:si>
  <x:si>
    <x:t xml:space="preserve">Assets − liabilities − equity CHECK</x:t>
  </x:si>
  <x:si>
    <x:t xml:space="preserve">Finance-loan portfolio (investment and sale)</x:t>
  </x:si>
  <x:si>
    <x:t xml:space="preserve">Cash Flow Statement</x:t>
  </x:si>
  <x:si>
    <x:t xml:space="preserve">OPERATING CASH FLOW</x:t>
  </x:si>
  <x:si>
    <x:t xml:space="preserve">GAAP net earnings</x:t>
  </x:si>
  <x:si>
    <x:t xml:space="preserve">Depreciation and amortization (income-statement basis)</x:t>
  </x:si>
  <x:si>
    <x:t xml:space="preserve">Noncash and WC subtotal less IS D&amp;A (details rows 32–47)</x:t>
  </x:si>
  <x:si>
    <x:t xml:space="preserve">Cash provided by operating activities</x:t>
  </x:si>
  <x:si>
    <x:t xml:space="preserve">INVESTING CASH FLOW</x:t>
  </x:si>
  <x:si>
    <x:t xml:space="preserve">Capital spending and investments, net</x:t>
  </x:si>
  <x:si>
    <x:t xml:space="preserve">Cash used in investing activities</x:t>
  </x:si>
  <x:si>
    <x:t xml:space="preserve">FINANCING CASH FLOW</x:t>
  </x:si>
  <x:si>
    <x:t xml:space="preserve">Financing, debt funding and share repurchases, net</x:t>
  </x:si>
  <x:si>
    <x:t xml:space="preserve">Cash from (used in) financing</x:t>
  </x:si>
  <x:si>
    <x:t xml:space="preserve">Net change in cash including restricted cash</x:t>
  </x:si>
  <x:si>
    <x:t xml:space="preserve">Beginning cash including restricted cash</x:t>
  </x:si>
  <x:si>
    <x:t xml:space="preserve">Ending cash including restricted cash</x:t>
  </x:si>
  <x:si>
    <x:t xml:space="preserve">Balance sheet cash / cash equivalents</x:t>
  </x:si>
  <x:si>
    <x:t xml:space="preserve">Restricted collections on auto loans</x:t>
  </x:si>
  <x:si>
    <x:t xml:space="preserve">Other cash restricted in securitization vehicles</x:t>
  </x:si>
  <x:si>
    <x:t xml:space="preserve">Cash flow to balance sheet check</x:t>
  </x:si>
  <x:si>
    <x:t xml:space="preserve">Operating cash flow source check</x:t>
  </x:si>
  <x:si>
    <x:t xml:space="preserve">Change in cash check</x:t>
  </x:si>
  <x:si>
    <x:t xml:space="preserve">Capital expenditures only (not all investing cash)</x:t>
  </x:si>
  <x:si>
    <x:t xml:space="preserve">DETAIL — OPERATING ACTIVITIES</x:t>
  </x:si>
  <x:si>
    <x:t xml:space="preserve">Operating depreciation and loan amortization</x:t>
  </x:si>
  <x:si>
    <x:t xml:space="preserve">Cancellation-reserve provision</x:t>
  </x:si>
  <x:si>
    <x:t xml:space="preserve">Deferred income tax provision / benefit</x:t>
  </x:si>
  <x:si>
    <x:t xml:space="preserve">Proceeds from loan sale</x:t>
  </x:si>
  <x:si>
    <x:t xml:space="preserve">Goodwill impairment noncash addback</x:t>
  </x:si>
  <x:si>
    <x:t xml:space="preserve">Other noncash operating items</x:t>
  </x:si>
  <x:si>
    <x:t xml:space="preserve">Change in receivables</x:t>
  </x:si>
  <x:si>
    <x:t xml:space="preserve">Change in loans held for sale</x:t>
  </x:si>
  <x:si>
    <x:t xml:space="preserve">Change in inventory</x:t>
  </x:si>
  <x:si>
    <x:t xml:space="preserve">Change in other current assets</x:t>
  </x:si>
  <x:si>
    <x:t xml:space="preserve">Change in loans held for investment</x:t>
  </x:si>
  <x:si>
    <x:t xml:space="preserve">Change in other assets</x:t>
  </x:si>
  <x:si>
    <x:t xml:space="preserve">Change in accounts payable / accruals</x:t>
  </x:si>
  <x:si>
    <x:t xml:space="preserve">Change in other liabilities</x:t>
  </x:si>
  <x:si>
    <x:t xml:space="preserve">Subtotal: noncash and working capital</x:t>
  </x:si>
  <x:si>
    <x:t xml:space="preserve">Operating subtotal ties CFO check</x:t>
  </x:si>
  <x:si>
    <x:t xml:space="preserve">DETAIL — INVESTING ACTIVITIES</x:t>
  </x:si>
  <x:si>
    <x:t xml:space="preserve">Capital expenditure</x:t>
  </x:si>
  <x:si>
    <x:t xml:space="preserve">Proceeds from asset sales</x:t>
  </x:si>
  <x:si>
    <x:t xml:space="preserve">Investment purchases</x:t>
  </x:si>
  <x:si>
    <x:t xml:space="preserve">Investment sales / returns</x:t>
  </x:si>
  <x:si>
    <x:t xml:space="preserve">Beneficial-interest receipts</x:t>
  </x:si>
  <x:si>
    <x:t xml:space="preserve">Subtotal: investing cash flows</x:t>
  </x:si>
  <x:si>
    <x:t xml:space="preserve">Investing subtotal ties CFI check</x:t>
  </x:si>
  <x:si>
    <x:t xml:space="preserve">DETAIL — FINANCING ACTIVITIES</x:t>
  </x:si>
  <x:si>
    <x:t xml:space="preserve">Proceeds from long-term borrowing</x:t>
  </x:si>
  <x:si>
    <x:t xml:space="preserve">Payments on long-term borrowing</x:t>
  </x:si>
  <x:si>
    <x:t xml:space="preserve">Debt issuance fees paid</x:t>
  </x:si>
  <x:si>
    <x:t xml:space="preserve">Finance lease obligations paid</x:t>
  </x:si>
  <x:si>
    <x:t xml:space="preserve">Non-recourse note issuances</x:t>
  </x:si>
  <x:si>
    <x:t xml:space="preserve">Non-recourse notes repaid</x:t>
  </x:si>
  <x:si>
    <x:t xml:space="preserve">Shares repurchased / retired</x:t>
  </x:si>
  <x:si>
    <x:t xml:space="preserve">Equity issued / employee shares</x:t>
  </x:si>
  <x:si>
    <x:t xml:space="preserve">Subtotal: financing cash flows</x:t>
  </x:si>
  <x:si>
    <x:t xml:space="preserve">Financing subtotal ties CFF check</x:t>
  </x:si>
  <x:si>
    <x:t xml:space="preserve">Share Count</x:t>
  </x:si>
  <x:si>
    <x:t xml:space="preserve">SHARES / CAPITAL RETURN</x:t>
  </x:si>
  <x:si>
    <x:t xml:space="preserve">Dilution from outstanding awards (m)</x:t>
  </x:si>
  <x:si>
    <x:t xml:space="preserve">Diluted weighted average shares (m)</x:t>
  </x:si>
  <x:si>
    <x:t xml:space="preserve">Shares used in normalized EPS (m)</x:t>
  </x:si>
  <x:si>
    <x:t xml:space="preserve">Repurchases under announced program ($m)</x:t>
  </x:si>
  <x:si>
    <x:t xml:space="preserve">Shares repurchased under program (m)</x:t>
  </x:si>
  <x:si>
    <x:t xml:space="preserve">Equity issuances / shares from vesting (m)</x:t>
  </x:si>
  <x:si>
    <x:t xml:space="preserve">Shares outstanding at quarter end (m)</x:t>
  </x:si>
  <x:si>
    <x:t xml:space="preserve">Buyback program status</x:t>
  </x:si>
  <x:si>
    <x:t xml:space="preserve">Active</x:t>
  </x:si>
  <x:si>
    <x:t xml:space="preserve">Paused</x:t>
  </x:si>
  <x:si>
    <x:t xml:space="preserve">Q1 FY27 program repurchases were paused; no program buyback assumed for Q2.</x:t>
  </x:si>
  <x:si>
    <x:t xml:space="preserve">Fully diluted share count check</x:t>
  </x:si>
  <x:si>
    <x:t xml:space="preserve">Guidance</x:t>
  </x:si>
  <x:si>
    <x:t xml:space="preserve">Publication date</x:t>
  </x:si>
  <x:si>
    <x:t xml:space="preserve">Guidance period</x:t>
  </x:si>
  <x:si>
    <x:t xml:space="preserve">Low</x:t>
  </x:si>
  <x:si>
    <x:t xml:space="preserve">High</x:t>
  </x:si>
  <x:si>
    <x:t xml:space="preserve">Midpoint</x:t>
  </x:si>
  <x:si>
    <x:t xml:space="preserve">Reported actual</x:t>
  </x:si>
  <x:si>
    <x:t xml:space="preserve">Beat / miss</x:t>
  </x:si>
  <x:si>
    <x:t xml:space="preserve">Source ID</x:t>
  </x:si>
  <x:si>
    <x:t xml:space="preserve">FY2027</x:t>
  </x:si>
  <x:si>
    <x:t xml:space="preserve">Capital expenditures ($m)</x:t>
  </x:si>
  <x:si>
    <x:t xml:space="preserve">S04</x:t>
  </x:si>
  <x:si>
    <x:t xml:space="preserve">New retail stores</x:t>
  </x:si>
  <x:si>
    <x:t xml:space="preserve">New recon / auction centers</x:t>
  </x:si>
  <x:si>
    <x:t xml:space="preserve">New stand-alone auction sites</x:t>
  </x:si>
  <x:si>
    <x:t xml:space="preserve">FY2027 exit</x:t>
  </x:si>
  <x:si>
    <x:t xml:space="preserve">SG&amp;A savings exit run-rate ($m)</x:t>
  </x:si>
  <x:si>
    <x:t xml:space="preserve">S05</x:t>
  </x:si>
  <x:si>
    <x:t xml:space="preserve">1Q27</x:t>
  </x:si>
  <x:si>
    <x:t xml:space="preserve">Retail gross profit/unit decline (maximum $)</x:t>
  </x:si>
  <x:si>
    <x:t xml:space="preserve">2Q27</x:t>
  </x:si>
  <x:si>
    <x:t xml:space="preserve">Revenue guidance midpoint</x:t>
  </x:si>
  <x:si>
    <x:t xml:space="preserve">not guided</x:t>
  </x:si>
  <x:si>
    <x:t xml:space="preserve">Net income / EPS guidance midpoint</x:t>
  </x:si>
  <x:si>
    <x:t xml:space="preserve">Sources</x:t>
  </x:si>
  <x:si>
    <x:t xml:space="preserve">ID</x:t>
  </x:si>
  <x:si>
    <x:t xml:space="preserve">Published</x:t>
  </x:si>
  <x:si>
    <x:t xml:space="preserve">Publisher</x:t>
  </x:si>
  <x:si>
    <x:t xml:space="preserve">Source → J</x:t>
  </x:si>
  <x:si>
    <x:t xml:space="preserve">Notes → K</x:t>
  </x:si>
  <x:si>
    <x:t xml:space="preserve">URL / input file</x:t>
  </x:si>
  <x:si>
    <x:t xml:space="preserve">What the source feeds / method notes</x:t>
  </x:si>
  <x:si>
    <x:t xml:space="preserve">S01</x:t>
  </x:si>
  <x:si>
    <x:t xml:space="preserve">SEC / CarMax</x:t>
  </x:si>
  <x:si>
    <x:t xml:space="preserve">see J10</x:t>
  </x:si>
  <x:si>
    <x:t xml:space="preserve">see K10</x:t>
  </x:si>
  <x:si>
    <x:t xml:space="preserve">https://www.sec.gov/Archives/edgar/data/1170010/000117001025000115/q2fy26earningsrelease.htm</x:t>
  </x:si>
  <x:si>
    <x:t xml:space="preserve">2Q26 revenue, units, income, loan operations</x:t>
  </x:si>
  <x:si>
    <x:t xml:space="preserve">S02</x:t>
  </x:si>
  <x:si>
    <x:t xml:space="preserve">see J11</x:t>
  </x:si>
  <x:si>
    <x:t xml:space="preserve">see K11</x:t>
  </x:si>
  <x:si>
    <x:t xml:space="preserve">https://www.sec.gov/Archives/edgar/data/1170010/000117001025000129/q3fy26earningsrelease.htm</x:t>
  </x:si>
  <x:si>
    <x:t xml:space="preserve">3Q26 operating and GAAP/non-GAAP history</x:t>
  </x:si>
  <x:si>
    <x:t xml:space="preserve">S03</x:t>
  </x:si>
  <x:si>
    <x:t xml:space="preserve">see J12</x:t>
  </x:si>
  <x:si>
    <x:t xml:space="preserve">see K12</x:t>
  </x:si>
  <x:si>
    <x:t xml:space="preserve">https://www.sec.gov/Archives/edgar/data/1170010/000117001026000021/kmx-20260228.htm</x:t>
  </x:si>
  <x:si>
    <x:t xml:space="preserve">FY26 statements; reportable segments and geography</x:t>
  </x:si>
  <x:si>
    <x:t xml:space="preserve">see J13</x:t>
  </x:si>
  <x:si>
    <x:t xml:space="preserve">see K13</x:t>
  </x:si>
  <x:si>
    <x:t xml:space="preserve">https://www.sec.gov/Archives/edgar/data/1170010/000117001026000017/q4fy26earningsrelease.htm</x:t>
  </x:si>
  <x:si>
    <x:t xml:space="preserve">4Q26/FY26 operations, impairment/adjusted EPS, guidance</x:t>
  </x:si>
  <x:si>
    <x:t xml:space="preserve">see J14</x:t>
  </x:si>
  <x:si>
    <x:t xml:space="preserve">see K14</x:t>
  </x:si>
  <x:si>
    <x:t xml:space="preserve">https://www.sec.gov/Archives/edgar/data/1170010/000117001026000053/q1fy27earningsrelease.htm</x:t>
  </x:si>
  <x:si>
    <x:t xml:space="preserve">1Q27 results, costs and September 29 date</x:t>
  </x:si>
  <x:si>
    <x:t xml:space="preserve">S06</x:t>
  </x:si>
  <x:si>
    <x:t xml:space="preserve">see J15</x:t>
  </x:si>
  <x:si>
    <x:t xml:space="preserve">see K15</x:t>
  </x:si>
  <x:si>
    <x:t xml:space="preserve">https://www.sec.gov/Archives/edgar/data/1170010/000117001026000055/kmx-20260531.htm</x:t>
  </x:si>
  <x:si>
    <x:t xml:space="preserve">CAF segment, servicing account balance, US reporting</x:t>
  </x:si>
  <x:si>
    <x:t xml:space="preserve">S07</x:t>
  </x:si>
  <x:si>
    <x:t xml:space="preserve">see J16</x:t>
  </x:si>
  <x:si>
    <x:t xml:space="preserve">see K16</x:t>
  </x:si>
  <x:si>
    <x:t xml:space="preserve">https://www.sec.gov/Archives/edgar/data/1170010/000117001025000118/kmx-20250831.htm</x:t>
  </x:si>
  <x:si>
    <x:t xml:space="preserve">2Q26 formal financial statements</x:t>
  </x:si>
  <x:si>
    <x:t xml:space="preserve">S08</x:t>
  </x:si>
  <x:si>
    <x:t xml:space="preserve">Stock Analysis / conference call</x:t>
  </x:si>
  <x:si>
    <x:t xml:space="preserve">see J17</x:t>
  </x:si>
  <x:si>
    <x:t xml:space="preserve">see K17</x:t>
  </x:si>
  <x:si>
    <x:t xml:space="preserve">https://stockanalysis.com/stocks/kmx/transcripts/649232-q1-2027/</x:t>
  </x:si>
  <x:si>
    <x:t xml:space="preserve">Management pricing strategy and $200m savings</x:t>
  </x:si>
  <x:si>
    <x:t xml:space="preserve">S09</x:t>
  </x:si>
  <x:si>
    <x:t xml:space="preserve">Cox Automotive</x:t>
  </x:si>
  <x:si>
    <x:t xml:space="preserve">see J18</x:t>
  </x:si>
  <x:si>
    <x:t xml:space="preserve">see K18</x:t>
  </x:si>
  <x:si>
    <x:t xml:space="preserve">https://www.coxautoinc.com/insights/used-vehicle-inventory-august-2026/</x:t>
  </x:si>
  <x:si>
    <x:t xml:space="preserve">Aug used sales -3.2% YoY; list price +7%</x:t>
  </x:si>
  <x:si>
    <x:t xml:space="preserve">S10</x:t>
  </x:si>
  <x:si>
    <x:t xml:space="preserve">MarketBeat / Zacks Research</x:t>
  </x:si>
  <x:si>
    <x:t xml:space="preserve">see J19</x:t>
  </x:si>
  <x:si>
    <x:t xml:space="preserve">see K19</x:t>
  </x:si>
  <x:si>
    <x:t xml:space="preserve">https://www.marketbeat.com/instant-alerts/estimates-zacks-research-issues-negative-forecast-for-carmax-earnings-2026-09-18/</x:t>
  </x:si>
  <x:si>
    <x:t xml:space="preserve">Q2 analyst EPS revision $0.60 → $0.57</x:t>
  </x:si>
  <x:si>
    <x:t xml:space="preserve">S11</x:t>
  </x:si>
  <x:si>
    <x:t xml:space="preserve">S&amp;P Capital IQ</x:t>
  </x:si>
  <x:si>
    <x:t xml:space="preserve">see J20</x:t>
  </x:si>
  <x:si>
    <x:t xml:space="preserve">see K20</x:t>
  </x:si>
  <x:si>
    <x:t xml:space="preserve">KMX_consensus.json</x:t>
  </x:si>
  <x:si>
    <x:t xml:space="preserve">Sep 24 normalized EPS 0.72; revenue 6,984.29m</x:t>
  </x:si>
  <x:si>
    <x:t xml:space="preserve">S12</x:t>
  </x:si>
  <x:si>
    <x:t xml:space="preserve">see J21</x:t>
  </x:si>
  <x:si>
    <x:t xml:space="preserve">see K21</x:t>
  </x:si>
  <x:si>
    <x:t xml:space="preserve">KMX_history.csv</x:t>
  </x:si>
  <x:si>
    <x:t xml:space="preserve">Six reported quarterly normalized and GAAP comparisons</x:t>
  </x:si>
  <x:si>
    <x:t xml:space="preserve">Geo omitted</x:t>
  </x:si>
  <x:si>
    <x:t xml:space="preserve">Geo tab omitted — checked CarMax FY2026 Form 10-K (S03); no material multi-country revenue disclosure.</x:t>
  </x:si>
  <x:si>
    <x:t xml:space="preserve">CAF account detail</x:t>
  </x:si>
  <x:si>
    <x:t xml:space="preserve">CAF accounts opening/adds/churn omitted as unavailable in 10-Q (S06); closing accounts disclosed (~1.1m).</x:t>
  </x:si>
  <x:si>
    <x:t xml:space="preserve">2Q27 guidance</x:t>
  </x:si>
  <x:si>
    <x:t xml:space="preserve">No numerical guidance for 2Q27 revenue, earnings or EPS (S05); guidance midpoint unavailable.</x:t>
  </x:si>
  <x:si>
    <x:t xml:space="preserve">Historical precision</x:t>
  </x:si>
  <x:si>
    <x:t xml:space="preserve">Historical periods source exact statement totals; component rounding explicitly reconciled on segment.</x:t>
  </x:si>
  <x:si>
    <x:t xml:space="preserve">Consensus as-of date</x:t>
  </x:si>
  <x:si>
    <x:t xml:space="preserve">Capital IQ consensus capture date is September 24, 2026 (day only, no timestamp).</x:t>
  </x:si>
  <x:si>
    <x:t xml:space="preserve">KMX_history.csv SHA256</x:t>
  </x:si>
  <x:si>
    <x:t xml:space="preserve">see J28</x:t>
  </x:si>
  <x:si>
    <x:t xml:space="preserve">93a210cab0650669d3ad322710e17442fe3f9c1722ff425a98cf87ae6c6634be</x:t>
  </x:si>
  <x:si>
    <x:t xml:space="preserve">KMX_consensus.json SHA256</x:t>
  </x:si>
  <x:si>
    <x:t xml:space="preserve">see J29</x:t>
  </x:si>
  <x:si>
    <x:t xml:space="preserve">32a99021143fc82190fad85a22e72d1fc3ecc6fefbd005e6bce2de6780a20609</x:t>
  </x:si>
  <x:si>
    <x:t xml:space="preserve">Information cutoff UTC</x:t>
  </x:si>
  <x:si>
    <x:t xml:space="preserve">S13</x:t>
  </x:si>
  <x:si>
    <x:t xml:space="preserve">see J32</x:t>
  </x:si>
  <x:si>
    <x:t xml:space="preserve">see K32</x:t>
  </x:si>
  <x:si>
    <x:t xml:space="preserve">https://www.coxautoinc.com/insights/used-vehicle-inventory-july-2026/</x:t>
  </x:si>
  <x:si>
    <x:t xml:space="preserve">July retail used units -2.2% Y/Y and list ASP +6%</x:t>
  </x:si>
  <x:si>
    <x:t xml:space="preserve">S14</x:t>
  </x:si>
  <x:si>
    <x:t xml:space="preserve">Carvana</x:t>
  </x:si>
  <x:si>
    <x:t xml:space="preserve">see J33</x:t>
  </x:si>
  <x:si>
    <x:t xml:space="preserve">see K33</x:t>
  </x:si>
  <x:si>
    <x:t xml:space="preserve">https://investors.carvana.com/news-releases/2026/07-29-2026-210525685</x:t>
  </x:si>
  <x:si>
    <x:t xml:space="preserve">Competitor Q2 2026 used retail units +38% Y/Y</x:t>
  </x:si>
  <x:si>
    <x:t xml:space="preserve">S15</x:t>
  </x:si>
  <x:si>
    <x:t xml:space="preserve">Auto Remarketing / Lithia</x:t>
  </x:si>
  <x:si>
    <x:t xml:space="preserve">see J34</x:t>
  </x:si>
  <x:si>
    <x:t xml:space="preserve">see K34</x:t>
  </x:si>
  <x:si>
    <x:t xml:space="preserve">https://www.autoremarketing.com/ar/retail/lithia-drives-used-car-gross-profit-per-unit-20-higher-from-q1/</x:t>
  </x:si>
  <x:si>
    <x:t xml:space="preserve">Lithia used units -2.7%, GPU +5.4% Y/Y</x:t>
  </x:si>
  <x:si>
    <x:t xml:space="preserve">Inputs</x:t>
  </x:si>
  <x:si>
    <x:t xml:space="preserve">used rev</x:t>
  </x:si>
  <x:si>
    <x:t xml:space="preserve">wh rev</x:t>
  </x:si>
  <x:si>
    <x:t xml:space="preserve">epp</x:t>
  </x:si>
  <x:si>
    <x:t xml:space="preserve">finance fees</x:t>
  </x:si>
  <x:si>
    <x:t xml:space="preserve">ads rev</x:t>
  </x:si>
  <x:si>
    <x:t xml:space="preserve">other rev</x:t>
  </x:si>
  <x:si>
    <x:t xml:space="preserve">units used</x:t>
  </x:si>
  <x:si>
    <x:t xml:space="preserve">units wh</x:t>
  </x:si>
  <x:si>
    <x:t xml:space="preserve">asp used</x:t>
  </x:si>
  <x:si>
    <x:t xml:space="preserve">asp wh</x:t>
  </x:si>
  <x:si>
    <x:t xml:space="preserve">Used vehicle gross profit, historical ($m)</x:t>
  </x:si>
  <x:si>
    <x:t xml:space="preserve">Wholesale gross profit, historical ($m)</x:t>
  </x:si>
  <x:si>
    <x:t xml:space="preserve">other gp</x:t>
  </x:si>
  <x:si>
    <x:t xml:space="preserve">sga wages</x:t>
  </x:si>
  <x:si>
    <x:t xml:space="preserve">sga stock</x:t>
  </x:si>
  <x:si>
    <x:t xml:space="preserve">sga occupancy</x:t>
  </x:si>
  <x:si>
    <x:t xml:space="preserve">sga advert</x:t>
  </x:si>
  <x:si>
    <x:t xml:space="preserve">sga other</x:t>
  </x:si>
  <x:si>
    <x:t xml:space="preserve">caf interest</x:t>
  </x:si>
  <x:si>
    <x:t xml:space="preserve">caf funding</x:t>
  </x:si>
  <x:si>
    <x:t xml:space="preserve">caf provision</x:t>
  </x:si>
  <x:si>
    <x:t xml:space="preserve">caf servicing</x:t>
  </x:si>
  <x:si>
    <x:t xml:space="preserve">caf direct</x:t>
  </x:si>
  <x:si>
    <x:t xml:space="preserve">caf gain</x:t>
  </x:si>
  <x:si>
    <x:t xml:space="preserve">caf fv</x:t>
  </x:si>
  <x:si>
    <x:t xml:space="preserve">caf avg loans</x:t>
  </x:si>
  <x:si>
    <x:t xml:space="preserve">caf originations</x:t>
  </x:si>
  <x:si>
    <x:t xml:space="preserve">caf penetration</x:t>
  </x:si>
  <x:si>
    <x:t xml:space="preserve">caf contract</x:t>
  </x:si>
  <x:si>
    <x:t xml:space="preserve">caf allowance</x:t>
  </x:si>
  <x:si>
    <x:t xml:space="preserve">comp units</x:t>
  </x:si>
  <x:si>
    <x:t xml:space="preserve">net income</x:t>
  </x:si>
  <x:si>
    <x:t xml:space="preserve">basic shares</x:t>
  </x:si>
  <x:si>
    <x:t xml:space="preserve">diluted shares</x:t>
  </x:si>
  <x:si>
    <x:t xml:space="preserve">sga</x:t>
  </x:si>
  <x:si>
    <x:t xml:space="preserve">da</x:t>
  </x:si>
  <x:si>
    <x:t xml:space="preserve">interest</x:t>
  </x:si>
  <x:si>
    <x:t xml:space="preserve">tax</x:t>
  </x:si>
  <x:si>
    <x:t xml:space="preserve">bs cash</x:t>
  </x:si>
  <x:si>
    <x:t xml:space="preserve">bs restricted</x:t>
  </x:si>
  <x:si>
    <x:t xml:space="preserve">bs receivable</x:t>
  </x:si>
  <x:si>
    <x:t xml:space="preserve">bs loans sale</x:t>
  </x:si>
  <x:si>
    <x:t xml:space="preserve">bs inventory</x:t>
  </x:si>
  <x:si>
    <x:t xml:space="preserve">bs other ca</x:t>
  </x:si>
  <x:si>
    <x:t xml:space="preserve">bs loans</x:t>
  </x:si>
  <x:si>
    <x:t xml:space="preserve">bs ppe</x:t>
  </x:si>
  <x:si>
    <x:t xml:space="preserve">bs deferred</x:t>
  </x:si>
  <x:si>
    <x:t xml:space="preserve">bs lease</x:t>
  </x:si>
  <x:si>
    <x:t xml:space="preserve">bs goodwill</x:t>
  </x:si>
  <x:si>
    <x:t xml:space="preserve">bs other assets</x:t>
  </x:si>
  <x:si>
    <x:t xml:space="preserve">bs liabilities</x:t>
  </x:si>
  <x:si>
    <x:t xml:space="preserve">bs equity</x:t>
  </x:si>
  <x:si>
    <x:t xml:space="preserve">bs other restricted</x:t>
  </x:si>
  <x:si>
    <x:t xml:space="preserve">cf cfo</x:t>
  </x:si>
  <x:si>
    <x:t xml:space="preserve">cf cfi</x:t>
  </x:si>
  <x:si>
    <x:t xml:space="preserve">cf cff</x:t>
  </x:si>
  <x:si>
    <x:t xml:space="preserve">cf begin</x:t>
  </x:si>
  <x:si>
    <x:t xml:space="preserve">cf end</x:t>
  </x:si>
  <x:si>
    <x:t xml:space="preserve">reported revenue</x:t>
  </x:si>
  <x:si>
    <x:t xml:space="preserve">bridge impairment</x:t>
  </x:si>
  <x:si>
    <x:t xml:space="preserve">bridge restructuring</x:t>
  </x:si>
  <x:si>
    <x:t xml:space="preserve">bridge tax</x:t>
  </x:si>
  <x:si>
    <x:t xml:space="preserve">cf working capital</x:t>
  </x:si>
  <x:si>
    <x:t xml:space="preserve">cf capex</x:t>
  </x:si>
  <x:si>
    <x:t xml:space="preserve">cf financing</x:t>
  </x:si>
  <x:si>
    <x:t xml:space="preserve">other income</x:t>
  </x:si>
  <x:si>
    <x:t xml:space="preserve">tax rate</x:t>
  </x:si>
  <x:si>
    <x:t xml:space="preserve">Scope/M&amp;A growth assumption</x:t>
  </x:si>
  <x:si>
    <x:t xml:space="preserve">FX growth assumption</x:t>
  </x:si>
  <x:si>
    <x:t xml:space="preserve">Comparable used units assumption</x:t>
  </x:si>
  <x:si>
    <x:t xml:space="preserve">Other operating income (expense), signed</x:t>
  </x:si>
  <x:si>
    <x:t xml:space="preserve">Goodwill impairment charge</x:t>
  </x:si>
  <x:si>
    <x:t xml:space="preserve">Reported pretax earnings (exact)</x:t>
  </x:si>
  <x:si>
    <x:t xml:space="preserve">bs ap</x:t>
  </x:si>
  <x:si>
    <x:t xml:space="preserve">bs accrued</x:t>
  </x:si>
  <x:si>
    <x:t xml:space="preserve">bs incometax</x:t>
  </x:si>
  <x:si>
    <x:t xml:space="preserve">bs currentlease</x:t>
  </x:si>
  <x:si>
    <x:t xml:space="preserve">bs currentdebt</x:t>
  </x:si>
  <x:si>
    <x:t xml:space="preserve">bs currentnotes</x:t>
  </x:si>
  <x:si>
    <x:t xml:space="preserve">bs longdebt</x:t>
  </x:si>
  <x:si>
    <x:t xml:space="preserve">bs notes</x:t>
  </x:si>
  <x:si>
    <x:t xml:space="preserve">bs longlease</x:t>
  </x:si>
  <x:si>
    <x:t xml:space="preserve">bs otherliab</x:t>
  </x:si>
  <x:si>
    <x:t xml:space="preserve">bs common</x:t>
  </x:si>
  <x:si>
    <x:t xml:space="preserve">bs apic</x:t>
  </x:si>
  <x:si>
    <x:t xml:space="preserve">bs aoci</x:t>
  </x:si>
  <x:si>
    <x:t xml:space="preserve">bs retained</x:t>
  </x:si>
  <x:si>
    <x:t xml:space="preserve">Serviced CAF customer accounts FY27 Q1 (000s)</x:t>
  </x:si>
  <x:si>
    <x:t xml:space="preserve">Implied CAF loan portfolio net growth ($m)</x:t>
  </x:si>
  <x:si>
    <x:t xml:space="preserve">Historical margin / industry note</x:t>
  </x:si>
  <x:si>
    <x:t xml:space="preserve">Digitally enabled retail unit sales (%)</x:t>
  </x:si>
  <x:si>
    <x:t xml:space="preserve">Omni retail unit sales (%)</x:t>
  </x:si>
  <x:si>
    <x:t xml:space="preserve">Online retail unit sales (%)</x:t>
  </x:si>
  <x:si>
    <x:t xml:space="preserve">Vehicle purchases from consumers (000s)</x:t>
  </x:si>
  <x:si>
    <x:t xml:space="preserve">Vehicle purchases from dealers (000s)</x:t>
  </x:si>
  <x:si>
    <x:t xml:space="preserve">Forecast unit-price driver memo</x:t>
  </x:si>
  <x:si>
    <x:t xml:space="preserve">Forecast EPP revenue / retail vehicle ($)</x:t>
  </x:si>
  <x:si>
    <x:t xml:space="preserve">Forecast CAF realized interest yield (annualized)</x:t>
  </x:si>
  <x:si>
    <x:t xml:space="preserve">Cox August used sales Y/Y</x:t>
  </x:si>
  <x:si>
    <x:t xml:space="preserve">Cox August listing price Y/Y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</x:si>
  <x:si>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</x:si>
  <x:si>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</x:si>
  <x:si>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</x:si>
  <x:si>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</x:si>
  <x:si>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</x:si>
  <x:si>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</x:si>
  <x:si>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</x:si>
  <x:si>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report_date_x000D_</x:t>
  </x:si>
  <x:si>
    <x:t xml:space="preserve">Capital IQ snapshot — September 24, 2026</x:t>
  </x:si>
  <x:si>
    <x:t xml:space="preserve">Primary normalized estimates</x:t>
  </x:si>
  <x:si>
    <x:t xml:space="preserve">ticker</x:t>
  </x:si>
  <x:si>
    <x:t xml:space="preserve">KMX</x:t>
  </x:si>
  <x:si>
    <x:t xml:space="preserve">company</x:t>
  </x:si>
  <x:si>
    <x:t xml:space="preserve">exchange_ticker</x:t>
  </x:si>
  <x:si>
    <x:t xml:space="preserve">NYSE:KMX</x:t>
  </x:si>
  <x:si>
    <x:t xml:space="preserve">capiq_company_id</x:t>
  </x:si>
  <x:si>
    <x:t xml:space="preserve">analyst_count</x:t>
  </x:si>
  <x:si>
    <x:t xml:space="preserve">fiscal_year_end</x:t>
  </x:si>
  <x:si>
    <x:t xml:space="preserve">Feb-28</x:t>
  </x:si>
  <x:si>
    <x:t xml:space="preserve">forward_quarter_label</x:t>
  </x:si>
  <x:si>
    <x:t xml:space="preserve">FQ2 2027 -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</x:si>
  <x:si>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</x:si>
  <x:si>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</x:si>
  <x:si>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</x:si>
  <x:si>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</x:si>
  <x:si>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</x:si>
  <x:si>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</x:si>
  <x:si>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</x:si>
  <x:si>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</x:si>
  <x:si>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</x:si>
  <x:si>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</x:si>
  <x:si>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</x:si>
  <x:si>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</x:si>
  <x:si>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</x:si>
  <x:si>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</x:si>
  <x:si>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</x:si>
  <x:si>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</x:si>
  <x:si>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</x:si>
  <x:si>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</x:si>
  <x:si>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</x:si>
  <x:si>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</x:si>
  <x:si>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</x:si>
  <x:si>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</x:si>
  <x:si>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</x:si>
  <x:si>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</x:si>
  <x:si>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</x:si>
  <x:si>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</x:si>
  <x:si>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</x:si>
  <x:si>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</x:si>
  <x:si>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</x:si>
  <x:si>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</x:si>
  <x:si>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</x:si>
  <x:si>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</x:si>
  <x:si>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</x:si>
  <x:si>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</x:si>
  <x:si>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</x:si>
  <x:si>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</x:si>
  <x:si>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</x:si>
  <x:si>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</x:si>
  <x:si>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</x:si>
  <x:si>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</x:si>
  <x:si>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</x:si>
  <x:si>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</x:si>
  <x:si>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</x:si>
  <x:si>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Hold</x:t>
  </x:si>
  <x:si>
    <x:t xml:space="preserve">recommendation_score</x:t>
  </x:si>
  <x:si>
    <x:t xml:space="preserve">last_close_price</x:t>
  </x:si>
  <x:si>
    <x:t xml:space="preserve">notes</x:t>
  </x:si>
  <x:si>
    <x:t xml:space="preserve">February fiscal year end. The Feb-2026 quarter carried a GAAP loss of (0.85) against a normalized 0.34, and CapIQ marks that GAAP surprise NM.</x:t>
  </x:si>
  <x:si>
    <x:t xml:space="preserve">Forecast third-party finance fee per used vehicle ($)</x:t>
  </x:si>
  <x:si>
    <x:t xml:space="preserve">Forecast advertising/subscription per total vehicle ($)</x:t>
  </x:si>
  <x:si>
    <x:t xml:space="preserve">Forecast other services per used vehicle ($)</x:t>
  </x:si>
  <x:si>
    <x:t xml:space="preserve">ISSUER FILED CASH FLOWS — C six months, D nine months, E prior Q1, F fiscal year, G current Q1</x:t>
  </x:si>
  <x:si>
    <x:t xml:space="preserve">stock</x:t>
  </x:si>
  <x:si>
    <x:t xml:space="preserve">provision</x:t>
  </x:si>
  <x:si>
    <x:t xml:space="preserve">cancel</x:t>
  </x:si>
  <x:si>
    <x:t xml:space="preserve">deferred</x:t>
  </x:si>
  <x:si>
    <x:t xml:space="preserve">sale proceeds</x:t>
  </x:si>
  <x:si>
    <x:t xml:space="preserve">impairment</x:t>
  </x:si>
  <x:si>
    <x:t xml:space="preserve">other</x:t>
  </x:si>
  <x:si>
    <x:t xml:space="preserve">ar</x:t>
  </x:si>
  <x:si>
    <x:t xml:space="preserve">hfs</x:t>
  </x:si>
  <x:si>
    <x:t xml:space="preserve">inventory</x:t>
  </x:si>
  <x:si>
    <x:t xml:space="preserve">othercurrent</x:t>
  </x:si>
  <x:si>
    <x:t xml:space="preserve">hfi</x:t>
  </x:si>
  <x:si>
    <x:t xml:space="preserve">otherassets</x:t>
  </x:si>
  <x:si>
    <x:t xml:space="preserve">ap</x:t>
  </x:si>
  <x:si>
    <x:t xml:space="preserve">otherliab</x:t>
  </x:si>
  <x:si>
    <x:t xml:space="preserve">capex</x:t>
  </x:si>
  <x:si>
    <x:t xml:space="preserve">disposal</x:t>
  </x:si>
  <x:si>
    <x:t xml:space="preserve">invest purchases</x:t>
  </x:si>
  <x:si>
    <x:t xml:space="preserve">invest sales</x:t>
  </x:si>
  <x:si>
    <x:t xml:space="preserve">beneficial</x:t>
  </x:si>
  <x:si>
    <x:t xml:space="preserve">debt proceeds</x:t>
  </x:si>
  <x:si>
    <x:t xml:space="preserve">debt paid</x:t>
  </x:si>
  <x:si>
    <x:t xml:space="preserve">debt fees</x:t>
  </x:si>
  <x:si>
    <x:t xml:space="preserve">lease paid</x:t>
  </x:si>
  <x:si>
    <x:t xml:space="preserve">notes proceeds</x:t>
  </x:si>
  <x:si>
    <x:t xml:space="preserve">notes paid</x:t>
  </x:si>
  <x:si>
    <x:t xml:space="preserve">repurchases</x:t>
  </x:si>
  <x:si>
    <x:t xml:space="preserve">issuances</x:t>
  </x:si>
  <x:si>
    <x:t xml:space="preserve">Forecast zero-movement default</x:t>
  </x:si>
  <x:si>
    <x:t xml:space="preserve">Forecast accounts receivable cash change</x:t>
  </x:si>
  <x:si>
    <x:t xml:space="preserve">Forecast loans held for sale cash change</x:t>
  </x:si>
  <x:si>
    <x:t xml:space="preserve">Forecast vehicle inventory cash change</x:t>
  </x:si>
  <x:si>
    <x:t xml:space="preserve">Forecast payables cash change</x:t>
  </x:si>
  <x:si>
    <x:t xml:space="preserve">Forecast other liabilities cash change</x:t>
  </x:si>
  <x:si>
    <x:t xml:space="preserve">Forecast portfolio accrual / reclassification movement</x:t>
  </x:si>
  <x:si>
    <x:t xml:space="preserve">Forecast retail gross profit per unit ($)</x:t>
  </x:si>
  <x:si>
    <x:t xml:space="preserve">Forecast wholesale gross profit per unit ($)</x:t>
  </x:si>
  <x:si>
    <x:t xml:space="preserve">Expected loan paydowns / sales ($m; analyst assumption)</x:t>
  </x:si>
</x:sst>
</file>

<file path=xl/styles.xml><?xml version="1.0" encoding="utf-8"?>
<x:styleSheet xmlns:x="http://schemas.openxmlformats.org/spreadsheetml/2006/main">
  <x:numFmts count="5">
    <x:numFmt numFmtId="164" formatCode="$0.00"/>
    <x:numFmt numFmtId="165" formatCode="yyyy-mm-dd"/>
    <x:numFmt numFmtId="166" formatCode="d-mmm-yyyy"/>
    <x:numFmt numFmtId="167" formatCode="0.0%_);(0.0%);–_)"/>
    <x:numFmt numFmtId="168" formatCode="#,##0.0_);(#,##0.0);–_)"/>
  </x:numFmts>
  <x:fonts count="11">
    <x:font>
      <x:sz val="11"/>
      <x:name val="Calibri"/>
    </x:font>
    <x:font>
      <x:sz val="11"/>
      <x:color rgb="FF000000"/>
      <x:name val="Calibri"/>
    </x:font>
    <x:font>
      <x:sz val="10"/>
      <x:color rgb="FF000000"/>
      <x:name val="Aptos Narrow"/>
    </x:font>
    <x:font>
      <x:b/>
      <x:sz val="10"/>
      <x:color rgb="FF000000"/>
      <x:name val="Aptos Narrow"/>
    </x:font>
    <x:font>
      <x:sz val="10"/>
      <x:color rgb="FF006100"/>
      <x:name val="Aptos Narrow"/>
    </x:font>
    <x:font>
      <x:i/>
      <x:sz val="10"/>
      <x:color rgb="FF000000"/>
      <x:name val="Aptos Narrow"/>
    </x:font>
    <x:font>
      <x:b/>
      <x:sz val="10"/>
      <x:color rgb="FF006100"/>
      <x:name val="Aptos Narrow"/>
    </x:font>
    <x:font>
      <x:i/>
      <x:sz val="10"/>
      <x:color rgb="FF006100"/>
      <x:name val="Aptos Narrow"/>
    </x:font>
    <x:font>
      <x:sz val="10"/>
      <x:color rgb="FF0000FF"/>
      <x:name val="Aptos Narrow"/>
    </x:font>
    <x:font>
      <x:b/>
      <x:sz val="10"/>
      <x:color rgb="FF0000FF"/>
      <x:name val="Aptos Narrow"/>
    </x:font>
    <x:font>
      <x:i/>
      <x:sz val="10"/>
      <x:color rgb="FF0000FF"/>
      <x:name val="Aptos Narrow"/>
    </x:font>
  </x:fonts>
  <x:fills count="4">
    <x:fill>
      <x:patternFill patternType="none"/>
    </x:fill>
    <x:fill>
      <x:patternFill patternType="gray125"/>
    </x:fill>
    <x:fill>
      <x:patternFill patternType="solid">
        <x:fgColor rgb="FFF2F6FC"/>
      </x:patternFill>
    </x:fill>
    <x:fill>
      <x:patternFill patternType="solid">
        <x:fgColor rgb="FFE9ECF0"/>
      </x:patternFill>
    </x:fill>
  </x:fills>
  <x:borders count="3">
    <x:border/>
    <x:border>
      <x:top style="thin">
        <x:color rgb="FFADB5BD"/>
      </x:top>
      <x:bottom style="thin">
        <x:color rgb="FFADB5BD"/>
      </x:bottom>
    </x:border>
    <x:border>
      <x:top style="thin">
        <x:color rgb="FFAAB2BD"/>
      </x:top>
    </x:border>
  </x:borders>
  <x:cellStyleXfs count="1">
    <x:xf numFmtId="0" fontId="0" fillId="0" borderId="0"/>
  </x:cellStyleXfs>
  <x:cellXfs count="66">
    <x:xf numFmtId="0" fontId="0" fillId="0" borderId="0" xfId="0"/>
    <x:xf numFmtId="0" fontId="1" fillId="2" borderId="0" xfId="0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 wrapText="1"/>
    </x:xf>
    <x:xf numFmtId="0" fontId="2" fillId="2" borderId="0" xfId="0" applyFont="1" applyFill="1" applyAlignment="1">
      <x:alignment horizontal="general" vertical="bottom"/>
    </x:xf>
    <x:xf numFmtId="164" fontId="2" fillId="0" borderId="0" xfId="0" applyNumberFormat="1" applyFont="1" applyFill="1" applyAlignment="1">
      <x:alignment horizontal="general" vertical="bottom"/>
    </x:xf>
    <x:xf numFmtId="165" fontId="2" fillId="3" borderId="1" xfId="0" applyNumberFormat="1" applyFont="1" applyFill="1" applyBorder="1" applyAlignment="1">
      <x:alignment horizontal="general" vertical="bottom"/>
    </x:xf>
    <x:xf numFmtId="0" fontId="3" fillId="3" borderId="1" xfId="0" applyFont="1" applyFill="1" applyBorder="1" applyAlignment="1">
      <x:alignment horizontal="general" vertical="bottom"/>
    </x:xf>
    <x:xf numFmtId="164" fontId="4" fillId="0" borderId="0" xfId="0" applyNumberFormat="1" applyFont="1" applyFill="1" applyAlignment="1">
      <x:alignment horizontal="general" vertical="bottom"/>
    </x:xf>
    <x:xf numFmtId="166" fontId="2" fillId="0" borderId="0" xfId="0" applyNumberFormat="1" applyFont="1" applyFill="1" applyAlignment="1">
      <x:alignment horizontal="general" vertical="bottom"/>
    </x:xf>
    <x:xf numFmtId="0" fontId="4" fillId="0" borderId="0" xfId="0" applyFont="1" applyFill="1" applyAlignment="1">
      <x:alignment horizontal="general" vertical="bottom"/>
    </x:xf>
    <x:xf numFmtId="0" fontId="2" fillId="3" borderId="1" xfId="0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8" fontId="2" fillId="0" borderId="0" xfId="0" applyNumberFormat="1" applyFont="1" applyFill="1" applyAlignment="1">
      <x:alignment horizontal="general" vertical="bottom"/>
    </x:xf>
    <x:xf numFmtId="168" fontId="2" fillId="2" borderId="0" xfId="0" applyNumberFormat="1" applyFont="1" applyFill="1" applyAlignment="1">
      <x:alignment horizontal="general" vertical="bottom"/>
    </x:xf>
    <x:xf numFmtId="0" fontId="3" fillId="0" borderId="2" xfId="0" applyFont="1" applyFill="1" applyBorder="1" applyAlignment="1">
      <x:alignment horizontal="general" vertical="bottom" wrapText="1"/>
    </x:xf>
    <x:xf numFmtId="167" fontId="5" fillId="0" borderId="0" xfId="0" applyNumberFormat="1" applyFont="1" applyFill="1" applyAlignment="1">
      <x:alignment horizontal="general" vertical="bottom" wrapText="1"/>
    </x:xf>
    <x:xf numFmtId="168" fontId="4" fillId="0" borderId="0" xfId="0" applyNumberFormat="1" applyFont="1" applyFill="1" applyAlignment="1">
      <x:alignment horizontal="general" vertical="bottom"/>
    </x:xf>
    <x:xf numFmtId="168" fontId="3" fillId="2" borderId="2" xfId="0" applyNumberFormat="1" applyFont="1" applyFill="1" applyBorder="1" applyAlignment="1">
      <x:alignment horizontal="general" vertical="bottom"/>
    </x:xf>
    <x:xf numFmtId="167" fontId="5" fillId="2" borderId="0" xfId="0" applyNumberFormat="1" applyFont="1" applyFill="1" applyAlignment="1">
      <x:alignment horizontal="general" vertical="bottom"/>
    </x:xf>
    <x:xf numFmtId="168" fontId="6" fillId="0" borderId="2" xfId="0" applyNumberFormat="1" applyFont="1" applyFill="1" applyBorder="1" applyAlignment="1">
      <x:alignment horizontal="general" vertical="bottom"/>
    </x:xf>
    <x:xf numFmtId="167" fontId="7" fillId="2" borderId="0" xfId="0" applyNumberFormat="1" applyFont="1" applyFill="1" applyAlignment="1">
      <x:alignment horizontal="general" vertical="bottom"/>
    </x:xf>
    <x:xf numFmtId="0" fontId="5" fillId="0" borderId="0" xfId="0" applyFont="1" applyFill="1" applyAlignment="1">
      <x:alignment horizontal="general" vertical="bottom" wrapText="1"/>
    </x:xf>
    <x:xf numFmtId="168" fontId="3" fillId="0" borderId="2" xfId="0" applyNumberFormat="1" applyFont="1" applyFill="1" applyBorder="1" applyAlignment="1">
      <x:alignment horizontal="general" vertical="bottom"/>
    </x:xf>
    <x:xf numFmtId="168" fontId="4" fillId="2" borderId="0" xfId="0" applyNumberFormat="1" applyFont="1" applyFill="1" applyAlignment="1">
      <x:alignment horizontal="general" vertical="bottom"/>
    </x:xf>
    <x:xf numFmtId="168" fontId="6" fillId="2" borderId="2" xfId="0" applyNumberFormat="1" applyFont="1" applyFill="1" applyBorder="1" applyAlignment="1">
      <x:alignment horizontal="general" vertical="bottom"/>
    </x:xf>
    <x:xf numFmtId="165" fontId="8" fillId="0" borderId="0" xfId="0" applyNumberFormat="1" applyFont="1" applyFill="1" applyAlignment="1">
      <x:alignment horizontal="general" vertical="bottom"/>
    </x:xf>
    <x:xf numFmtId="0" fontId="3" fillId="0" borderId="0" xfId="0" applyFont="1" applyFill="1" applyAlignment="1">
      <x:alignment horizontal="general" vertical="bottom" wrapText="1"/>
    </x:xf>
    <x:xf numFmtId="168" fontId="8" fillId="0" borderId="0" xfId="0" applyNumberFormat="1" applyFont="1" applyFill="1" applyAlignment="1">
      <x:alignment horizontal="general" vertical="bottom"/>
    </x:xf>
    <x:xf numFmtId="0" fontId="3" fillId="3" borderId="1" xfId="0" applyFont="1" applyFill="1" applyBorder="1" applyAlignment="1">
      <x:alignment horizontal="general" vertical="bottom" wrapText="1"/>
    </x:xf>
    <x:xf numFmtId="167" fontId="8" fillId="0" borderId="0" xfId="0" applyNumberFormat="1" applyFont="1" applyFill="1" applyAlignment="1">
      <x:alignment horizontal="general" vertical="bottom"/>
    </x:xf>
    <x:xf numFmtId="168" fontId="9" fillId="0" borderId="2" xfId="0" applyNumberFormat="1" applyFont="1" applyFill="1" applyBorder="1" applyAlignment="1">
      <x:alignment horizontal="general" vertical="bottom"/>
    </x:xf>
    <x:xf numFmtId="168" fontId="5" fillId="0" borderId="0" xfId="0" applyNumberFormat="1" applyFont="1" applyFill="1" applyAlignment="1">
      <x:alignment horizontal="general" vertical="bottom"/>
    </x:xf>
    <x:xf numFmtId="167" fontId="7" fillId="0" borderId="0" xfId="0" applyNumberFormat="1" applyFont="1" applyFill="1" applyAlignment="1">
      <x:alignment horizontal="general" vertical="bottom"/>
    </x:xf>
    <x:xf numFmtId="168" fontId="8" fillId="2" borderId="0" xfId="0" applyNumberFormat="1" applyFont="1" applyFill="1" applyAlignment="1">
      <x:alignment horizontal="general" vertical="bottom"/>
    </x:xf>
    <x:xf numFmtId="165" fontId="4" fillId="0" borderId="0" xfId="0" applyNumberFormat="1" applyFont="1" applyFill="1" applyAlignment="1">
      <x:alignment horizontal="general" vertical="bottom"/>
    </x:xf>
    <x:xf numFmtId="168" fontId="5" fillId="2" borderId="0" xfId="0" applyNumberFormat="1" applyFont="1" applyFill="1" applyAlignment="1">
      <x:alignment horizontal="general" vertical="bottom"/>
    </x:xf>
    <x:xf numFmtId="168" fontId="5" fillId="0" borderId="0" xfId="0" applyNumberFormat="1" applyFont="1" applyFill="1" applyAlignment="1">
      <x:alignment horizontal="general" vertical="bottom" wrapText="1"/>
    </x:xf>
    <x:xf numFmtId="164" fontId="3" fillId="0" borderId="2" xfId="0" applyNumberFormat="1" applyFont="1" applyFill="1" applyBorder="1" applyAlignment="1">
      <x:alignment horizontal="general" vertical="bottom"/>
    </x:xf>
    <x:xf numFmtId="164" fontId="2" fillId="2" borderId="0" xfId="0" applyNumberFormat="1" applyFont="1" applyFill="1" applyAlignment="1">
      <x:alignment horizontal="general" vertical="bottom"/>
    </x:xf>
    <x:xf numFmtId="164" fontId="4" fillId="2" borderId="0" xfId="0" applyNumberFormat="1" applyFont="1" applyFill="1" applyAlignment="1">
      <x:alignment horizontal="general" vertical="bottom"/>
    </x:xf>
    <x:xf numFmtId="164" fontId="3" fillId="2" borderId="2" xfId="0" applyNumberFormat="1" applyFont="1" applyFill="1" applyBorder="1" applyAlignment="1">
      <x:alignment horizontal="general" vertical="bottom"/>
    </x:xf>
    <x:xf numFmtId="167" fontId="10" fillId="2" borderId="0" xfId="0" applyNumberFormat="1" applyFont="1" applyFill="1" applyAlignment="1">
      <x:alignment horizontal="general" vertical="bottom"/>
    </x:xf>
    <x:xf numFmtId="0" fontId="8" fillId="0" borderId="0" xfId="0" applyFont="1" applyFill="1" applyAlignment="1">
      <x:alignment horizontal="general" vertical="bottom"/>
    </x:xf>
    <x:xf numFmtId="165" fontId="8" fillId="0" borderId="0" xfId="0" applyNumberFormat="1" applyFont="1" applyFill="1" applyAlignment="1">
      <x:alignment horizontal="general" vertical="bottom" wrapText="1"/>
    </x:xf>
    <x:xf numFmtId="0" fontId="8" fillId="2" borderId="0" xfId="0" applyFont="1" applyFill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168" fontId="8" fillId="2" borderId="0" xfId="0" applyNumberFormat="1" applyFont="1" applyFill="1" applyAlignment="1">
      <x:alignment horizontal="general" vertical="bottom" wrapText="1"/>
    </x:xf>
    <x:xf numFmtId="168" fontId="2" fillId="0" borderId="0" xfId="0" applyNumberFormat="1" applyFont="1" applyFill="1" applyAlignment="1">
      <x:alignment horizontal="general" vertical="bottom" wrapText="1"/>
    </x:xf>
    <x:xf numFmtId="0" fontId="2" fillId="3" borderId="1" xfId="0" applyNumberFormat="1" applyFont="1" applyFill="1" applyBorder="1" applyAlignment="1">
      <x:alignment horizontal="right" vertical="bottom"/>
    </x:xf>
    <x:xf numFmtId="0" fontId="3" fillId="3" borderId="1" xfId="0" applyNumberFormat="1" applyFont="1" applyFill="1" applyBorder="1" applyAlignment="1">
      <x:alignment horizontal="right" vertical="bottom"/>
    </x:xf>
    <x:xf numFmtId="168" fontId="2" fillId="0" borderId="0" xfId="0" applyNumberFormat="1" applyFont="1" applyFill="1" applyBorder="1" applyAlignment="1">
      <x:alignment horizontal="right" vertical="bottom"/>
    </x:xf>
    <x:xf numFmtId="0" fontId="4" fillId="0" borderId="0" xfId="0" applyNumberFormat="1" applyFont="1" applyFill="1" applyBorder="1" applyAlignment="1">
      <x:alignment horizontal="right" vertical="bottom"/>
    </x:xf>
    <x:xf numFmtId="0" fontId="2" fillId="0" borderId="0" xfId="0" applyNumberFormat="1" applyFont="1" applyFill="1" applyBorder="1" applyAlignment="1">
      <x:alignment horizontal="right" vertical="bottom"/>
    </x:xf>
    <x:xf numFmtId="167" fontId="5" fillId="0" borderId="0" xfId="0" applyNumberFormat="1" applyFont="1" applyFill="1" applyBorder="1" applyAlignment="1">
      <x:alignment horizontal="right" vertical="bottom"/>
    </x:xf>
    <x:xf numFmtId="168" fontId="5" fillId="0" borderId="0" xfId="0" applyNumberFormat="1" applyFont="1" applyFill="1" applyBorder="1" applyAlignment="1">
      <x:alignment horizontal="right" vertical="bottom"/>
    </x:xf>
    <x:xf numFmtId="168" fontId="3" fillId="0" borderId="2" xfId="0" applyNumberFormat="1" applyFont="1" applyFill="1" applyBorder="1" applyAlignment="1">
      <x:alignment horizontal="right" vertical="bottom"/>
    </x:xf>
    <x:xf numFmtId="168" fontId="2" fillId="2" borderId="0" xfId="0" applyNumberFormat="1" applyFont="1" applyFill="1" applyBorder="1" applyAlignment="1">
      <x:alignment horizontal="right" vertical="bottom"/>
    </x:xf>
    <x:xf numFmtId="168" fontId="4" fillId="0" borderId="0" xfId="0" applyNumberFormat="1" applyFont="1" applyFill="1" applyBorder="1" applyAlignment="1">
      <x:alignment horizontal="right" vertical="bottom"/>
    </x:xf>
    <x:xf numFmtId="0" fontId="2" fillId="2" borderId="0" xfId="0" applyNumberFormat="1" applyFont="1" applyFill="1" applyBorder="1" applyAlignment="1">
      <x:alignment horizontal="right" vertical="bottom"/>
    </x:xf>
    <x:xf numFmtId="165" fontId="8" fillId="0" borderId="0" xfId="0" applyNumberFormat="1" applyFont="1" applyFill="1" applyBorder="1" applyAlignment="1">
      <x:alignment horizontal="left" vertical="bottom"/>
    </x:xf>
    <x:xf numFmtId="165" fontId="8" fillId="0" borderId="0" xfId="0" applyNumberFormat="1" applyFont="1" applyFill="1" applyBorder="1" applyAlignment="1">
      <x:alignment horizontal="left" vertical="bottom" wrapText="1"/>
    </x:xf>
    <x:xf numFmtId="0" fontId="3" fillId="3" borderId="1" xfId="0" applyNumberFormat="1" applyFont="1" applyFill="1" applyBorder="1" applyAlignment="1">
      <x:alignment horizontal="general" vertical="bottom" wrapText="1"/>
    </x:xf>
    <x:xf numFmtId="0" fontId="3" fillId="3" borderId="1" xfId="0" applyNumberFormat="1" applyFont="1" applyFill="1" applyBorder="1" applyAlignment="1">
      <x:alignment horizontal="right" vertical="bottom" wrapText="1"/>
    </x:xf>
    <x:xf numFmtId="0" fontId="3" fillId="3" borderId="1" xfId="0" applyNumberFormat="1" applyFont="1" applyFill="1" applyBorder="1" applyAlignment="1">
      <x:alignment horizontal="general" vertical="center" wrapText="1"/>
    </x:xf>
    <x:xf numFmtId="0" fontId="3" fillId="3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409838eba44bf" /><Relationship Type="http://schemas.openxmlformats.org/officeDocument/2006/relationships/theme" Target="/xl/theme/theme1.xml" Id="R0ada2b0e54a14266" /><Relationship Type="http://schemas.openxmlformats.org/officeDocument/2006/relationships/sharedStrings" Target="/xl/sharedStrings.xml" Id="Rf3ddaafa69c14536" /><Relationship Type="http://schemas.openxmlformats.org/officeDocument/2006/relationships/worksheet" Target="/xl/worksheets/sheet1.xml" Id="Rcc56bb94c39946ae" /><Relationship Type="http://schemas.openxmlformats.org/officeDocument/2006/relationships/worksheet" Target="/xl/worksheets/sheet2.xml" Id="Rdc844323d59244dc" /><Relationship Type="http://schemas.openxmlformats.org/officeDocument/2006/relationships/worksheet" Target="/xl/worksheets/sheet3.xml" Id="R5e94e242213146d3" /><Relationship Type="http://schemas.openxmlformats.org/officeDocument/2006/relationships/worksheet" Target="/xl/worksheets/sheet4.xml" Id="R5e726f2293064e65" /><Relationship Type="http://schemas.openxmlformats.org/officeDocument/2006/relationships/worksheet" Target="/xl/worksheets/sheet5.xml" Id="Rcce82866e0b245a6" /><Relationship Type="http://schemas.openxmlformats.org/officeDocument/2006/relationships/worksheet" Target="/xl/worksheets/sheet6.xml" Id="Rf6949697931d4c2c" /><Relationship Type="http://schemas.openxmlformats.org/officeDocument/2006/relationships/worksheet" Target="/xl/worksheets/sheet7.xml" Id="R7371fd013999423a" /><Relationship Type="http://schemas.openxmlformats.org/officeDocument/2006/relationships/worksheet" Target="/xl/worksheets/sheet8.xml" Id="R15349f3bea6e4a0f" /><Relationship Type="http://schemas.openxmlformats.org/officeDocument/2006/relationships/worksheet" Target="/xl/worksheets/sheet9.xml" Id="Rb2fad49921584188" /><Relationship Type="http://schemas.openxmlformats.org/officeDocument/2006/relationships/worksheet" Target="/xl/worksheets/sheet10.xml" Id="Rbbd75f4fbb974f10" /><Relationship Type="http://schemas.openxmlformats.org/officeDocument/2006/relationships/worksheet" Target="/xl/worksheets/sheet11.xml" Id="R6c6fcf25e80c4a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be97b9988da4ecb" /></Relationships>
</file>

<file path=xl/drawings/drawing1.xml><?xml version="1.0" encoding="utf-8"?>
<xdr:wsDr xmlns:xdr="http://schemas.openxmlformats.org/drawingml/2006/spreadsheetDrawing">
  <xdr:oneCellAnchor>
    <xdr:from>
      <xdr:col>0</xdr:col>
      <xdr:colOff>66675</xdr:colOff>
      <xdr:row>0</xdr:row>
      <xdr:rowOff>66675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e97b9988da4e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3fa0bfa183a449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4" customWidth="1"/>
    <x:col min="3" max="8" width="14" customWidth="1"/>
    <x:col min="10" max="10" width="90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1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27" t="s">
        <x:v>9</x:v>
      </x:c>
      <x:c r="C9" s="2"/>
      <x:c r="D9" s="2"/>
      <x:c r="E9" s="2"/>
      <x:c r="F9" s="2"/>
      <x:c r="G9" s="2"/>
      <x:c r="H9" s="4"/>
    </x:row>
    <x:row r="10">
      <x:c r="B10" s="3" t="s">
        <x:v>10</x:v>
      </x:c>
      <x:c r="C10" s="2" t="s">
        <x:v>0</x:v>
      </x:c>
      <x:c r="D10" s="2"/>
      <x:c r="E10" s="2"/>
      <x:c r="F10" s="2"/>
      <x:c r="G10" s="2"/>
      <x:c r="H10" s="4"/>
    </x:row>
    <x:row r="11">
      <x:c r="B11" s="3" t="s">
        <x:v>11</x:v>
      </x:c>
      <x:c r="C11" s="2" t="s">
        <x:v>12</x:v>
      </x:c>
      <x:c r="D11" s="2"/>
      <x:c r="E11" s="2"/>
      <x:c r="F11" s="2"/>
      <x:c r="G11" s="2"/>
      <x:c r="H11" s="4"/>
    </x:row>
    <x:row r="12">
      <x:c r="B12" s="3" t="s">
        <x:v>13</x:v>
      </x:c>
      <x:c r="C12" s="9" t="s">
        <x:v>14</x:v>
      </x:c>
      <x:c r="D12" s="2"/>
      <x:c r="E12" s="2"/>
      <x:c r="F12" s="2"/>
      <x:c r="G12" s="2"/>
      <x:c r="H12" s="4"/>
    </x:row>
    <x:row r="13">
      <x:c r="B13" s="3" t="s">
        <x:v>15</x:v>
      </x:c>
      <x:c r="C13" s="2" t="s">
        <x:v>16</x:v>
      </x:c>
      <x:c r="D13" s="2"/>
      <x:c r="E13" s="2"/>
      <x:c r="F13" s="2"/>
      <x:c r="G13" s="2"/>
      <x:c r="H13" s="4"/>
    </x:row>
    <x:row r="14">
      <x:c r="B14" s="3" t="s">
        <x:v>17</x:v>
      </x:c>
      <x:c r="C14" s="2" t="s">
        <x:v>18</x:v>
      </x:c>
      <x:c r="D14" s="2"/>
      <x:c r="E14" s="2"/>
      <x:c r="F14" s="2"/>
      <x:c r="G14" s="2"/>
      <x:c r="H14" s="4"/>
    </x:row>
    <x:row r="15">
      <x:c r="B15" s="3" t="s">
        <x:v>19</x:v>
      </x:c>
      <x:c r="C15" s="2" t="s">
        <x:v>20</x:v>
      </x:c>
      <x:c r="D15" s="2"/>
      <x:c r="E15" s="2"/>
      <x:c r="F15" s="2"/>
      <x:c r="G15" s="2"/>
      <x:c r="H15" s="4"/>
    </x:row>
    <x:row r="16">
      <x:c r="B16" s="3" t="s">
        <x:v>21</x:v>
      </x:c>
      <x:c r="C16" s="35" t="n">
        <x:f>Inputs!C132</x:f>
        <x:v>46294</x:v>
      </x:c>
      <x:c r="D16" s="2"/>
      <x:c r="E16" s="2"/>
      <x:c r="F16" s="2"/>
      <x:c r="G16" s="2"/>
      <x:c r="H16" s="4"/>
    </x:row>
    <x:row r="17">
      <x:c r="B17" s="3" t="s">
        <x:v>22</x:v>
      </x:c>
      <x:c r="C17" s="35" t="n">
        <x:f>Sources!C20</x:f>
        <x:v>46289</x:v>
      </x:c>
      <x:c r="D17" s="2"/>
      <x:c r="E17" s="2"/>
      <x:c r="F17" s="2"/>
      <x:c r="G17" s="2"/>
      <x:c r="H17" s="4"/>
    </x:row>
    <x:row r="18">
      <x:c r="B18" s="3"/>
      <x:c r="C18" s="2"/>
      <x:c r="D18" s="2"/>
      <x:c r="E18" s="2"/>
      <x:c r="F18" s="2"/>
      <x:c r="G18" s="2"/>
      <x:c r="H18" s="4"/>
    </x:row>
    <x:row r="19">
      <x:c r="B19" s="3" t="s">
        <x:v>23</x:v>
      </x:c>
      <x:c r="C19" s="2"/>
      <x:c r="D19" s="2"/>
      <x:c r="E19" s="2"/>
      <x:c r="F19" s="2"/>
      <x:c r="G19" s="2"/>
      <x:c r="H19" s="4"/>
    </x:row>
    <x:row r="20" ht="32" customHeight="1">
      <x:c r="B20" s="64" t="s">
        <x:v>24</x:v>
      </x:c>
      <x:c r="C20" s="65" t="s">
        <x:v>25</x:v>
      </x:c>
      <x:c r="D20" s="65" t="s">
        <x:v>26</x:v>
      </x:c>
      <x:c r="E20" s="65" t="s">
        <x:v>27</x:v>
      </x:c>
      <x:c r="F20" s="65" t="s">
        <x:v>28</x:v>
      </x:c>
      <x:c r="G20" s="2"/>
      <x:c r="H20" s="4"/>
    </x:row>
    <x:row r="21" ht="26.25">
      <x:c r="B21" s="3" t="s">
        <x:v>29</x:v>
      </x:c>
      <x:c r="C21" s="17" t="n">
        <x:f>'Income Statement'!H10</x:f>
        <x:v>6807.764200879322</x:v>
      </x:c>
      <x:c r="D21" s="17" t="n">
        <x:f>Inputs!C150</x:f>
        <x:v>6984.29</x:v>
      </x:c>
      <x:c r="E21" s="13" t="n">
        <x:f>C21-D21</x:f>
        <x:v>-176.52579912067813</x:v>
      </x:c>
      <x:c r="F21" s="52" t="str">
        <x:f>Guidance!G16</x:f>
        <x:v>unavailable</x:v>
      </x:c>
      <x:c r="G21" s="2"/>
      <x:c r="H21" s="4"/>
    </x:row>
    <x:row r="22">
      <x:c r="B22" s="3" t="s">
        <x:v>30</x:v>
      </x:c>
      <x:c r="C22" s="17" t="n">
        <x:f>'Income Statement'!H46</x:f>
        <x:v>87.78750000000014</x:v>
      </x:c>
      <x:c r="D22" s="51" t="s">
        <x:v>31</x:v>
      </x:c>
      <x:c r="E22" s="51" t="s">
        <x:v>31</x:v>
      </x:c>
      <x:c r="F22" s="52" t="str">
        <x:f>Guidance!G17</x:f>
        <x:v>unavailable</x:v>
      </x:c>
      <x:c r="G22" s="2"/>
      <x:c r="H22" s="4"/>
    </x:row>
    <x:row r="23">
      <x:c r="B23" s="3" t="s">
        <x:v>32</x:v>
      </x:c>
      <x:c r="C23" s="8" t="n">
        <x:f>'Income Statement'!H45</x:f>
        <x:v>0.617786769880367</x:v>
      </x:c>
      <x:c r="D23" s="8" t="n">
        <x:f>Inputs!C133</x:f>
        <x:v>0.72</x:v>
      </x:c>
      <x:c r="E23" s="5" t="n">
        <x:f>C23-D23</x:f>
        <x:v>-0.10221323011963301</x:v>
      </x:c>
      <x:c r="F23" s="52" t="str">
        <x:f>Guidance!G17</x:f>
        <x:v>unavailable</x:v>
      </x:c>
      <x:c r="G23" s="2"/>
      <x:c r="H23" s="4"/>
    </x:row>
    <x:row r="24">
      <x:c r="B24" s="3" t="s">
        <x:v>33</x:v>
      </x:c>
      <x:c r="C24" s="8" t="n">
        <x:f>'Income Statement'!H40</x:f>
        <x:v>0.617786769880367</x:v>
      </x:c>
      <x:c r="D24" s="8" t="n">
        <x:f>Inputs!C142</x:f>
        <x:v>0.7</x:v>
      </x:c>
      <x:c r="E24" s="5" t="n">
        <x:f>C24-D24</x:f>
        <x:v>-0.082213230119633</x:v>
      </x:c>
      <x:c r="F24" s="52" t="str">
        <x:f>Guidance!G17</x:f>
        <x:v>unavailable</x:v>
      </x:c>
      <x:c r="G24" s="2"/>
      <x:c r="H24" s="4"/>
    </x:row>
    <x:row r="25">
      <x:c r="B25" s="3" t="s">
        <x:v>34</x:v>
      </x:c>
      <x:c r="C25" s="30">
        <x:v>0.36</x:v>
      </x:c>
      <x:c r="D25" s="2"/>
      <x:c r="E25" s="2"/>
      <x:c r="F25" s="53"/>
      <x:c r="G25" s="2"/>
      <x:c r="H25" s="4"/>
    </x:row>
    <x:row r="26">
      <x:c r="B26" s="3" t="s">
        <x:v>35</x:v>
      </x:c>
      <x:c r="C26" s="2" t="s">
        <x:v>36</x:v>
      </x:c>
      <x:c r="D26" s="2"/>
      <x:c r="E26" s="2"/>
      <x:c r="F26" s="53"/>
      <x:c r="G26" s="2"/>
      <x:c r="H26" s="4"/>
    </x:row>
    <x:row r="27">
      <x:c r="B27" s="3"/>
      <x:c r="C27" s="2"/>
      <x:c r="D27" s="2"/>
      <x:c r="E27" s="2"/>
      <x:c r="F27" s="53"/>
      <x:c r="G27" s="2"/>
      <x:c r="H27" s="4"/>
    </x:row>
    <x:row r="28">
      <x:c r="B28" s="3" t="s">
        <x:v>37</x:v>
      </x:c>
      <x:c r="C28" s="17" t="n">
        <x:f>'Income Statement'!H34</x:f>
        <x:v>87.78750000000014</x:v>
      </x:c>
      <x:c r="D28" s="17" t="n">
        <x:f>Inputs!C161</x:f>
        <x:v>105.31</x:v>
      </x:c>
      <x:c r="E28" s="13" t="n">
        <x:f>C28-D28</x:f>
        <x:v>-17.522499999999866</x:v>
      </x:c>
      <x:c r="F28" s="52" t="str">
        <x:f>Guidance!G17</x:f>
        <x:v>unavailable</x:v>
      </x:c>
      <x:c r="G28" s="2"/>
      <x:c r="H28" s="4"/>
    </x:row>
    <x:row r="29">
      <x:c r="B29" s="3" t="s">
        <x:v>38</x:v>
      </x:c>
      <x:c r="C29" s="10" t="str">
        <x:f>IF(AND(ABS('Revenue summary'!H40)&lt;0.000001,ABS('Segment - Sales Operations'!H82)&lt;0.000001,ABS('Segment - Auto Finance'!H59)&lt;0.000001,ABS('Balance Sheet'!H44)&lt;0.000001,ABS('Cash Flow Statement'!H27)&lt;0.000001,ABS('Cash Flow Statement'!H29)&lt;0.000001,ABS('Cash Flow Statement'!H49)&lt;0.000001,ABS('Cash Flow Statement'!H57)&lt;0.000001,ABS('Cash Flow Statement'!H68)&lt;0.000001,ABS('Income Statement'!H47)&lt;0.000001,ABS('Income Statement'!H48)&lt;0.000001,ABS(C21-'Income Statement'!H10)&lt;0.000001,ABS(C23-'Income Statement'!H45)&lt;0.000001),"PASS","FAIL")</x:f>
        <x:v>PASS</x:v>
      </x:c>
      <x:c r="D29" s="2"/>
      <x:c r="E29" s="2"/>
      <x:c r="F29" s="2"/>
      <x:c r="G29" s="2"/>
      <x:c r="H29" s="4"/>
      <x:c r="J29" s="2"/>
    </x:row>
    <x:row r="30">
      <x:c r="B30" s="3" t="s">
        <x:v>39</x:v>
      </x:c>
      <x:c r="C30" s="2" t="s">
        <x:v>40</x:v>
      </x:c>
      <x:c r="D30" s="2"/>
      <x:c r="E30" s="2"/>
      <x:c r="F30" s="2"/>
      <x:c r="G30" s="2"/>
      <x:c r="H30" s="4"/>
      <x:c r="J30" s="2" t="s">
        <x:v>41</x:v>
      </x:c>
    </x:row>
    <x:row r="31">
      <x:c r="B31" s="3"/>
      <x:c r="C31" s="2"/>
      <x:c r="D31" s="2"/>
      <x:c r="E31" s="2"/>
      <x:c r="F31" s="2"/>
      <x:c r="G31" s="2"/>
      <x:c r="H31" s="4"/>
    </x:row>
    <x:row r="32">
      <x:c r="H32" s="1"/>
    </x:row>
    <x:row r="33">
      <x:c r="H33" s="1"/>
    </x:row>
    <x:row r="34">
      <x:c r="H34" s="1"/>
    </x:row>
    <x:row r="35">
      <x:c r="H35" s="1"/>
    </x:row>
    <x:row r="36">
      <x:c r="H36" s="1"/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  <x:row r="91">
      <x:c r="H91" s="1"/>
    </x:row>
    <x:row r="92">
      <x:c r="H92" s="1"/>
    </x:row>
    <x:row r="93">
      <x:c r="H93" s="1"/>
    </x:row>
    <x:row r="94">
      <x:c r="H94" s="1"/>
    </x:row>
    <x:row r="95">
      <x:c r="H95" s="1"/>
    </x:row>
    <x:row r="96">
      <x:c r="H96" s="1"/>
    </x:row>
    <x:row r="97">
      <x:c r="H97" s="1"/>
    </x:row>
    <x:row r="98">
      <x:c r="H98" s="1"/>
    </x:row>
    <x:row r="99">
      <x:c r="H99" s="1"/>
    </x:row>
    <x:row r="100">
      <x:c r="H100" s="1"/>
    </x:row>
    <x:row r="101">
      <x:c r="H101" s="1"/>
    </x:row>
    <x:row r="102">
      <x:c r="H102" s="1"/>
    </x:row>
    <x:row r="103">
      <x:c r="H103" s="1"/>
    </x:row>
    <x:row r="104">
      <x:c r="H104" s="1"/>
    </x:row>
    <x:row r="105">
      <x:c r="H105" s="1"/>
    </x:row>
    <x:row r="106">
      <x:c r="H106" s="1"/>
    </x:row>
    <x:row r="107">
      <x:c r="H107" s="1"/>
    </x:row>
    <x:row r="108">
      <x:c r="H108" s="1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</x:sheetData>
  <x:pageMargins left="0.7" right="0.7" top="0.75" bottom="0.75" header="0.3" footer="0.3"/>
  <x:drawing xmlns:r="http://schemas.openxmlformats.org/officeDocument/2006/relationships" r:id="Rb3fa0bfa183a4495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42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3" t="s">
        <x:v>43</x:v>
      </x:c>
      <x:c r="C9" s="13"/>
      <x:c r="D9" s="13"/>
      <x:c r="E9" s="13"/>
      <x:c r="F9" s="13"/>
      <x:c r="G9" s="13"/>
      <x:c r="H9" s="14"/>
    </x:row>
    <x:row r="10">
      <x:c r="B10" s="15" t="s">
        <x:v>44</x:v>
      </x:c>
      <x:c r="C10" s="20" t="n">
        <x:f>'Segment - Sales Operations'!C43</x:f>
        <x:v>6594.68</x:v>
      </x:c>
      <x:c r="D10" s="20" t="n">
        <x:f>'Segment - Sales Operations'!D43</x:f>
        <x:v>5793.95</x:v>
      </x:c>
      <x:c r="E10" s="20" t="n">
        <x:f>'Segment - Sales Operations'!E43</x:f>
        <x:v>5945.96</x:v>
      </x:c>
      <x:c r="F10" s="20" t="n">
        <x:f>'Segment - Sales Operations'!F43</x:f>
        <x:v>25881.131</x:v>
      </x:c>
      <x:c r="G10" s="20" t="n">
        <x:f>'Segment - Sales Operations'!G43</x:f>
        <x:v>8013.52</x:v>
      </x:c>
      <x:c r="H10" s="25" t="n">
        <x:f>'Segment - Sales Operations'!H43</x:f>
        <x:v>6807.764200879322</x:v>
      </x:c>
    </x:row>
    <x:row r="11">
      <x:c r="B11" s="22" t="s">
        <x:v>45</x:v>
      </x:c>
      <x:c r="C11" s="12"/>
      <x:c r="D11" s="12"/>
      <x:c r="E11" s="12"/>
      <x:c r="F11" s="12"/>
      <x:c r="G11" s="12"/>
      <x:c r="H11" s="19" t="n">
        <x:f>IFERROR(H10/C10-1,0)</x:f>
        <x:v>0.032311530033196645</x:v>
      </x:c>
    </x:row>
    <x:row r="12">
      <x:c r="B12" s="22" t="s">
        <x:v>46</x:v>
      </x:c>
      <x:c r="C12" s="12"/>
      <x:c r="D12" s="12" t="n">
        <x:f>IFERROR(D10/C10-1,0)</x:f>
        <x:v>-0.1214205996348573</x:v>
      </x:c>
      <x:c r="E12" s="12" t="n">
        <x:f>IFERROR(E10/D10-1,0)</x:f>
        <x:v>0.02623598753872569</x:v>
      </x:c>
      <x:c r="F12" s="12"/>
      <x:c r="G12" s="12" t="n">
        <x:f>IFERROR(G10/E10-1,0)</x:f>
        <x:v>0.3477251781041246</x:v>
      </x:c>
      <x:c r="H12" s="19" t="n">
        <x:f>IFERROR(H10/G10-1,0)</x:f>
        <x:v>-0.15046518872114611</x:v>
      </x:c>
    </x:row>
    <x:row r="13">
      <x:c r="B13" s="22" t="s">
        <x:v>47</x:v>
      </x:c>
      <x:c r="C13" s="12" t="n">
        <x:f>IFERROR(C10/C22,0)</x:f>
        <x:v>1</x:v>
      </x:c>
      <x:c r="D13" s="12" t="n">
        <x:f>IFERROR(D10/D22,0)</x:f>
        <x:v>1</x:v>
      </x:c>
      <x:c r="E13" s="12" t="n">
        <x:f>IFERROR(E10/E22,0)</x:f>
        <x:v>1</x:v>
      </x:c>
      <x:c r="F13" s="12" t="n">
        <x:f>IFERROR(F10/F22,0)</x:f>
        <x:v>1</x:v>
      </x:c>
      <x:c r="G13" s="12" t="n">
        <x:f>IFERROR(G10/G22,0)</x:f>
        <x:v>1</x:v>
      </x:c>
      <x:c r="H13" s="19" t="n">
        <x:f>IFERROR(H10/H22,0)</x:f>
        <x:v>1</x:v>
      </x:c>
    </x:row>
    <x:row r="14" ht="26.25">
      <x:c r="B14" s="15" t="s">
        <x:v>48</x:v>
      </x:c>
      <x:c r="C14" s="20" t="n">
        <x:f>'Segment - Auto Finance'!C10</x:f>
        <x:v>489.8</x:v>
      </x:c>
      <x:c r="D14" s="20" t="n">
        <x:f>'Segment - Auto Finance'!D10</x:f>
        <x:v>448</x:v>
      </x:c>
      <x:c r="E14" s="20" t="n">
        <x:f>'Segment - Auto Finance'!E10</x:f>
        <x:v>441</x:v>
      </x:c>
      <x:c r="F14" s="20" t="n">
        <x:f>'Segment - Auto Finance'!F10</x:f>
        <x:v>1864.2</x:v>
      </x:c>
      <x:c r="G14" s="20" t="n">
        <x:f>'Segment - Auto Finance'!G10</x:f>
        <x:v>460.9</x:v>
      </x:c>
      <x:c r="H14" s="25" t="n">
        <x:f>'Segment - Auto Finance'!H10</x:f>
        <x:v>456.99999999999994</x:v>
      </x:c>
    </x:row>
    <x:row r="15">
      <x:c r="B15" s="22" t="s">
        <x:v>45</x:v>
      </x:c>
      <x:c r="C15" s="12"/>
      <x:c r="D15" s="12"/>
      <x:c r="E15" s="12"/>
      <x:c r="F15" s="12"/>
      <x:c r="G15" s="12"/>
      <x:c r="H15" s="19" t="n">
        <x:f>IFERROR(H14/C14-1,0)</x:f>
        <x:v>-0.06696610861576169</x:v>
      </x:c>
    </x:row>
    <x:row r="16">
      <x:c r="B16" s="22" t="s">
        <x:v>46</x:v>
      </x:c>
      <x:c r="C16" s="12"/>
      <x:c r="D16" s="12" t="n">
        <x:f>IFERROR(D14/C14-1,0)</x:f>
        <x:v>-0.08534095549203757</x:v>
      </x:c>
      <x:c r="E16" s="12" t="n">
        <x:f>IFERROR(E14/D14-1,0)</x:f>
        <x:v>-0.015625</x:v>
      </x:c>
      <x:c r="F16" s="12"/>
      <x:c r="G16" s="12" t="n">
        <x:f>IFERROR(G14/E14-1,0)</x:f>
        <x:v>0.04512471655328798</x:v>
      </x:c>
      <x:c r="H16" s="19" t="n">
        <x:f>IFERROR(H14/G14-1,0)</x:f>
        <x:v>-0.008461705359080085</x:v>
      </x:c>
    </x:row>
    <x:row r="17">
      <x:c r="B17" s="22" t="s">
        <x:v>49</x:v>
      </x:c>
      <x:c r="C17" s="12" t="n">
        <x:f>IFERROR(C14/C22,0)</x:f>
        <x:v>0.07427198893653672</x:v>
      </x:c>
      <x:c r="D17" s="12" t="n">
        <x:f>IFERROR(D14/D22,0)</x:f>
        <x:v>0.077322034190837</x:v>
      </x:c>
      <x:c r="E17" s="12" t="n">
        <x:f>IFERROR(E14/E22,0)</x:f>
        <x:v>0.0741680065119846</x:v>
      </x:c>
      <x:c r="F17" s="12" t="n">
        <x:f>IFERROR(F14/F22,0)</x:f>
        <x:v>0.07202930969284148</x:v>
      </x:c>
      <x:c r="G17" s="12" t="n">
        <x:f>IFERROR(G14/G22,0)</x:f>
        <x:v>0.05751529914444588</x:v>
      </x:c>
      <x:c r="H17" s="19" t="n">
        <x:f>IFERROR(H14/H22,0)</x:f>
        <x:v>0.06712923457909599</x:v>
      </x:c>
    </x:row>
    <x:row r="18" ht="36.75">
      <x:c r="B18" s="15" t="s">
        <x:v>50</x:v>
      </x:c>
      <x:c r="C18" s="23" t="n">
        <x:f>-C14</x:f>
        <x:v>-489.8</x:v>
      </x:c>
      <x:c r="D18" s="23" t="n">
        <x:f>-D14</x:f>
        <x:v>-448</x:v>
      </x:c>
      <x:c r="E18" s="23" t="n">
        <x:f>-E14</x:f>
        <x:v>-441</x:v>
      </x:c>
      <x:c r="F18" s="23" t="n">
        <x:f>-F14</x:f>
        <x:v>-1864.2</x:v>
      </x:c>
      <x:c r="G18" s="23" t="n">
        <x:f>-G14</x:f>
        <x:v>-460.9</x:v>
      </x:c>
      <x:c r="H18" s="18" t="n">
        <x:f>-H14</x:f>
        <x:v>-456.99999999999994</x:v>
      </x:c>
    </x:row>
    <x:row r="19">
      <x:c r="B19" s="22" t="s">
        <x:v>45</x:v>
      </x:c>
      <x:c r="C19" s="12"/>
      <x:c r="D19" s="12"/>
      <x:c r="E19" s="12"/>
      <x:c r="F19" s="12"/>
      <x:c r="G19" s="12"/>
      <x:c r="H19" s="19" t="n">
        <x:f>IFERROR(H18/C18-1,0)</x:f>
        <x:v>-0.06696610861576169</x:v>
      </x:c>
    </x:row>
    <x:row r="20">
      <x:c r="B20" s="22" t="s">
        <x:v>46</x:v>
      </x:c>
      <x:c r="C20" s="12"/>
      <x:c r="D20" s="12" t="n">
        <x:f>IFERROR(D18/C18-1,0)</x:f>
        <x:v>-0.08534095549203757</x:v>
      </x:c>
      <x:c r="E20" s="12" t="n">
        <x:f>IFERROR(E18/D18-1,0)</x:f>
        <x:v>-0.015625</x:v>
      </x:c>
      <x:c r="F20" s="12"/>
      <x:c r="G20" s="12" t="n">
        <x:f>IFERROR(G18/E18-1,0)</x:f>
        <x:v>0.04512471655328798</x:v>
      </x:c>
      <x:c r="H20" s="19" t="n">
        <x:f>IFERROR(H18/G18-1,0)</x:f>
        <x:v>-0.008461705359080085</x:v>
      </x:c>
    </x:row>
    <x:row r="21">
      <x:c r="B21" s="22" t="s">
        <x:v>49</x:v>
      </x:c>
      <x:c r="C21" s="12" t="n">
        <x:f>IFERROR(C18/C22,0)</x:f>
        <x:v>-0.07427198893653672</x:v>
      </x:c>
      <x:c r="D21" s="12" t="n">
        <x:f>IFERROR(D18/D22,0)</x:f>
        <x:v>-0.077322034190837</x:v>
      </x:c>
      <x:c r="E21" s="12" t="n">
        <x:f>IFERROR(E18/E22,0)</x:f>
        <x:v>-0.0741680065119846</x:v>
      </x:c>
      <x:c r="F21" s="12" t="n">
        <x:f>IFERROR(F18/F22,0)</x:f>
        <x:v>-0.07202930969284148</x:v>
      </x:c>
      <x:c r="G21" s="12" t="n">
        <x:f>IFERROR(G18/G22,0)</x:f>
        <x:v>-0.05751529914444588</x:v>
      </x:c>
      <x:c r="H21" s="19" t="n">
        <x:f>IFERROR(H18/H22,0)</x:f>
        <x:v>-0.06712923457909599</x:v>
      </x:c>
    </x:row>
    <x:row r="22" ht="26.25">
      <x:c r="B22" s="15" t="s">
        <x:v>51</x:v>
      </x:c>
      <x:c r="C22" s="23" t="n">
        <x:f>SUM(C10,C14,C18)</x:f>
        <x:v>6594.68</x:v>
      </x:c>
      <x:c r="D22" s="23" t="n">
        <x:f>SUM(D10,D14,D18)</x:f>
        <x:v>5793.95</x:v>
      </x:c>
      <x:c r="E22" s="23" t="n">
        <x:f>SUM(E10,E14,E18)</x:f>
        <x:v>5945.96</x:v>
      </x:c>
      <x:c r="F22" s="23" t="n">
        <x:f>SUM(F10,F14,F18)</x:f>
        <x:v>25881.131</x:v>
      </x:c>
      <x:c r="G22" s="23" t="n">
        <x:f>SUM(G10,G14,G18)</x:f>
        <x:v>8013.52</x:v>
      </x:c>
      <x:c r="H22" s="18" t="n">
        <x:f>SUM(H10,H14,H18)</x:f>
        <x:v>6807.764200879322</x:v>
      </x:c>
    </x:row>
    <x:row r="23">
      <x:c r="B23" s="22" t="s">
        <x:v>45</x:v>
      </x:c>
      <x:c r="C23" s="12"/>
      <x:c r="D23" s="12"/>
      <x:c r="E23" s="12"/>
      <x:c r="F23" s="12"/>
      <x:c r="G23" s="12"/>
      <x:c r="H23" s="19" t="n">
        <x:f>IFERROR(H22/C22-1,0)</x:f>
        <x:v>0.032311530033196645</x:v>
      </x:c>
    </x:row>
    <x:row r="24">
      <x:c r="B24" s="22" t="s">
        <x:v>46</x:v>
      </x:c>
      <x:c r="C24" s="12"/>
      <x:c r="D24" s="12" t="n">
        <x:f>IFERROR(D22/C22-1,0)</x:f>
        <x:v>-0.1214205996348573</x:v>
      </x:c>
      <x:c r="E24" s="12" t="n">
        <x:f>IFERROR(E22/D22-1,0)</x:f>
        <x:v>0.02623598753872569</x:v>
      </x:c>
      <x:c r="F24" s="12"/>
      <x:c r="G24" s="12" t="n">
        <x:f>IFERROR(G22/E22-1,0)</x:f>
        <x:v>0.3477251781041246</x:v>
      </x:c>
      <x:c r="H24" s="19" t="n">
        <x:f>IFERROR(H22/G22-1,0)</x:f>
        <x:v>-0.15046518872114611</x:v>
      </x:c>
    </x:row>
    <x:row r="25">
      <x:c r="B25" s="22" t="s">
        <x:v>52</x:v>
      </x:c>
      <x:c r="C25" s="12" t="n">
        <x:f>C26/C22</x:f>
        <x:v>0.7992351410530912</x:v>
      </x:c>
      <x:c r="D25" s="12" t="n">
        <x:f>D26/D22</x:f>
        <x:v>0.7849912408633143</x:v>
      </x:c>
      <x:c r="E25" s="12" t="n">
        <x:f>E26/E22</x:f>
        <x:v>0.8039071907648219</x:v>
      </x:c>
      <x:c r="F25" s="12" t="n">
        <x:f>F26/F22</x:f>
        <x:v>0.7999032190672039</x:v>
      </x:c>
      <x:c r="G25" s="12" t="n">
        <x:f>G26/G22</x:f>
        <x:v>0.7975646157992992</x:v>
      </x:c>
      <x:c r="H25" s="19" t="n">
        <x:f>H26/H22</x:f>
        <x:v>0.8032910395656653</x:v>
      </x:c>
    </x:row>
    <x:row r="26">
      <x:c r="B26" s="15" t="s">
        <x:v>53</x:v>
      </x:c>
      <x:c r="C26" s="20" t="n">
        <x:f>'Segment - Sales Operations'!C16</x:f>
        <x:v>5270.7</x:v>
      </x:c>
      <x:c r="D26" s="20" t="n">
        <x:f>'Segment - Sales Operations'!D16</x:f>
        <x:v>4548.2</x:v>
      </x:c>
      <x:c r="E26" s="20" t="n">
        <x:f>'Segment - Sales Operations'!E16</x:f>
        <x:v>4780</x:v>
      </x:c>
      <x:c r="F26" s="20" t="n">
        <x:f>'Segment - Sales Operations'!F16</x:f>
        <x:v>20702.4</x:v>
      </x:c>
      <x:c r="G26" s="20" t="n">
        <x:f>'Segment - Sales Operations'!G16</x:f>
        <x:v>6391.3</x:v>
      </x:c>
      <x:c r="H26" s="25" t="n">
        <x:f>'Segment - Sales Operations'!H16</x:f>
        <x:v>5468.615982042271</x:v>
      </x:c>
    </x:row>
    <x:row r="27">
      <x:c r="B27" s="22" t="s">
        <x:v>45</x:v>
      </x:c>
      <x:c r="C27" s="12"/>
      <x:c r="D27" s="12"/>
      <x:c r="E27" s="12"/>
      <x:c r="F27" s="12"/>
      <x:c r="G27" s="12"/>
      <x:c r="H27" s="19" t="n">
        <x:f>IFERROR(H26/C26-1,0)</x:f>
        <x:v>0.03755022711257916</x:v>
      </x:c>
    </x:row>
    <x:row r="28">
      <x:c r="B28" s="22" t="s">
        <x:v>46</x:v>
      </x:c>
      <x:c r="C28" s="12"/>
      <x:c r="D28" s="12" t="n">
        <x:f>IFERROR(D26/C26-1,0)</x:f>
        <x:v>-0.13707856641432825</x:v>
      </x:c>
      <x:c r="E28" s="12" t="n">
        <x:f>IFERROR(E26/D26-1,0)</x:f>
        <x:v>0.050965217008926755</x:v>
      </x:c>
      <x:c r="F28" s="12"/>
      <x:c r="G28" s="12" t="n">
        <x:f>IFERROR(G26/E26-1,0)</x:f>
        <x:v>0.33709205020920496</x:v>
      </x:c>
      <x:c r="H28" s="19" t="n">
        <x:f>IFERROR(H26/G26-1,0)</x:f>
        <x:v>-0.14436562482714466</x:v>
      </x:c>
    </x:row>
    <x:row r="29">
      <x:c r="B29" s="15" t="s">
        <x:v>54</x:v>
      </x:c>
      <x:c r="C29" s="20" t="n">
        <x:f>'Segment - Sales Operations'!C28</x:f>
        <x:v>1149.6</x:v>
      </x:c>
      <x:c r="D29" s="20" t="n">
        <x:f>'Segment - Sales Operations'!D28</x:f>
        <x:v>1095.1</x:v>
      </x:c>
      <x:c r="E29" s="20" t="n">
        <x:f>'Segment - Sales Operations'!E28</x:f>
        <x:v>1007.1</x:v>
      </x:c>
      <x:c r="F29" s="20" t="n">
        <x:f>'Segment - Sales Operations'!F28</x:f>
        <x:v>4504.6</x:v>
      </x:c>
      <x:c r="G29" s="20" t="n">
        <x:f>'Segment - Sales Operations'!G28</x:f>
        <x:v>1427.6</x:v>
      </x:c>
      <x:c r="H29" s="25" t="n">
        <x:f>'Segment - Sales Operations'!H28</x:f>
        <x:v>1167.1482188370508</x:v>
      </x:c>
    </x:row>
    <x:row r="30">
      <x:c r="B30" s="22" t="s">
        <x:v>45</x:v>
      </x:c>
      <x:c r="C30" s="12"/>
      <x:c r="D30" s="12"/>
      <x:c r="E30" s="12"/>
      <x:c r="F30" s="12"/>
      <x:c r="G30" s="12"/>
      <x:c r="H30" s="19" t="n">
        <x:f>IFERROR(H29/C29-1,0)</x:f>
        <x:v>0.015264630164449233</x:v>
      </x:c>
    </x:row>
    <x:row r="31">
      <x:c r="B31" s="22" t="s">
        <x:v>46</x:v>
      </x:c>
      <x:c r="C31" s="12"/>
      <x:c r="D31" s="12" t="n">
        <x:f>IFERROR(D29/C29-1,0)</x:f>
        <x:v>-0.0474077940153097</x:v>
      </x:c>
      <x:c r="E31" s="12" t="n">
        <x:f>IFERROR(E29/D29-1,0)</x:f>
        <x:v>-0.08035795817733526</x:v>
      </x:c>
      <x:c r="F31" s="12"/>
      <x:c r="G31" s="12" t="n">
        <x:f>IFERROR(G29/E29-1,0)</x:f>
        <x:v>0.41753549796445233</x:v>
      </x:c>
      <x:c r="H31" s="19" t="n">
        <x:f>IFERROR(H29/G29-1,0)</x:f>
        <x:v>-0.18244030622229557</x:v>
      </x:c>
    </x:row>
    <x:row r="32">
      <x:c r="B32" s="15" t="s">
        <x:v>55</x:v>
      </x:c>
      <x:c r="C32" s="23" t="n">
        <x:f>SUM(C35:C39)</x:f>
        <x:v>174.38000000000136</x:v>
      </x:c>
      <x:c r="D32" s="23" t="n">
        <x:f>SUM(D35:D39)</x:f>
        <x:v>150.65000000000018</x:v>
      </x:c>
      <x:c r="E32" s="23" t="n">
        <x:f>SUM(E35:E39)</x:f>
        <x:v>158.85999999999947</x:v>
      </x:c>
      <x:c r="F32" s="23" t="n">
        <x:f>SUM(F35:F39)</x:f>
        <x:v>674.1310000000005</x:v>
      </x:c>
      <x:c r="G32" s="23" t="n">
        <x:f>SUM(G35:G39)</x:f>
        <x:v>194.62000000000043</x:v>
      </x:c>
      <x:c r="H32" s="18" t="n">
        <x:f>SUM(H35:H39)</x:f>
        <x:v>172</x:v>
      </x:c>
    </x:row>
    <x:row r="33">
      <x:c r="B33" s="22" t="s">
        <x:v>45</x:v>
      </x:c>
      <x:c r="C33" s="12"/>
      <x:c r="D33" s="12"/>
      <x:c r="E33" s="12"/>
      <x:c r="F33" s="12"/>
      <x:c r="G33" s="12"/>
      <x:c r="H33" s="19" t="n">
        <x:f>IFERROR(H32/C32-1,0)</x:f>
        <x:v>-0.013648354169063737</x:v>
      </x:c>
    </x:row>
    <x:row r="34">
      <x:c r="B34" s="22" t="s">
        <x:v>46</x:v>
      </x:c>
      <x:c r="C34" s="12"/>
      <x:c r="D34" s="12" t="n">
        <x:f>IFERROR(D32/C32-1,0)</x:f>
        <x:v>-0.13608211950912374</x:v>
      </x:c>
      <x:c r="E34" s="12" t="n">
        <x:f>IFERROR(E32/D32-1,0)</x:f>
        <x:v>0.05449717889146566</x:v>
      </x:c>
      <x:c r="F34" s="12"/>
      <x:c r="G34" s="12" t="n">
        <x:f>IFERROR(G32/E32-1,0)</x:f>
        <x:v>0.2251038650384054</x:v>
      </x:c>
      <x:c r="H34" s="19" t="n">
        <x:f>IFERROR(H32/G32-1,0)</x:f>
        <x:v>-0.11622649265235008</x:v>
      </x:c>
    </x:row>
    <x:row r="35">
      <x:c r="B35" s="3" t="s">
        <x:v>56</x:v>
      </x:c>
      <x:c r="C35" s="17" t="n">
        <x:f>'Segment - Sales Operations'!C33</x:f>
        <x:v>115.1</x:v>
      </x:c>
      <x:c r="D35" s="17" t="n">
        <x:f>'Segment - Sales Operations'!D33</x:f>
        <x:v>96.6</x:v>
      </x:c>
      <x:c r="E35" s="17" t="n">
        <x:f>'Segment - Sales Operations'!E33</x:f>
        <x:v>105.3</x:v>
      </x:c>
      <x:c r="F35" s="17" t="n">
        <x:f>'Segment - Sales Operations'!F33</x:f>
        <x:v>448.7</x:v>
      </x:c>
      <x:c r="G35" s="17" t="n">
        <x:f>'Segment - Sales Operations'!G33</x:f>
        <x:v>133.5</x:v>
      </x:c>
      <x:c r="H35" s="24" t="n">
        <x:f>'Segment - Sales Operations'!H33</x:f>
        <x:v>114.99999999999999</x:v>
      </x:c>
    </x:row>
    <x:row r="36">
      <x:c r="B36" s="3" t="s">
        <x:v>57</x:v>
      </x:c>
      <x:c r="C36" s="17" t="n">
        <x:f>'Segment - Sales Operations'!C38</x:f>
        <x:v>-0.8</x:v>
      </x:c>
      <x:c r="D36" s="17" t="n">
        <x:f>'Segment - Sales Operations'!D38</x:f>
        <x:v>-3</x:v>
      </x:c>
      <x:c r="E36" s="17" t="n">
        <x:f>'Segment - Sales Operations'!E38</x:f>
        <x:v>-4.1</x:v>
      </x:c>
      <x:c r="F36" s="17" t="n">
        <x:f>'Segment - Sales Operations'!F38</x:f>
        <x:v>-8.7</x:v>
      </x:c>
      <x:c r="G36" s="17" t="n">
        <x:f>'Segment - Sales Operations'!G38</x:f>
        <x:v>-4.5</x:v>
      </x:c>
      <x:c r="H36" s="24" t="n">
        <x:f>'Segment - Sales Operations'!H38</x:f>
        <x:v>-2</x:v>
      </x:c>
    </x:row>
    <x:row r="37">
      <x:c r="B37" s="3" t="s">
        <x:v>58</x:v>
      </x:c>
      <x:c r="C37" s="17" t="n">
        <x:f>'Segment - Sales Operations'!C39</x:f>
        <x:v>37.9</x:v>
      </x:c>
      <x:c r="D37" s="17" t="n">
        <x:f>'Segment - Sales Operations'!D39</x:f>
        <x:v>35.1</x:v>
      </x:c>
      <x:c r="E37" s="17" t="n">
        <x:f>'Segment - Sales Operations'!E39</x:f>
        <x:v>34.9</x:v>
      </x:c>
      <x:c r="F37" s="17" t="n">
        <x:f>'Segment - Sales Operations'!F39</x:f>
        <x:v>144.5</x:v>
      </x:c>
      <x:c r="G37" s="17" t="n">
        <x:f>'Segment - Sales Operations'!G39</x:f>
        <x:v>36.7</x:v>
      </x:c>
      <x:c r="H37" s="24" t="n">
        <x:f>'Segment - Sales Operations'!H39</x:f>
        <x:v>36</x:v>
      </x:c>
    </x:row>
    <x:row r="38">
      <x:c r="B38" s="3" t="s">
        <x:v>59</x:v>
      </x:c>
      <x:c r="C38" s="17" t="n">
        <x:f>'Segment - Sales Operations'!C40</x:f>
        <x:v>22.2</x:v>
      </x:c>
      <x:c r="D38" s="17" t="n">
        <x:f>'Segment - Sales Operations'!D40</x:f>
        <x:v>21.9</x:v>
      </x:c>
      <x:c r="E38" s="17" t="n">
        <x:f>'Segment - Sales Operations'!E40</x:f>
        <x:v>22.7</x:v>
      </x:c>
      <x:c r="F38" s="17" t="n">
        <x:f>'Segment - Sales Operations'!F40</x:f>
        <x:v>89.7</x:v>
      </x:c>
      <x:c r="G38" s="17" t="n">
        <x:f>'Segment - Sales Operations'!G40</x:f>
        <x:v>28.9</x:v>
      </x:c>
      <x:c r="H38" s="24" t="n">
        <x:f>'Segment - Sales Operations'!H40</x:f>
        <x:v>23</x:v>
      </x:c>
    </x:row>
    <x:row r="39" ht="26.25">
      <x:c r="B39" s="3" t="s">
        <x:v>60</x:v>
      </x:c>
      <x:c r="C39" s="17" t="n">
        <x:f>'Segment - Sales Operations'!C42</x:f>
        <x:v>-0.019999999998617568</x:v>
      </x:c>
      <x:c r="D39" s="17" t="n">
        <x:f>'Segment - Sales Operations'!D42</x:f>
        <x:v>0.0500000000001819</x:v>
      </x:c>
      <x:c r="E39" s="17" t="n">
        <x:f>'Segment - Sales Operations'!E42</x:f>
        <x:v>0.05999999999949068</x:v>
      </x:c>
      <x:c r="F39" s="17" t="n">
        <x:f>'Segment - Sales Operations'!F42</x:f>
        <x:v>-0.06899999999950523</x:v>
      </x:c>
      <x:c r="G39" s="17" t="n">
        <x:f>'Segment - Sales Operations'!G42</x:f>
        <x:v>0.020000000000436557</x:v>
      </x:c>
      <x:c r="H39" s="24" t="n">
        <x:f>'Segment - Sales Operations'!H42</x:f>
        <x:v>0</x:v>
      </x:c>
    </x:row>
    <x:row r="40" ht="26.25">
      <x:c r="B40" s="15" t="s">
        <x:v>61</x:v>
      </x:c>
      <x:c r="C40" s="23" t="n">
        <x:f>C22-C10-C14-C18</x:f>
        <x:v>0</x:v>
      </x:c>
      <x:c r="D40" s="23" t="n">
        <x:f>D22-D10-D14-D18</x:f>
        <x:v>0</x:v>
      </x:c>
      <x:c r="E40" s="23" t="n">
        <x:f>E22-E10-E14-E18</x:f>
        <x:v>0</x:v>
      </x:c>
      <x:c r="F40" s="23" t="n">
        <x:f>F22-F10-F14-F18</x:f>
        <x:v>0</x:v>
      </x:c>
      <x:c r="G40" s="23" t="n">
        <x:f>G22-G10-G14-G18</x:f>
        <x:v>0</x:v>
      </x:c>
      <x:c r="H40" s="18" t="n">
        <x:f>H22-H10-H14-H18</x:f>
        <x:v>0</x:v>
      </x:c>
    </x:row>
    <x:row r="41" ht="36.75">
      <x:c r="B41" s="3" t="s">
        <x:v>62</x:v>
      </x:c>
      <x:c r="C41" s="13"/>
      <x:c r="D41" s="13"/>
      <x:c r="E41" s="13"/>
      <x:c r="F41" s="13"/>
      <x:c r="G41" s="13"/>
      <x:c r="H41" s="14"/>
    </x:row>
    <x:row r="42" ht="36.75">
      <x:c r="B42" s="3" t="s">
        <x:v>63</x:v>
      </x:c>
      <x:c r="C42" s="13"/>
      <x:c r="D42" s="13"/>
      <x:c r="E42" s="13"/>
      <x:c r="F42" s="13"/>
      <x:c r="G42" s="13"/>
      <x:c r="H42" s="14"/>
    </x:row>
    <x:row r="43">
      <x:c r="B43" s="3" t="s">
        <x:v>64</x:v>
      </x:c>
      <x:c r="C43" s="17" t="n">
        <x:f>'Segment - Sales Operations'!C10</x:f>
        <x:v>199729</x:v>
      </x:c>
      <x:c r="D43" s="17" t="n">
        <x:f>'Segment - Sales Operations'!D10</x:f>
        <x:v>169557</x:v>
      </x:c>
      <x:c r="E43" s="17" t="n">
        <x:f>'Segment - Sales Operations'!E10</x:f>
        <x:v>181188</x:v>
      </x:c>
      <x:c r="F43" s="17" t="n">
        <x:f>'Segment - Sales Operations'!F10</x:f>
        <x:v>780684</x:v>
      </x:c>
      <x:c r="G43" s="17" t="n">
        <x:f>'Segment - Sales Operations'!G10</x:f>
        <x:v>230293</x:v>
      </x:c>
      <x:c r="H43" s="24" t="n">
        <x:f>'Segment - Sales Operations'!H10</x:f>
        <x:v>199500</x:v>
      </x:c>
    </x:row>
    <x:row r="44">
      <x:c r="B44" s="3" t="s">
        <x:v>65</x:v>
      </x:c>
      <x:c r="C44" s="17" t="n">
        <x:f>'Segment - Sales Operations'!C22</x:f>
        <x:v>138302</x:v>
      </x:c>
      <x:c r="D44" s="17" t="n">
        <x:f>'Segment - Sales Operations'!D22</x:f>
        <x:v>127603</x:v>
      </x:c>
      <x:c r="E44" s="17" t="n">
        <x:f>'Segment - Sales Operations'!E22</x:f>
        <x:v>122781</x:v>
      </x:c>
      <x:c r="F44" s="17" t="n">
        <x:f>'Segment - Sales Operations'!F22</x:f>
        <x:v>538203</x:v>
      </x:c>
      <x:c r="G44" s="17" t="n">
        <x:f>'Segment - Sales Operations'!G22</x:f>
        <x:v>162064</x:v>
      </x:c>
      <x:c r="H44" s="24" t="n">
        <x:f>'Segment - Sales Operations'!H22</x:f>
        <x:v>138500</x:v>
      </x:c>
    </x:row>
    <x:row r="45" ht="26.25">
      <x:c r="B45" s="22" t="s">
        <x:v>66</x:v>
      </x:c>
      <x:c r="C45" s="12"/>
      <x:c r="D45" s="12"/>
      <x:c r="E45" s="12"/>
      <x:c r="F45" s="12"/>
      <x:c r="G45" s="12"/>
      <x:c r="H45" s="21" t="n">
        <x:f>Inputs!H111</x:f>
        <x:v>-0.032</x:v>
      </x:c>
    </x:row>
    <x:row r="46" ht="26.25">
      <x:c r="B46" s="22" t="s">
        <x:v>67</x:v>
      </x:c>
      <x:c r="C46" s="12"/>
      <x:c r="D46" s="12"/>
      <x:c r="E46" s="12"/>
      <x:c r="F46" s="12"/>
      <x:c r="G46" s="12"/>
      <x:c r="H46" s="21" t="n">
        <x:f>Inputs!H112</x:f>
        <x:v>0.07</x:v>
      </x:c>
    </x:row>
    <x:row r="47" ht="26.25">
      <x:c r="B47" s="3" t="s">
        <x:v>68</x:v>
      </x:c>
      <x:c r="C47" s="13"/>
      <x:c r="D47" s="13"/>
      <x:c r="E47" s="13"/>
      <x:c r="F47" s="13"/>
      <x:c r="G47" s="13"/>
      <x:c r="H47" s="14"/>
    </x:row>
    <x:row r="48" ht="26.25">
      <x:c r="B48" s="16" t="s">
        <x:v>69</x:v>
      </x:c>
      <x:c r="C48" s="12"/>
      <x:c r="D48" s="12"/>
      <x:c r="E48" s="12"/>
      <x:c r="F48" s="12"/>
      <x:c r="G48" s="12"/>
      <x:c r="H48" s="19" t="n">
        <x:f>(1+H51)/((1+H49)*(1+H50))-1</x:f>
        <x:v>0.032311530033196645</x:v>
      </x:c>
    </x:row>
    <x:row r="49">
      <x:c r="B49" s="16" t="s">
        <x:v>70</x:v>
      </x:c>
      <x:c r="C49" s="12"/>
      <x:c r="D49" s="12"/>
      <x:c r="E49" s="12"/>
      <x:c r="F49" s="12"/>
      <x:c r="G49" s="12"/>
      <x:c r="H49" s="21" t="n">
        <x:f>Inputs!H77</x:f>
        <x:v>0</x:v>
      </x:c>
    </x:row>
    <x:row r="50">
      <x:c r="B50" s="16" t="s">
        <x:v>71</x:v>
      </x:c>
      <x:c r="C50" s="12"/>
      <x:c r="D50" s="12"/>
      <x:c r="E50" s="12"/>
      <x:c r="F50" s="12"/>
      <x:c r="G50" s="12"/>
      <x:c r="H50" s="21" t="n">
        <x:f>Inputs!H78</x:f>
        <x:v>0</x:v>
      </x:c>
    </x:row>
    <x:row r="51">
      <x:c r="B51" s="16" t="s">
        <x:v>72</x:v>
      </x:c>
      <x:c r="C51" s="12"/>
      <x:c r="D51" s="12"/>
      <x:c r="E51" s="12"/>
      <x:c r="F51" s="12"/>
      <x:c r="G51" s="12"/>
      <x:c r="H51" s="19" t="n">
        <x:f>IFERROR(H10/C10-1,0)</x:f>
        <x:v>0.032311530033196645</x:v>
      </x:c>
    </x:row>
    <x:row r="52" ht="26.25">
      <x:c r="B52" s="16" t="s">
        <x:v>73</x:v>
      </x:c>
      <x:c r="C52" s="12"/>
      <x:c r="D52" s="12"/>
      <x:c r="E52" s="12"/>
      <x:c r="F52" s="12"/>
      <x:c r="G52" s="12"/>
      <x:c r="H52" s="19" t="n">
        <x:f>(1+H55)/((1+H53)*(1+H54))-1</x:f>
        <x:v>-0.06696610861576169</x:v>
      </x:c>
    </x:row>
    <x:row r="53">
      <x:c r="B53" s="16" t="s">
        <x:v>70</x:v>
      </x:c>
      <x:c r="C53" s="12"/>
      <x:c r="D53" s="12"/>
      <x:c r="E53" s="12"/>
      <x:c r="F53" s="12"/>
      <x:c r="G53" s="12"/>
      <x:c r="H53" s="21" t="n">
        <x:f>Inputs!H77</x:f>
        <x:v>0</x:v>
      </x:c>
    </x:row>
    <x:row r="54">
      <x:c r="B54" s="16" t="s">
        <x:v>71</x:v>
      </x:c>
      <x:c r="C54" s="12"/>
      <x:c r="D54" s="12"/>
      <x:c r="E54" s="12"/>
      <x:c r="F54" s="12"/>
      <x:c r="G54" s="12"/>
      <x:c r="H54" s="21" t="n">
        <x:f>Inputs!H78</x:f>
        <x:v>0</x:v>
      </x:c>
    </x:row>
    <x:row r="55">
      <x:c r="B55" s="16" t="s">
        <x:v>72</x:v>
      </x:c>
      <x:c r="C55" s="12"/>
      <x:c r="D55" s="12"/>
      <x:c r="E55" s="12"/>
      <x:c r="F55" s="12"/>
      <x:c r="G55" s="12"/>
      <x:c r="H55" s="19" t="n">
        <x:f>IFERROR(H14/C14-1,0)</x:f>
        <x:v>-0.06696610861576169</x:v>
      </x:c>
    </x:row>
    <x:row r="56" ht="26.25">
      <x:c r="B56" s="16" t="s">
        <x:v>74</x:v>
      </x:c>
      <x:c r="C56" s="12"/>
      <x:c r="D56" s="12"/>
      <x:c r="E56" s="12"/>
      <x:c r="F56" s="12"/>
      <x:c r="G56" s="12"/>
      <x:c r="H56" s="19" t="n">
        <x:f>(1+H59)/((1+H57)*(1+H58))-1</x:f>
        <x:v>0.032311530033196645</x:v>
      </x:c>
    </x:row>
    <x:row r="57">
      <x:c r="B57" s="16" t="s">
        <x:v>70</x:v>
      </x:c>
      <x:c r="C57" s="12"/>
      <x:c r="D57" s="12"/>
      <x:c r="E57" s="12"/>
      <x:c r="F57" s="12"/>
      <x:c r="G57" s="12"/>
      <x:c r="H57" s="21" t="n">
        <x:f>Inputs!H77</x:f>
        <x:v>0</x:v>
      </x:c>
    </x:row>
    <x:row r="58">
      <x:c r="B58" s="16" t="s">
        <x:v>71</x:v>
      </x:c>
      <x:c r="C58" s="12"/>
      <x:c r="D58" s="12"/>
      <x:c r="E58" s="12"/>
      <x:c r="F58" s="12"/>
      <x:c r="G58" s="12"/>
      <x:c r="H58" s="21" t="n">
        <x:f>Inputs!H78</x:f>
        <x:v>0</x:v>
      </x:c>
    </x:row>
    <x:row r="59">
      <x:c r="B59" s="16" t="s">
        <x:v>72</x:v>
      </x:c>
      <x:c r="C59" s="12"/>
      <x:c r="D59" s="12"/>
      <x:c r="E59" s="12"/>
      <x:c r="F59" s="12"/>
      <x:c r="G59" s="12"/>
      <x:c r="H59" s="19" t="n">
        <x:f>IFERROR(H22/C22-1,0)</x:f>
        <x:v>0.032311530033196645</x:v>
      </x:c>
    </x:row>
    <x:row r="60" ht="26.25">
      <x:c r="B60" s="16" t="s">
        <x:v>75</x:v>
      </x:c>
      <x:c r="C60" s="12"/>
      <x:c r="D60" s="12"/>
      <x:c r="E60" s="12"/>
      <x:c r="F60" s="12"/>
      <x:c r="G60" s="12"/>
      <x:c r="H60" s="19" t="n">
        <x:f>(1+H63)/((1+H61)*(1+H62))-1</x:f>
        <x:v>0.03755022711257916</x:v>
      </x:c>
    </x:row>
    <x:row r="61">
      <x:c r="B61" s="16" t="s">
        <x:v>70</x:v>
      </x:c>
      <x:c r="C61" s="12"/>
      <x:c r="D61" s="12"/>
      <x:c r="E61" s="12"/>
      <x:c r="F61" s="12"/>
      <x:c r="G61" s="12"/>
      <x:c r="H61" s="21" t="n">
        <x:f>Inputs!H77</x:f>
        <x:v>0</x:v>
      </x:c>
    </x:row>
    <x:row r="62">
      <x:c r="B62" s="16" t="s">
        <x:v>71</x:v>
      </x:c>
      <x:c r="C62" s="12"/>
      <x:c r="D62" s="12"/>
      <x:c r="E62" s="12"/>
      <x:c r="F62" s="12"/>
      <x:c r="G62" s="12"/>
      <x:c r="H62" s="21" t="n">
        <x:f>Inputs!H78</x:f>
        <x:v>0</x:v>
      </x:c>
    </x:row>
    <x:row r="63">
      <x:c r="B63" s="16" t="s">
        <x:v>72</x:v>
      </x:c>
      <x:c r="C63" s="12"/>
      <x:c r="D63" s="12"/>
      <x:c r="E63" s="12"/>
      <x:c r="F63" s="12"/>
      <x:c r="G63" s="12"/>
      <x:c r="H63" s="19" t="n">
        <x:f>IFERROR(H26/C26-1,0)</x:f>
        <x:v>0.03755022711257916</x:v>
      </x:c>
    </x:row>
    <x:row r="64" ht="26.25">
      <x:c r="B64" s="16" t="s">
        <x:v>76</x:v>
      </x:c>
      <x:c r="C64" s="12"/>
      <x:c r="D64" s="12"/>
      <x:c r="E64" s="12"/>
      <x:c r="F64" s="12"/>
      <x:c r="G64" s="12"/>
      <x:c r="H64" s="19" t="n">
        <x:f>(1+H67)/((1+H65)*(1+H66))-1</x:f>
        <x:v>0.015264630164449233</x:v>
      </x:c>
    </x:row>
    <x:row r="65">
      <x:c r="B65" s="16" t="s">
        <x:v>70</x:v>
      </x:c>
      <x:c r="C65" s="12"/>
      <x:c r="D65" s="12"/>
      <x:c r="E65" s="12"/>
      <x:c r="F65" s="12"/>
      <x:c r="G65" s="12"/>
      <x:c r="H65" s="21" t="n">
        <x:f>Inputs!H77</x:f>
        <x:v>0</x:v>
      </x:c>
    </x:row>
    <x:row r="66">
      <x:c r="B66" s="16" t="s">
        <x:v>71</x:v>
      </x:c>
      <x:c r="C66" s="12"/>
      <x:c r="D66" s="12"/>
      <x:c r="E66" s="12"/>
      <x:c r="F66" s="12"/>
      <x:c r="G66" s="12"/>
      <x:c r="H66" s="21" t="n">
        <x:f>Inputs!H78</x:f>
        <x:v>0</x:v>
      </x:c>
    </x:row>
    <x:row r="67">
      <x:c r="B67" s="16" t="s">
        <x:v>72</x:v>
      </x:c>
      <x:c r="C67" s="12"/>
      <x:c r="D67" s="12"/>
      <x:c r="E67" s="12"/>
      <x:c r="F67" s="12"/>
      <x:c r="G67" s="12"/>
      <x:c r="H67" s="19" t="n">
        <x:f>IFERROR(H29/C29-1,0)</x:f>
        <x:v>0.015264630164449233</x:v>
      </x:c>
    </x:row>
    <x:row r="68" ht="26.25">
      <x:c r="B68" s="16" t="s">
        <x:v>77</x:v>
      </x:c>
      <x:c r="C68" s="12"/>
      <x:c r="D68" s="12"/>
      <x:c r="E68" s="12"/>
      <x:c r="F68" s="12"/>
      <x:c r="G68" s="12"/>
      <x:c r="H68" s="19" t="n">
        <x:f>(1+H71)/((1+H69)*(1+H70))-1</x:f>
        <x:v>-0.013648354169063737</x:v>
      </x:c>
    </x:row>
    <x:row r="69">
      <x:c r="B69" s="16" t="s">
        <x:v>70</x:v>
      </x:c>
      <x:c r="C69" s="12"/>
      <x:c r="D69" s="12"/>
      <x:c r="E69" s="12"/>
      <x:c r="F69" s="12"/>
      <x:c r="G69" s="12"/>
      <x:c r="H69" s="21" t="n">
        <x:f>Inputs!H77</x:f>
        <x:v>0</x:v>
      </x:c>
    </x:row>
    <x:row r="70">
      <x:c r="B70" s="16" t="s">
        <x:v>71</x:v>
      </x:c>
      <x:c r="C70" s="12"/>
      <x:c r="D70" s="12"/>
      <x:c r="E70" s="12"/>
      <x:c r="F70" s="12"/>
      <x:c r="G70" s="12"/>
      <x:c r="H70" s="21" t="n">
        <x:f>Inputs!H78</x:f>
        <x:v>0</x:v>
      </x:c>
    </x:row>
    <x:row r="71">
      <x:c r="B71" s="16" t="s">
        <x:v>72</x:v>
      </x:c>
      <x:c r="C71" s="12"/>
      <x:c r="D71" s="12"/>
      <x:c r="E71" s="12"/>
      <x:c r="F71" s="12"/>
      <x:c r="G71" s="12"/>
      <x:c r="H71" s="19" t="n">
        <x:f>IFERROR(H32/C32-1,0)</x:f>
        <x:v>-0.013648354169063737</x:v>
      </x:c>
    </x:row>
    <x:row r="72">
      <x:c r="B72" s="16" t="s">
        <x:v>78</x:v>
      </x:c>
      <x:c r="C72" s="12"/>
      <x:c r="D72" s="12"/>
      <x:c r="E72" s="12"/>
      <x:c r="F72" s="12"/>
      <x:c r="G72" s="12"/>
      <x:c r="H72" s="19" t="n">
        <x:f>(1+H75)/((1+H73)*(1+H74))-1</x:f>
        <x:v>-0.0008688097306690512</x:v>
      </x:c>
    </x:row>
    <x:row r="73">
      <x:c r="B73" s="16" t="s">
        <x:v>70</x:v>
      </x:c>
      <x:c r="C73" s="12"/>
      <x:c r="D73" s="12"/>
      <x:c r="E73" s="12"/>
      <x:c r="F73" s="12"/>
      <x:c r="G73" s="12"/>
      <x:c r="H73" s="21" t="n">
        <x:f>Inputs!H77</x:f>
        <x:v>0</x:v>
      </x:c>
    </x:row>
    <x:row r="74">
      <x:c r="B74" s="16" t="s">
        <x:v>71</x:v>
      </x:c>
      <x:c r="C74" s="12"/>
      <x:c r="D74" s="12"/>
      <x:c r="E74" s="12"/>
      <x:c r="F74" s="12"/>
      <x:c r="G74" s="12"/>
      <x:c r="H74" s="21" t="n">
        <x:f>Inputs!H78</x:f>
        <x:v>0</x:v>
      </x:c>
    </x:row>
    <x:row r="75">
      <x:c r="B75" s="16" t="s">
        <x:v>72</x:v>
      </x:c>
      <x:c r="C75" s="12"/>
      <x:c r="D75" s="12"/>
      <x:c r="E75" s="12"/>
      <x:c r="F75" s="12"/>
      <x:c r="G75" s="12"/>
      <x:c r="H75" s="19" t="n">
        <x:f>IFERROR(H35/C35-1,0)</x:f>
        <x:v>-0.0008688097306690512</x:v>
      </x:c>
    </x:row>
    <x:row r="76" ht="26.25">
      <x:c r="B76" s="16" t="s">
        <x:v>79</x:v>
      </x:c>
      <x:c r="C76" s="12"/>
      <x:c r="D76" s="12"/>
      <x:c r="E76" s="12"/>
      <x:c r="F76" s="12"/>
      <x:c r="G76" s="12"/>
      <x:c r="H76" s="19" t="n">
        <x:f>(1+H79)/((1+H77)*(1+H78))-1</x:f>
        <x:v>1.5</x:v>
      </x:c>
    </x:row>
    <x:row r="77">
      <x:c r="B77" s="16" t="s">
        <x:v>70</x:v>
      </x:c>
      <x:c r="C77" s="12"/>
      <x:c r="D77" s="12"/>
      <x:c r="E77" s="12"/>
      <x:c r="F77" s="12"/>
      <x:c r="G77" s="12"/>
      <x:c r="H77" s="21" t="n">
        <x:f>Inputs!H77</x:f>
        <x:v>0</x:v>
      </x:c>
    </x:row>
    <x:row r="78">
      <x:c r="B78" s="16" t="s">
        <x:v>71</x:v>
      </x:c>
      <x:c r="C78" s="12"/>
      <x:c r="D78" s="12"/>
      <x:c r="E78" s="12"/>
      <x:c r="F78" s="12"/>
      <x:c r="G78" s="12"/>
      <x:c r="H78" s="21" t="n">
        <x:f>Inputs!H78</x:f>
        <x:v>0</x:v>
      </x:c>
    </x:row>
    <x:row r="79">
      <x:c r="B79" s="16" t="s">
        <x:v>72</x:v>
      </x:c>
      <x:c r="C79" s="12"/>
      <x:c r="D79" s="12"/>
      <x:c r="E79" s="12"/>
      <x:c r="F79" s="12"/>
      <x:c r="G79" s="12"/>
      <x:c r="H79" s="19" t="n">
        <x:f>IFERROR(H36/C36-1,0)</x:f>
        <x:v>1.5</x:v>
      </x:c>
    </x:row>
    <x:row r="80" ht="26.25">
      <x:c r="B80" s="16" t="s">
        <x:v>80</x:v>
      </x:c>
      <x:c r="C80" s="12"/>
      <x:c r="D80" s="12"/>
      <x:c r="E80" s="12"/>
      <x:c r="F80" s="12"/>
      <x:c r="G80" s="12"/>
      <x:c r="H80" s="19" t="n">
        <x:f>(1+H83)/((1+H81)*(1+H82))-1</x:f>
        <x:v>-0.05013192612137196</x:v>
      </x:c>
    </x:row>
    <x:row r="81">
      <x:c r="B81" s="16" t="s">
        <x:v>70</x:v>
      </x:c>
      <x:c r="C81" s="12"/>
      <x:c r="D81" s="12"/>
      <x:c r="E81" s="12"/>
      <x:c r="F81" s="12"/>
      <x:c r="G81" s="12"/>
      <x:c r="H81" s="21" t="n">
        <x:f>Inputs!H77</x:f>
        <x:v>0</x:v>
      </x:c>
    </x:row>
    <x:row r="82">
      <x:c r="B82" s="16" t="s">
        <x:v>71</x:v>
      </x:c>
      <x:c r="C82" s="12"/>
      <x:c r="D82" s="12"/>
      <x:c r="E82" s="12"/>
      <x:c r="F82" s="12"/>
      <x:c r="G82" s="12"/>
      <x:c r="H82" s="21" t="n">
        <x:f>Inputs!H78</x:f>
        <x:v>0</x:v>
      </x:c>
    </x:row>
    <x:row r="83">
      <x:c r="B83" s="16" t="s">
        <x:v>72</x:v>
      </x:c>
      <x:c r="C83" s="12"/>
      <x:c r="D83" s="12"/>
      <x:c r="E83" s="12"/>
      <x:c r="F83" s="12"/>
      <x:c r="G83" s="12"/>
      <x:c r="H83" s="19" t="n">
        <x:f>IFERROR(H37/C37-1,0)</x:f>
        <x:v>-0.05013192612137196</x:v>
      </x:c>
    </x:row>
    <x:row r="84" ht="26.25">
      <x:c r="B84" s="16" t="s">
        <x:v>81</x:v>
      </x:c>
      <x:c r="C84" s="12"/>
      <x:c r="D84" s="12"/>
      <x:c r="E84" s="12"/>
      <x:c r="F84" s="12"/>
      <x:c r="G84" s="12"/>
      <x:c r="H84" s="19" t="n">
        <x:f>(1+H87)/((1+H85)*(1+H86))-1</x:f>
        <x:v>0.03603603603603611</x:v>
      </x:c>
    </x:row>
    <x:row r="85">
      <x:c r="B85" s="16" t="s">
        <x:v>70</x:v>
      </x:c>
      <x:c r="C85" s="12"/>
      <x:c r="D85" s="12"/>
      <x:c r="E85" s="12"/>
      <x:c r="F85" s="12"/>
      <x:c r="G85" s="12"/>
      <x:c r="H85" s="21" t="n">
        <x:f>Inputs!H77</x:f>
        <x:v>0</x:v>
      </x:c>
    </x:row>
    <x:row r="86">
      <x:c r="B86" s="16" t="s">
        <x:v>71</x:v>
      </x:c>
      <x:c r="C86" s="12"/>
      <x:c r="D86" s="12"/>
      <x:c r="E86" s="12"/>
      <x:c r="F86" s="12"/>
      <x:c r="G86" s="12"/>
      <x:c r="H86" s="21" t="n">
        <x:f>Inputs!H78</x:f>
        <x:v>0</x:v>
      </x:c>
    </x:row>
    <x:row r="87">
      <x:c r="B87" s="16" t="s">
        <x:v>72</x:v>
      </x:c>
      <x:c r="C87" s="12"/>
      <x:c r="D87" s="12"/>
      <x:c r="E87" s="12"/>
      <x:c r="F87" s="12"/>
      <x:c r="G87" s="12"/>
      <x:c r="H87" s="19" t="n">
        <x:f>IFERROR(H38/C38-1,0)</x:f>
        <x:v>0.03603603603603611</x:v>
      </x:c>
    </x:row>
    <x:row r="88">
      <x:c r="B88" s="2"/>
      <x:c r="C88" s="13"/>
      <x:c r="D88" s="13"/>
      <x:c r="E88" s="13"/>
      <x:c r="F88" s="13"/>
      <x:c r="G88" s="13"/>
      <x:c r="H88" s="14"/>
    </x:row>
    <x:row r="89">
      <x:c r="B89" s="2"/>
      <x:c r="C89" s="13"/>
      <x:c r="D89" s="13"/>
      <x:c r="E89" s="13"/>
      <x:c r="F89" s="13"/>
      <x:c r="G89" s="13"/>
      <x:c r="H89" s="14"/>
    </x:row>
    <x:row r="90">
      <x:c r="B90" s="2"/>
      <x:c r="C90" s="13"/>
      <x:c r="D90" s="13"/>
      <x:c r="E90" s="13"/>
      <x:c r="F90" s="13"/>
      <x:c r="G90" s="13"/>
      <x:c r="H90" s="14"/>
    </x:row>
    <x:row r="91">
      <x:c r="B91" s="2"/>
      <x:c r="C91" s="13"/>
      <x:c r="D91" s="13"/>
      <x:c r="E91" s="13"/>
      <x:c r="F91" s="13"/>
      <x:c r="G91" s="13"/>
      <x:c r="H91" s="14"/>
    </x:row>
    <x:row r="92">
      <x:c r="B92" s="2"/>
      <x:c r="C92" s="13"/>
      <x:c r="D92" s="13"/>
      <x:c r="E92" s="13"/>
      <x:c r="F92" s="13"/>
      <x:c r="G92" s="13"/>
      <x:c r="H92" s="14"/>
    </x:row>
    <x:row r="93">
      <x:c r="B93" s="2"/>
      <x:c r="C93" s="13"/>
      <x:c r="D93" s="13"/>
      <x:c r="E93" s="13"/>
      <x:c r="F93" s="13"/>
      <x:c r="G93" s="13"/>
      <x:c r="H93" s="14"/>
    </x:row>
    <x:row r="94">
      <x:c r="B94" s="2"/>
      <x:c r="C94" s="13"/>
      <x:c r="D94" s="13"/>
      <x:c r="E94" s="13"/>
      <x:c r="F94" s="13"/>
      <x:c r="G94" s="13"/>
      <x:c r="H94" s="14"/>
    </x:row>
    <x:row r="95">
      <x:c r="B95" s="2"/>
      <x:c r="C95" s="13"/>
      <x:c r="D95" s="13"/>
      <x:c r="E95" s="13"/>
      <x:c r="F95" s="13"/>
      <x:c r="G95" s="13"/>
      <x:c r="H95" s="14"/>
    </x:row>
    <x:row r="96">
      <x:c r="B96" s="2"/>
      <x:c r="C96" s="13"/>
      <x:c r="D96" s="13"/>
      <x:c r="E96" s="13"/>
      <x:c r="F96" s="13"/>
      <x:c r="G96" s="13"/>
      <x:c r="H96" s="14"/>
    </x:row>
    <x:row r="97">
      <x:c r="B97" s="2"/>
      <x:c r="C97" s="13"/>
      <x:c r="D97" s="13"/>
      <x:c r="E97" s="13"/>
      <x:c r="F97" s="13"/>
      <x:c r="G97" s="13"/>
      <x:c r="H97" s="14"/>
    </x:row>
    <x:row r="98">
      <x:c r="B98" s="2"/>
      <x:c r="C98" s="13"/>
      <x:c r="D98" s="13"/>
      <x:c r="E98" s="13"/>
      <x:c r="F98" s="13"/>
      <x:c r="G98" s="13"/>
      <x:c r="H98" s="14"/>
    </x:row>
    <x:row r="99">
      <x:c r="B99" s="2"/>
      <x:c r="C99" s="13"/>
      <x:c r="D99" s="13"/>
      <x:c r="E99" s="13"/>
      <x:c r="F99" s="13"/>
      <x:c r="G99" s="13"/>
      <x:c r="H99" s="14"/>
    </x:row>
    <x:row r="100">
      <x:c r="B100" s="2"/>
      <x:c r="C100" s="13"/>
      <x:c r="D100" s="13"/>
      <x:c r="E100" s="13"/>
      <x:c r="F100" s="13"/>
      <x:c r="G100" s="13"/>
      <x:c r="H100" s="14"/>
    </x:row>
    <x:row r="101">
      <x:c r="B101" s="2"/>
      <x:c r="C101" s="13"/>
      <x:c r="D101" s="13"/>
      <x:c r="E101" s="13"/>
      <x:c r="F101" s="13"/>
      <x:c r="G101" s="13"/>
      <x:c r="H101" s="14"/>
    </x:row>
    <x:row r="102">
      <x:c r="B102" s="2"/>
      <x:c r="C102" s="13"/>
      <x:c r="D102" s="13"/>
      <x:c r="E102" s="13"/>
      <x:c r="F102" s="13"/>
      <x:c r="G102" s="13"/>
      <x:c r="H102" s="14"/>
    </x:row>
    <x:row r="103">
      <x:c r="B103" s="2"/>
      <x:c r="C103" s="13"/>
      <x:c r="D103" s="13"/>
      <x:c r="E103" s="13"/>
      <x:c r="F103" s="13"/>
      <x:c r="G103" s="13"/>
      <x:c r="H103" s="14"/>
    </x:row>
    <x:row r="104">
      <x:c r="B104" s="2"/>
      <x:c r="C104" s="13"/>
      <x:c r="D104" s="13"/>
      <x:c r="E104" s="13"/>
      <x:c r="F104" s="13"/>
      <x:c r="G104" s="13"/>
      <x:c r="H104" s="14"/>
    </x:row>
    <x:row r="105">
      <x:c r="B105" s="2"/>
      <x:c r="C105" s="13"/>
      <x:c r="D105" s="13"/>
      <x:c r="E105" s="13"/>
      <x:c r="F105" s="13"/>
      <x:c r="G105" s="13"/>
      <x:c r="H105" s="14"/>
    </x:row>
    <x:row r="106">
      <x:c r="H106" s="1"/>
    </x:row>
    <x:row r="107">
      <x:c r="H107" s="1"/>
    </x:row>
    <x:row r="108">
      <x:c r="H108" s="1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90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82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3" t="s">
        <x:v>83</x:v>
      </x:c>
      <x:c r="C9" s="13"/>
      <x:c r="D9" s="13"/>
      <x:c r="E9" s="13"/>
      <x:c r="F9" s="13"/>
      <x:c r="G9" s="13"/>
      <x:c r="H9" s="14"/>
    </x:row>
    <x:row r="10">
      <x:c r="B10" s="3" t="s">
        <x:v>84</x:v>
      </x:c>
      <x:c r="C10" s="17" t="n">
        <x:f>Inputs!C16</x:f>
        <x:v>199729</x:v>
      </x:c>
      <x:c r="D10" s="17" t="n">
        <x:f>Inputs!D16</x:f>
        <x:v>169557</x:v>
      </x:c>
      <x:c r="E10" s="17" t="n">
        <x:f>Inputs!E16</x:f>
        <x:v>181188</x:v>
      </x:c>
      <x:c r="F10" s="17" t="n">
        <x:f>Inputs!F16</x:f>
        <x:v>780684</x:v>
      </x:c>
      <x:c r="G10" s="17" t="n">
        <x:f>Inputs!G16</x:f>
        <x:v>230293</x:v>
      </x:c>
      <x:c r="H10" s="24" t="n">
        <x:f>Inputs!H16</x:f>
        <x:v>199500</x:v>
      </x:c>
    </x:row>
    <x:row r="11">
      <x:c r="B11" s="22" t="s">
        <x:v>85</x:v>
      </x:c>
      <x:c r="C11" s="12"/>
      <x:c r="D11" s="12"/>
      <x:c r="E11" s="12"/>
      <x:c r="F11" s="12"/>
      <x:c r="G11" s="12"/>
      <x:c r="H11" s="19" t="n">
        <x:f>IFERROR(H10/C10-1,0)</x:f>
        <x:v>-0.0011465535801010729</x:v>
      </x:c>
    </x:row>
    <x:row r="12">
      <x:c r="B12" s="3" t="s">
        <x:v>86</x:v>
      </x:c>
      <x:c r="C12" s="13"/>
      <x:c r="D12" s="13" t="n">
        <x:f>D10-C10</x:f>
        <x:v>-30172</x:v>
      </x:c>
      <x:c r="E12" s="13" t="n">
        <x:f>E10-D10</x:f>
        <x:v>11631</x:v>
      </x:c>
      <x:c r="F12" s="13"/>
      <x:c r="G12" s="13" t="n">
        <x:f>G10-E10</x:f>
        <x:v>49105</x:v>
      </x:c>
      <x:c r="H12" s="14" t="n">
        <x:f>H10-G10</x:f>
        <x:v>-30793</x:v>
      </x:c>
    </x:row>
    <x:row r="13">
      <x:c r="B13" s="3" t="s">
        <x:v>87</x:v>
      </x:c>
      <x:c r="C13" s="17" t="n">
        <x:f>Inputs!C18</x:f>
        <x:v>25993</x:v>
      </x:c>
      <x:c r="D13" s="17" t="n">
        <x:f>Inputs!D18</x:f>
        <x:v>26383</x:v>
      </x:c>
      <x:c r="E13" s="17" t="n">
        <x:f>Inputs!E18</x:f>
        <x:v>26019</x:v>
      </x:c>
      <x:c r="F13" s="17" t="n">
        <x:f>Inputs!F18</x:f>
        <x:v>26121</x:v>
      </x:c>
      <x:c r="G13" s="17" t="n">
        <x:f>Inputs!G18</x:f>
        <x:v>27288</x:v>
      </x:c>
      <x:c r="H13" s="24" t="n">
        <x:f>Inputs!H18</x:f>
        <x:v>27000</x:v>
      </x:c>
    </x:row>
    <x:row r="14">
      <x:c r="B14" s="22" t="s">
        <x:v>88</x:v>
      </x:c>
      <x:c r="C14" s="12"/>
      <x:c r="D14" s="12"/>
      <x:c r="E14" s="12"/>
      <x:c r="F14" s="12"/>
      <x:c r="G14" s="12"/>
      <x:c r="H14" s="19" t="n">
        <x:f>IFERROR(H13/C13-1,0)</x:f>
        <x:v>0.0387411995537259</x:v>
      </x:c>
    </x:row>
    <x:row r="15">
      <x:c r="B15" s="3" t="s">
        <x:v>89</x:v>
      </x:c>
      <x:c r="C15" s="13"/>
      <x:c r="D15" s="13" t="n">
        <x:f>D13-C13</x:f>
        <x:v>390</x:v>
      </x:c>
      <x:c r="E15" s="13" t="n">
        <x:f>E13-D13</x:f>
        <x:v>-364</x:v>
      </x:c>
      <x:c r="F15" s="13"/>
      <x:c r="G15" s="13" t="n">
        <x:f>G13-E13</x:f>
        <x:v>1269</x:v>
      </x:c>
      <x:c r="H15" s="14" t="n">
        <x:f>H13-G13</x:f>
        <x:v>-288</x:v>
      </x:c>
    </x:row>
    <x:row r="16">
      <x:c r="B16" s="15" t="s">
        <x:v>90</x:v>
      </x:c>
      <x:c r="C16" s="20" t="n">
        <x:f>Inputs!C10</x:f>
        <x:v>5270.7</x:v>
      </x:c>
      <x:c r="D16" s="20" t="n">
        <x:f>Inputs!D10</x:f>
        <x:v>4548.2</x:v>
      </x:c>
      <x:c r="E16" s="20" t="n">
        <x:f>Inputs!E10</x:f>
        <x:v>4780</x:v>
      </x:c>
      <x:c r="F16" s="20" t="n">
        <x:f>Inputs!F10</x:f>
        <x:v>20702.4</x:v>
      </x:c>
      <x:c r="G16" s="20" t="n">
        <x:f>Inputs!G10</x:f>
        <x:v>6391.3</x:v>
      </x:c>
      <x:c r="H16" s="18" t="n">
        <x:f>C16*H10/C10*H13/C13</x:f>
        <x:v>5468.615982042271</x:v>
      </x:c>
    </x:row>
    <x:row r="17">
      <x:c r="B17" s="22" t="s">
        <x:v>91</x:v>
      </x:c>
      <x:c r="C17" s="12"/>
      <x:c r="D17" s="12"/>
      <x:c r="E17" s="12"/>
      <x:c r="F17" s="12"/>
      <x:c r="G17" s="12"/>
      <x:c r="H17" s="19" t="n">
        <x:f>(1+H20)/((1+H18)*(1+H19))-1</x:f>
        <x:v>0.03755022711257916</x:v>
      </x:c>
    </x:row>
    <x:row r="18">
      <x:c r="B18" s="22" t="s">
        <x:v>92</x:v>
      </x:c>
      <x:c r="C18" s="12"/>
      <x:c r="D18" s="12"/>
      <x:c r="E18" s="12"/>
      <x:c r="F18" s="12"/>
      <x:c r="G18" s="12"/>
      <x:c r="H18" s="21" t="n">
        <x:f>Inputs!H77</x:f>
        <x:v>0</x:v>
      </x:c>
    </x:row>
    <x:row r="19">
      <x:c r="B19" s="22" t="s">
        <x:v>93</x:v>
      </x:c>
      <x:c r="C19" s="12"/>
      <x:c r="D19" s="12"/>
      <x:c r="E19" s="12"/>
      <x:c r="F19" s="12"/>
      <x:c r="G19" s="12"/>
      <x:c r="H19" s="21" t="n">
        <x:f>Inputs!H78</x:f>
        <x:v>0</x:v>
      </x:c>
    </x:row>
    <x:row r="20">
      <x:c r="B20" s="22" t="s">
        <x:v>94</x:v>
      </x:c>
      <x:c r="C20" s="12"/>
      <x:c r="D20" s="12"/>
      <x:c r="E20" s="12"/>
      <x:c r="F20" s="12"/>
      <x:c r="G20" s="12"/>
      <x:c r="H20" s="19" t="n">
        <x:f>IFERROR(H16/C16-1,0)</x:f>
        <x:v>0.03755022711257916</x:v>
      </x:c>
    </x:row>
    <x:row r="21">
      <x:c r="B21" s="3" t="s">
        <x:v>95</x:v>
      </x:c>
      <x:c r="C21" s="13"/>
      <x:c r="D21" s="13"/>
      <x:c r="E21" s="13"/>
      <x:c r="F21" s="13"/>
      <x:c r="G21" s="13"/>
      <x:c r="H21" s="14"/>
    </x:row>
    <x:row r="22">
      <x:c r="B22" s="3" t="s">
        <x:v>65</x:v>
      </x:c>
      <x:c r="C22" s="17" t="n">
        <x:f>Inputs!C17</x:f>
        <x:v>138302</x:v>
      </x:c>
      <x:c r="D22" s="17" t="n">
        <x:f>Inputs!D17</x:f>
        <x:v>127603</x:v>
      </x:c>
      <x:c r="E22" s="17" t="n">
        <x:f>Inputs!E17</x:f>
        <x:v>122781</x:v>
      </x:c>
      <x:c r="F22" s="17" t="n">
        <x:f>Inputs!F17</x:f>
        <x:v>538203</x:v>
      </x:c>
      <x:c r="G22" s="17" t="n">
        <x:f>Inputs!G17</x:f>
        <x:v>162064</x:v>
      </x:c>
      <x:c r="H22" s="24" t="n">
        <x:f>Inputs!H17</x:f>
        <x:v>138500</x:v>
      </x:c>
    </x:row>
    <x:row r="23">
      <x:c r="B23" s="22" t="s">
        <x:v>85</x:v>
      </x:c>
      <x:c r="C23" s="12"/>
      <x:c r="D23" s="12"/>
      <x:c r="E23" s="12"/>
      <x:c r="F23" s="12"/>
      <x:c r="G23" s="12"/>
      <x:c r="H23" s="19" t="n">
        <x:f>IFERROR(H22/C22-1,0)</x:f>
        <x:v>0.0014316495784587602</x:v>
      </x:c>
    </x:row>
    <x:row r="24">
      <x:c r="B24" s="3" t="s">
        <x:v>86</x:v>
      </x:c>
      <x:c r="C24" s="13"/>
      <x:c r="D24" s="13" t="n">
        <x:f>D22-C22</x:f>
        <x:v>-10699</x:v>
      </x:c>
      <x:c r="E24" s="13" t="n">
        <x:f>E22-D22</x:f>
        <x:v>-4822</x:v>
      </x:c>
      <x:c r="F24" s="13"/>
      <x:c r="G24" s="13" t="n">
        <x:f>G22-E22</x:f>
        <x:v>39283</x:v>
      </x:c>
      <x:c r="H24" s="14" t="n">
        <x:f>H22-G22</x:f>
        <x:v>-23564</x:v>
      </x:c>
    </x:row>
    <x:row r="25" ht="27">
      <x:c r="B25" s="3" t="s">
        <x:v>96</x:v>
      </x:c>
      <x:c r="C25" s="17" t="n">
        <x:f>Inputs!C19</x:f>
        <x:v>7891</x:v>
      </x:c>
      <x:c r="D25" s="17" t="n">
        <x:f>Inputs!D19</x:f>
        <x:v>8137</x:v>
      </x:c>
      <x:c r="E25" s="17" t="n">
        <x:f>Inputs!E19</x:f>
        <x:v>7776</x:v>
      </x:c>
      <x:c r="F25" s="17" t="n">
        <x:f>Inputs!F19</x:f>
        <x:v>7942</x:v>
      </x:c>
      <x:c r="G25" s="17" t="n">
        <x:f>Inputs!G19</x:f>
        <x:v>8364</x:v>
      </x:c>
      <x:c r="H25" s="24" t="n">
        <x:f>Inputs!H19</x:f>
        <x:v>8000</x:v>
      </x:c>
    </x:row>
    <x:row r="26">
      <x:c r="B26" s="22" t="s">
        <x:v>88</x:v>
      </x:c>
      <x:c r="C26" s="12"/>
      <x:c r="D26" s="12"/>
      <x:c r="E26" s="12"/>
      <x:c r="F26" s="12"/>
      <x:c r="G26" s="12"/>
      <x:c r="H26" s="19" t="n">
        <x:f>IFERROR(H25/C25-1,0)</x:f>
        <x:v>0.013813204916994115</x:v>
      </x:c>
    </x:row>
    <x:row r="27">
      <x:c r="B27" s="3" t="s">
        <x:v>89</x:v>
      </x:c>
      <x:c r="C27" s="13"/>
      <x:c r="D27" s="13" t="n">
        <x:f>D25-C25</x:f>
        <x:v>246</x:v>
      </x:c>
      <x:c r="E27" s="13" t="n">
        <x:f>E25-D25</x:f>
        <x:v>-361</x:v>
      </x:c>
      <x:c r="F27" s="13"/>
      <x:c r="G27" s="13" t="n">
        <x:f>G25-E25</x:f>
        <x:v>588</x:v>
      </x:c>
      <x:c r="H27" s="14" t="n">
        <x:f>H25-G25</x:f>
        <x:v>-364</x:v>
      </x:c>
    </x:row>
    <x:row r="28">
      <x:c r="B28" s="15" t="s">
        <x:v>97</x:v>
      </x:c>
      <x:c r="C28" s="20" t="n">
        <x:f>Inputs!C11</x:f>
        <x:v>1149.6</x:v>
      </x:c>
      <x:c r="D28" s="20" t="n">
        <x:f>Inputs!D11</x:f>
        <x:v>1095.1</x:v>
      </x:c>
      <x:c r="E28" s="20" t="n">
        <x:f>Inputs!E11</x:f>
        <x:v>1007.1</x:v>
      </x:c>
      <x:c r="F28" s="20" t="n">
        <x:f>Inputs!F11</x:f>
        <x:v>4504.6</x:v>
      </x:c>
      <x:c r="G28" s="20" t="n">
        <x:f>Inputs!G11</x:f>
        <x:v>1427.6</x:v>
      </x:c>
      <x:c r="H28" s="18" t="n">
        <x:f>C28*H22/C22*H25/C25</x:f>
        <x:v>1167.1482188370508</x:v>
      </x:c>
    </x:row>
    <x:row r="29">
      <x:c r="B29" s="22" t="s">
        <x:v>91</x:v>
      </x:c>
      <x:c r="C29" s="12"/>
      <x:c r="D29" s="12"/>
      <x:c r="E29" s="12"/>
      <x:c r="F29" s="12"/>
      <x:c r="G29" s="12"/>
      <x:c r="H29" s="19" t="n">
        <x:f>(1+H32)/((1+H30)*(1+H31))-1</x:f>
        <x:v>0.015264630164449233</x:v>
      </x:c>
    </x:row>
    <x:row r="30">
      <x:c r="B30" s="22" t="s">
        <x:v>92</x:v>
      </x:c>
      <x:c r="C30" s="12"/>
      <x:c r="D30" s="12"/>
      <x:c r="E30" s="12"/>
      <x:c r="F30" s="12"/>
      <x:c r="G30" s="12"/>
      <x:c r="H30" s="21" t="n">
        <x:f>Inputs!H77</x:f>
        <x:v>0</x:v>
      </x:c>
    </x:row>
    <x:row r="31">
      <x:c r="B31" s="22" t="s">
        <x:v>93</x:v>
      </x:c>
      <x:c r="C31" s="12"/>
      <x:c r="D31" s="12"/>
      <x:c r="E31" s="12"/>
      <x:c r="F31" s="12"/>
      <x:c r="G31" s="12"/>
      <x:c r="H31" s="21" t="n">
        <x:f>Inputs!H78</x:f>
        <x:v>0</x:v>
      </x:c>
    </x:row>
    <x:row r="32">
      <x:c r="B32" s="22" t="s">
        <x:v>94</x:v>
      </x:c>
      <x:c r="C32" s="12"/>
      <x:c r="D32" s="12"/>
      <x:c r="E32" s="12"/>
      <x:c r="F32" s="12"/>
      <x:c r="G32" s="12"/>
      <x:c r="H32" s="19" t="n">
        <x:f>IFERROR(H28/C28-1,0)</x:f>
        <x:v>0.015264630164449233</x:v>
      </x:c>
    </x:row>
    <x:row r="33">
      <x:c r="B33" s="3" t="s">
        <x:v>98</x:v>
      </x:c>
      <x:c r="C33" s="17" t="n">
        <x:f>Inputs!C12</x:f>
        <x:v>115.1</x:v>
      </x:c>
      <x:c r="D33" s="17" t="n">
        <x:f>Inputs!D12</x:f>
        <x:v>96.6</x:v>
      </x:c>
      <x:c r="E33" s="17" t="n">
        <x:f>Inputs!E12</x:f>
        <x:v>105.3</x:v>
      </x:c>
      <x:c r="F33" s="17" t="n">
        <x:f>Inputs!F12</x:f>
        <x:v>448.7</x:v>
      </x:c>
      <x:c r="G33" s="17" t="n">
        <x:f>Inputs!G12</x:f>
        <x:v>133.5</x:v>
      </x:c>
      <x:c r="H33" s="14" t="n">
        <x:f>H10*H54/1000000</x:f>
        <x:v>114.99999999999999</x:v>
      </x:c>
    </x:row>
    <x:row r="34">
      <x:c r="B34" s="22" t="s">
        <x:v>91</x:v>
      </x:c>
      <x:c r="C34" s="12"/>
      <x:c r="D34" s="12"/>
      <x:c r="E34" s="12"/>
      <x:c r="F34" s="12"/>
      <x:c r="G34" s="12"/>
      <x:c r="H34" s="19" t="n">
        <x:f>(1+H37)/((1+H35)*(1+H36))-1</x:f>
        <x:v>-0.0008688097306690512</x:v>
      </x:c>
    </x:row>
    <x:row r="35">
      <x:c r="B35" s="22" t="s">
        <x:v>92</x:v>
      </x:c>
      <x:c r="C35" s="12"/>
      <x:c r="D35" s="12"/>
      <x:c r="E35" s="12"/>
      <x:c r="F35" s="12"/>
      <x:c r="G35" s="12"/>
      <x:c r="H35" s="21" t="n">
        <x:f>Inputs!H77</x:f>
        <x:v>0</x:v>
      </x:c>
    </x:row>
    <x:row r="36">
      <x:c r="B36" s="22" t="s">
        <x:v>93</x:v>
      </x:c>
      <x:c r="C36" s="12"/>
      <x:c r="D36" s="12"/>
      <x:c r="E36" s="12"/>
      <x:c r="F36" s="12"/>
      <x:c r="G36" s="12"/>
      <x:c r="H36" s="21" t="n">
        <x:f>Inputs!H78</x:f>
        <x:v>0</x:v>
      </x:c>
    </x:row>
    <x:row r="37">
      <x:c r="B37" s="22" t="s">
        <x:v>94</x:v>
      </x:c>
      <x:c r="C37" s="12"/>
      <x:c r="D37" s="12"/>
      <x:c r="E37" s="12"/>
      <x:c r="F37" s="12"/>
      <x:c r="G37" s="12"/>
      <x:c r="H37" s="19" t="n">
        <x:f>IFERROR(H33/C33-1,0)</x:f>
        <x:v>-0.0008688097306690512</x:v>
      </x:c>
    </x:row>
    <x:row r="38">
      <x:c r="B38" s="3" t="s">
        <x:v>99</x:v>
      </x:c>
      <x:c r="C38" s="17" t="n">
        <x:f>Inputs!C13</x:f>
        <x:v>-0.8</x:v>
      </x:c>
      <x:c r="D38" s="17" t="n">
        <x:f>Inputs!D13</x:f>
        <x:v>-3</x:v>
      </x:c>
      <x:c r="E38" s="17" t="n">
        <x:f>Inputs!E13</x:f>
        <x:v>-4.1</x:v>
      </x:c>
      <x:c r="F38" s="17" t="n">
        <x:f>Inputs!F13</x:f>
        <x:v>-8.7</x:v>
      </x:c>
      <x:c r="G38" s="17" t="n">
        <x:f>Inputs!G13</x:f>
        <x:v>-4.5</x:v>
      </x:c>
      <x:c r="H38" s="14" t="n">
        <x:f>H10*H100/1000000</x:f>
        <x:v>-2</x:v>
      </x:c>
      <x:c r="J38" s="2" t="s">
        <x:v>100</x:v>
      </x:c>
    </x:row>
    <x:row r="39" ht="27">
      <x:c r="B39" s="3" t="s">
        <x:v>101</x:v>
      </x:c>
      <x:c r="C39" s="17" t="n">
        <x:f>Inputs!C14</x:f>
        <x:v>37.9</x:v>
      </x:c>
      <x:c r="D39" s="17" t="n">
        <x:f>Inputs!D14</x:f>
        <x:v>35.1</x:v>
      </x:c>
      <x:c r="E39" s="17" t="n">
        <x:f>Inputs!E14</x:f>
        <x:v>34.9</x:v>
      </x:c>
      <x:c r="F39" s="17" t="n">
        <x:f>Inputs!F14</x:f>
        <x:v>144.5</x:v>
      </x:c>
      <x:c r="G39" s="17" t="n">
        <x:f>Inputs!G14</x:f>
        <x:v>36.7</x:v>
      </x:c>
      <x:c r="H39" s="14" t="n">
        <x:f>H78*H103/1000000</x:f>
        <x:v>36</x:v>
      </x:c>
      <x:c r="J39" s="2" t="s">
        <x:v>102</x:v>
      </x:c>
    </x:row>
    <x:row r="40">
      <x:c r="B40" s="3" t="s">
        <x:v>103</x:v>
      </x:c>
      <x:c r="C40" s="17" t="n">
        <x:f>Inputs!C15</x:f>
        <x:v>22.2</x:v>
      </x:c>
      <x:c r="D40" s="17" t="n">
        <x:f>Inputs!D15</x:f>
        <x:v>21.9</x:v>
      </x:c>
      <x:c r="E40" s="17" t="n">
        <x:f>Inputs!E15</x:f>
        <x:v>22.7</x:v>
      </x:c>
      <x:c r="F40" s="17" t="n">
        <x:f>Inputs!F15</x:f>
        <x:v>89.7</x:v>
      </x:c>
      <x:c r="G40" s="17" t="n">
        <x:f>Inputs!G15</x:f>
        <x:v>28.9</x:v>
      </x:c>
      <x:c r="H40" s="14" t="n">
        <x:f>H10*H106/1000000</x:f>
        <x:v>23</x:v>
      </x:c>
      <x:c r="J40" s="2" t="s">
        <x:v>104</x:v>
      </x:c>
    </x:row>
    <x:row r="41">
      <x:c r="B41" s="15" t="s">
        <x:v>105</x:v>
      </x:c>
      <x:c r="C41" s="23" t="n">
        <x:f>SUM(C33,C38:C40)</x:f>
        <x:v>174.39999999999998</x:v>
      </x:c>
      <x:c r="D41" s="23" t="n">
        <x:f>SUM(D33,D38:D40)</x:f>
        <x:v>150.6</x:v>
      </x:c>
      <x:c r="E41" s="23" t="n">
        <x:f>SUM(E33,E38:E40)</x:f>
        <x:v>158.8</x:v>
      </x:c>
      <x:c r="F41" s="23" t="n">
        <x:f>SUM(F33,F38:F40)</x:f>
        <x:v>674.2</x:v>
      </x:c>
      <x:c r="G41" s="23" t="n">
        <x:f>SUM(G33,G38:G40)</x:f>
        <x:v>194.6</x:v>
      </x:c>
      <x:c r="H41" s="18" t="n">
        <x:f>SUM(H33,H38:H40)</x:f>
        <x:v>172</x:v>
      </x:c>
    </x:row>
    <x:row r="42">
      <x:c r="B42" s="3" t="s">
        <x:v>106</x:v>
      </x:c>
      <x:c r="C42" s="17" t="n">
        <x:f>Inputs!C68-SUM(C16,C28,C41)</x:f>
        <x:v>-0.019999999998617568</x:v>
      </x:c>
      <x:c r="D42" s="17" t="n">
        <x:f>Inputs!D68-SUM(D16,D28,D41)</x:f>
        <x:v>0.0500000000001819</x:v>
      </x:c>
      <x:c r="E42" s="17" t="n">
        <x:f>Inputs!E68-SUM(E16,E28,E41)</x:f>
        <x:v>0.05999999999949068</x:v>
      </x:c>
      <x:c r="F42" s="17" t="n">
        <x:f>Inputs!F68-SUM(F16,F28,F41)</x:f>
        <x:v>-0.06899999999950523</x:v>
      </x:c>
      <x:c r="G42" s="17" t="n">
        <x:f>Inputs!G68-SUM(G16,G28,G41)</x:f>
        <x:v>0.020000000000436557</x:v>
      </x:c>
      <x:c r="H42" s="14" t="n">
        <x:f>0</x:f>
        <x:v>0</x:v>
      </x:c>
    </x:row>
    <x:row r="43">
      <x:c r="B43" s="15" t="s">
        <x:v>107</x:v>
      </x:c>
      <x:c r="C43" s="23" t="n">
        <x:f>SUM(C16,C28,C41:C42)</x:f>
        <x:v>6594.68</x:v>
      </x:c>
      <x:c r="D43" s="23" t="n">
        <x:f>SUM(D16,D28,D41:D42)</x:f>
        <x:v>5793.95</x:v>
      </x:c>
      <x:c r="E43" s="23" t="n">
        <x:f>SUM(E16,E28,E41:E42)</x:f>
        <x:v>5945.96</x:v>
      </x:c>
      <x:c r="F43" s="23" t="n">
        <x:f>SUM(F16,F28,F41:F42)</x:f>
        <x:v>25881.131</x:v>
      </x:c>
      <x:c r="G43" s="23" t="n">
        <x:f>SUM(G16,G28,G41:G42)</x:f>
        <x:v>8013.52</x:v>
      </x:c>
      <x:c r="H43" s="18" t="n">
        <x:f>SUM(H16,H28,H41:H42)</x:f>
        <x:v>6807.764200879322</x:v>
      </x:c>
    </x:row>
    <x:row r="44">
      <x:c r="B44" s="3" t="s">
        <x:v>108</x:v>
      </x:c>
      <x:c r="C44" s="17" t="n">
        <x:f>Inputs!C20</x:f>
        <x:v>442.6</x:v>
      </x:c>
      <x:c r="D44" s="17" t="n">
        <x:f>Inputs!D20</x:f>
        <x:v>378.9</x:v>
      </x:c>
      <x:c r="E44" s="17" t="n">
        <x:f>Inputs!E20</x:f>
        <x:v>383.2</x:v>
      </x:c>
      <x:c r="F44" s="17" t="n">
        <x:f>Inputs!F20</x:f>
        <x:v>1759</x:v>
      </x:c>
      <x:c r="G44" s="17" t="n">
        <x:f>Inputs!G20</x:f>
        <x:v>501.4</x:v>
      </x:c>
      <x:c r="H44" s="14" t="n">
        <x:f>H10*H48/1000000</x:f>
        <x:v>424.935</x:v>
      </x:c>
    </x:row>
    <x:row r="45">
      <x:c r="B45" s="3" t="s">
        <x:v>109</x:v>
      </x:c>
      <x:c r="C45" s="17" t="n">
        <x:f>Inputs!C21</x:f>
        <x:v>137.3</x:v>
      </x:c>
      <x:c r="D45" s="17" t="n">
        <x:f>Inputs!D21</x:f>
        <x:v>114.8</x:v>
      </x:c>
      <x:c r="E45" s="17" t="n">
        <x:f>Inputs!E21</x:f>
        <x:v>115.4</x:v>
      </x:c>
      <x:c r="F45" s="17" t="n">
        <x:f>Inputs!F21</x:f>
        <x:v>524.1</x:v>
      </x:c>
      <x:c r="G45" s="17" t="n">
        <x:f>Inputs!G21</x:f>
        <x:v>169.5</x:v>
      </x:c>
      <x:c r="H45" s="14" t="n">
        <x:f>H22*H51/1000000</x:f>
        <x:v>137.115</x:v>
      </x:c>
    </x:row>
    <x:row r="46">
      <x:c r="B46" s="3" t="s">
        <x:v>110</x:v>
      </x:c>
      <x:c r="C46" s="17" t="n">
        <x:f>Inputs!C22</x:f>
        <x:v>137.8</x:v>
      </x:c>
      <x:c r="D46" s="17" t="n">
        <x:f>Inputs!D22</x:f>
        <x:v>96.3</x:v>
      </x:c>
      <x:c r="E46" s="17" t="n">
        <x:f>Inputs!E22</x:f>
        <x:v>106.7</x:v>
      </x:c>
      <x:c r="F46" s="17" t="n">
        <x:f>Inputs!F22</x:f>
        <x:v>523.5</x:v>
      </x:c>
      <x:c r="G46" s="17" t="n">
        <x:f>Inputs!G22</x:f>
        <x:v>183.5</x:v>
      </x:c>
      <x:c r="H46" s="24" t="n">
        <x:f>Inputs!H22</x:f>
        <x:v>145</x:v>
      </x:c>
    </x:row>
    <x:row r="47">
      <x:c r="B47" s="15" t="s">
        <x:v>111</x:v>
      </x:c>
      <x:c r="C47" s="23" t="n">
        <x:f>SUM(C44:C46)</x:f>
        <x:v>717.7</x:v>
      </x:c>
      <x:c r="D47" s="23" t="n">
        <x:f>SUM(D44:D46)</x:f>
        <x:v>590</x:v>
      </x:c>
      <x:c r="E47" s="23" t="n">
        <x:f>SUM(E44:E46)</x:f>
        <x:v>605.3000000000001</x:v>
      </x:c>
      <x:c r="F47" s="23" t="n">
        <x:f>SUM(F44:F46)</x:f>
        <x:v>2806.6</x:v>
      </x:c>
      <x:c r="G47" s="23" t="n">
        <x:f>SUM(G44:G46)</x:f>
        <x:v>854.4</x:v>
      </x:c>
      <x:c r="H47" s="18" t="n">
        <x:f>SUM(H44:H46)</x:f>
        <x:v>707.05</x:v>
      </x:c>
    </x:row>
    <x:row r="48" ht="27">
      <x:c r="B48" s="3" t="s">
        <x:v>112</x:v>
      </x:c>
      <x:c r="C48" s="13" t="n">
        <x:f>C44*1000000/C10</x:f>
        <x:v>2216.002683636327</x:v>
      </x:c>
      <x:c r="D48" s="13" t="n">
        <x:f>D44*1000000/D10</x:f>
        <x:v>2234.6467559581733</x:v>
      </x:c>
      <x:c r="E48" s="13" t="n">
        <x:f>E44*1000000/E10</x:f>
        <x:v>2114.930348588207</x:v>
      </x:c>
      <x:c r="F48" s="13" t="n">
        <x:f>F44*1000000/F10</x:f>
        <x:v>2253.1523638245435</x:v>
      </x:c>
      <x:c r="G48" s="13" t="n">
        <x:f>G44*1000000/G10</x:f>
        <x:v>2177.226402886757</x:v>
      </x:c>
      <x:c r="H48" s="24" t="n">
        <x:f>Inputs!H229</x:f>
        <x:v>2130</x:v>
      </x:c>
    </x:row>
    <x:row r="49" ht="26.25">
      <x:c r="B49" s="3" t="s">
        <x:v>113</x:v>
      </x:c>
      <x:c r="C49" s="13"/>
      <x:c r="D49" s="13"/>
      <x:c r="E49" s="13"/>
      <x:c r="F49" s="13"/>
      <x:c r="G49" s="13"/>
      <x:c r="H49" s="14" t="n">
        <x:f>H48-C48</x:f>
        <x:v>-86.00268363632722</x:v>
      </x:c>
    </x:row>
    <x:row r="50" ht="26.25">
      <x:c r="B50" s="3" t="s">
        <x:v>114</x:v>
      </x:c>
      <x:c r="C50" s="13"/>
      <x:c r="D50" s="13" t="n">
        <x:f>D48-C48</x:f>
        <x:v>18.644072321846124</x:v>
      </x:c>
      <x:c r="E50" s="13" t="n">
        <x:f>E48-D48</x:f>
        <x:v>-119.71640736996642</x:v>
      </x:c>
      <x:c r="F50" s="13"/>
      <x:c r="G50" s="13" t="n">
        <x:f>G48-E48</x:f>
        <x:v>62.29605429855019</x:v>
      </x:c>
      <x:c r="H50" s="14" t="n">
        <x:f>H48-G48</x:f>
        <x:v>-47.226402886757114</x:v>
      </x:c>
    </x:row>
    <x:row r="51" ht="27">
      <x:c r="B51" s="3" t="s">
        <x:v>115</x:v>
      </x:c>
      <x:c r="C51" s="13" t="n">
        <x:f>C45*1000000/C22</x:f>
        <x:v>992.7549854665876</x:v>
      </x:c>
      <x:c r="D51" s="13" t="n">
        <x:f>D45*1000000/D22</x:f>
        <x:v>899.6653683690822</x:v>
      </x:c>
      <x:c r="E51" s="13" t="n">
        <x:f>E45*1000000/E22</x:f>
        <x:v>939.8848356015995</x:v>
      </x:c>
      <x:c r="F51" s="13" t="n">
        <x:f>F45*1000000/F22</x:f>
        <x:v>973.7961326859939</x:v>
      </x:c>
      <x:c r="G51" s="13" t="n">
        <x:f>G45*1000000/G22</x:f>
        <x:v>1045.8831079079869</x:v>
      </x:c>
      <x:c r="H51" s="24" t="n">
        <x:f>Inputs!H230</x:f>
        <x:v>990</x:v>
      </x:c>
    </x:row>
    <x:row r="52">
      <x:c r="B52" s="3" t="s">
        <x:v>116</x:v>
      </x:c>
      <x:c r="C52" s="13"/>
      <x:c r="D52" s="13"/>
      <x:c r="E52" s="13"/>
      <x:c r="F52" s="13"/>
      <x:c r="G52" s="13"/>
      <x:c r="H52" s="14" t="n">
        <x:f>H51-C51</x:f>
        <x:v>-2.754985466587641</x:v>
      </x:c>
    </x:row>
    <x:row r="53" ht="27">
      <x:c r="B53" s="3" t="s">
        <x:v>117</x:v>
      </x:c>
      <x:c r="C53" s="13"/>
      <x:c r="D53" s="13" t="n">
        <x:f>D51-C51</x:f>
        <x:v>-93.08961709750542</x:v>
      </x:c>
      <x:c r="E53" s="13" t="n">
        <x:f>E51-D51</x:f>
        <x:v>40.21946723251733</x:v>
      </x:c>
      <x:c r="F53" s="13"/>
      <x:c r="G53" s="13" t="n">
        <x:f>G51-E51</x:f>
        <x:v>105.99827230638732</x:v>
      </x:c>
      <x:c r="H53" s="14" t="n">
        <x:f>H51-G51</x:f>
        <x:v>-55.88310790798687</x:v>
      </x:c>
    </x:row>
    <x:row r="54">
      <x:c r="B54" s="3" t="s">
        <x:v>118</x:v>
      </x:c>
      <x:c r="C54" s="13" t="n">
        <x:f>C33*1000000/C10</x:f>
        <x:v>576.2808605660671</x:v>
      </x:c>
      <x:c r="D54" s="13" t="n">
        <x:f>D33*1000000/D10</x:f>
        <x:v>569.7199171959871</x:v>
      </x:c>
      <x:c r="E54" s="13" t="n">
        <x:f>E33*1000000/E10</x:f>
        <x:v>581.164315517584</x:v>
      </x:c>
      <x:c r="F54" s="13" t="n">
        <x:f>F33*1000000/F10</x:f>
        <x:v>574.7523966163005</x:v>
      </x:c>
      <x:c r="G54" s="13" t="n">
        <x:f>G33*1000000/G10</x:f>
        <x:v>579.6962999309575</x:v>
      </x:c>
      <x:c r="H54" s="24" t="n">
        <x:f>Inputs!H109</x:f>
        <x:v>576.4411027568922</x:v>
      </x:c>
    </x:row>
    <x:row r="55" ht="26.25">
      <x:c r="B55" s="3" t="s">
        <x:v>119</x:v>
      </x:c>
      <x:c r="C55" s="13"/>
      <x:c r="D55" s="13"/>
      <x:c r="E55" s="13"/>
      <x:c r="F55" s="13"/>
      <x:c r="G55" s="13"/>
      <x:c r="H55" s="14" t="n">
        <x:f>H54-C54</x:f>
        <x:v>0.16024219082510172</x:v>
      </x:c>
    </x:row>
    <x:row r="56" ht="27">
      <x:c r="B56" s="3" t="s">
        <x:v>120</x:v>
      </x:c>
      <x:c r="C56" s="13"/>
      <x:c r="D56" s="13" t="n">
        <x:f>D54-C54</x:f>
        <x:v>-6.56094337007994</x:v>
      </x:c>
      <x:c r="E56" s="13" t="n">
        <x:f>E54-D54</x:f>
        <x:v>11.44439832159685</x:v>
      </x:c>
      <x:c r="F56" s="13"/>
      <x:c r="G56" s="13" t="n">
        <x:f>G54-E54</x:f>
        <x:v>-1.4680155866265068</x:v>
      </x:c>
      <x:c r="H56" s="14" t="n">
        <x:f>H54-G54</x:f>
        <x:v>-3.2551971740653016</x:v>
      </x:c>
    </x:row>
    <x:row r="57" ht="27">
      <x:c r="B57" s="22" t="s">
        <x:v>121</x:v>
      </x:c>
      <x:c r="C57" s="33" t="n">
        <x:f>Inputs!C40/100</x:f>
        <x:v>-0.063</x:v>
      </x:c>
      <x:c r="D57" s="33" t="n">
        <x:f>Inputs!D40/100</x:f>
        <x:v>-0.09</x:v>
      </x:c>
      <x:c r="E57" s="33" t="n">
        <x:f>Inputs!E40/100</x:f>
        <x:v>-0.019</x:v>
      </x:c>
      <x:c r="F57" s="33" t="n">
        <x:f>Inputs!F40/100</x:f>
        <x:v>-0.02</x:v>
      </x:c>
      <x:c r="G57" s="33" t="n">
        <x:f>Inputs!G40/100</x:f>
        <x:v>-0.008</x:v>
      </x:c>
      <x:c r="H57" s="21" t="n">
        <x:f>Inputs!H79</x:f>
        <x:v>-0.013</x:v>
      </x:c>
    </x:row>
    <x:row r="58" ht="27">
      <x:c r="B58" s="22" t="s">
        <x:v>122</x:v>
      </x:c>
      <x:c r="C58" s="32"/>
      <x:c r="D58" s="32"/>
      <x:c r="E58" s="32"/>
      <x:c r="F58" s="32"/>
      <x:c r="G58" s="32"/>
      <x:c r="H58" s="36" t="n">
        <x:f>(H57-C57)*10000</x:f>
        <x:v>500</x:v>
      </x:c>
    </x:row>
    <x:row r="59" ht="27">
      <x:c r="B59" s="22" t="s">
        <x:v>123</x:v>
      </x:c>
      <x:c r="C59" s="32"/>
      <x:c r="D59" s="32" t="n">
        <x:f>(D57-C57)*10000</x:f>
        <x:v>-269.99999999999994</x:v>
      </x:c>
      <x:c r="E59" s="32" t="n">
        <x:f>(E57-D57)*10000</x:f>
        <x:v>709.9999999999999</x:v>
      </x:c>
      <x:c r="F59" s="32"/>
      <x:c r="G59" s="32" t="n">
        <x:f>(G57-E57)*10000</x:f>
        <x:v>110</x:v>
      </x:c>
      <x:c r="H59" s="36" t="n">
        <x:f>(H57-G57)*10000</x:f>
        <x:v>-49.99999999999999</x:v>
      </x:c>
    </x:row>
    <x:row r="60" ht="27">
      <x:c r="B60" s="22" t="s">
        <x:v>124</x:v>
      </x:c>
      <x:c r="C60" s="33" t="n">
        <x:f>'Segment - Auto Finance'!C44</x:f>
        <x:v>0.426</x:v>
      </x:c>
      <x:c r="D60" s="33" t="n">
        <x:f>'Segment - Auto Finance'!D44</x:f>
        <x:v>0.426</x:v>
      </x:c>
      <x:c r="E60" s="33" t="n">
        <x:f>'Segment - Auto Finance'!E44</x:f>
        <x:v>0.428</x:v>
      </x:c>
      <x:c r="F60" s="33" t="n">
        <x:f>'Segment - Auto Finance'!F44</x:f>
        <x:v>0.424</x:v>
      </x:c>
      <x:c r="G60" s="33" t="n">
        <x:f>'Segment - Auto Finance'!G44</x:f>
        <x:v>0.433</x:v>
      </x:c>
      <x:c r="H60" s="21" t="n">
        <x:f>'Segment - Auto Finance'!H44</x:f>
        <x:v>0.433</x:v>
      </x:c>
    </x:row>
    <x:row r="61" ht="27">
      <x:c r="B61" s="22" t="s">
        <x:v>125</x:v>
      </x:c>
      <x:c r="C61" s="32"/>
      <x:c r="D61" s="32"/>
      <x:c r="E61" s="32"/>
      <x:c r="F61" s="32"/>
      <x:c r="G61" s="32"/>
      <x:c r="H61" s="36" t="n">
        <x:f>(H60-C60)*10000</x:f>
        <x:v>70.00000000000006</x:v>
      </x:c>
    </x:row>
    <x:row r="62" ht="27">
      <x:c r="B62" s="22" t="s">
        <x:v>126</x:v>
      </x:c>
      <x:c r="C62" s="32"/>
      <x:c r="D62" s="32" t="n">
        <x:f>(D60-C60)*10000</x:f>
        <x:v>0</x:v>
      </x:c>
      <x:c r="E62" s="32" t="n">
        <x:f>(E60-D60)*10000</x:f>
        <x:v>20.000000000000018</x:v>
      </x:c>
      <x:c r="F62" s="32"/>
      <x:c r="G62" s="32" t="n">
        <x:f>(G60-E60)*10000</x:f>
        <x:v>50.00000000000004</x:v>
      </x:c>
      <x:c r="H62" s="36" t="n">
        <x:f>(H60-G60)*10000</x:f>
        <x:v>0</x:v>
      </x:c>
    </x:row>
    <x:row r="63" ht="27">
      <x:c r="B63" s="22" t="s">
        <x:v>127</x:v>
      </x:c>
      <x:c r="C63" s="33" t="n">
        <x:f>Inputs!C103/100</x:f>
        <x:v>0.8</x:v>
      </x:c>
      <x:c r="D63" s="33" t="n">
        <x:f>Inputs!D103/100</x:f>
        <x:v>0.81</x:v>
      </x:c>
      <x:c r="E63" s="33" t="n">
        <x:f>Inputs!E103/100</x:f>
        <x:v>0.83</x:v>
      </x:c>
      <x:c r="F63" s="54" t="s">
        <x:v>31</x:v>
      </x:c>
      <x:c r="G63" s="33" t="n">
        <x:f>Inputs!G103/100</x:f>
        <x:v>0.84</x:v>
      </x:c>
      <x:c r="H63" s="19" t="n">
        <x:f>G63</x:f>
        <x:v>0.84</x:v>
      </x:c>
    </x:row>
    <x:row r="64" ht="27">
      <x:c r="B64" s="22" t="s">
        <x:v>128</x:v>
      </x:c>
      <x:c r="C64" s="32"/>
      <x:c r="D64" s="32"/>
      <x:c r="E64" s="32"/>
      <x:c r="F64" s="55"/>
      <x:c r="G64" s="32"/>
      <x:c r="H64" s="36" t="n">
        <x:f>(H63-C63)*10000</x:f>
        <x:v>399.99999999999926</x:v>
      </x:c>
    </x:row>
    <x:row r="65" ht="27">
      <x:c r="B65" s="22" t="s">
        <x:v>129</x:v>
      </x:c>
      <x:c r="C65" s="32"/>
      <x:c r="D65" s="32" t="n">
        <x:f>(D63-C63)*10000</x:f>
        <x:v>100.00000000000009</x:v>
      </x:c>
      <x:c r="E65" s="32" t="n">
        <x:f>(E63-D63)*10000</x:f>
        <x:v>199.99999999999906</x:v>
      </x:c>
      <x:c r="F65" s="55"/>
      <x:c r="G65" s="32" t="n">
        <x:f>(G63-E63)*10000</x:f>
        <x:v>100.00000000000009</x:v>
      </x:c>
      <x:c r="H65" s="36" t="n">
        <x:f>(H63-G63)*10000</x:f>
        <x:v>0</x:v>
      </x:c>
    </x:row>
    <x:row r="66">
      <x:c r="B66" s="22" t="s">
        <x:v>130</x:v>
      </x:c>
      <x:c r="C66" s="33" t="n">
        <x:f>Inputs!C105/100</x:f>
        <x:v>0.12</x:v>
      </x:c>
      <x:c r="D66" s="33" t="n">
        <x:f>Inputs!D105/100</x:f>
        <x:v>0.12</x:v>
      </x:c>
      <x:c r="E66" s="33" t="n">
        <x:f>Inputs!E105/100</x:f>
        <x:v>0.13</x:v>
      </x:c>
      <x:c r="F66" s="54" t="s">
        <x:v>31</x:v>
      </x:c>
      <x:c r="G66" s="33" t="n">
        <x:f>Inputs!G105/100</x:f>
        <x:v>0.14</x:v>
      </x:c>
      <x:c r="H66" s="19" t="n">
        <x:f>G66</x:f>
        <x:v>0.14</x:v>
      </x:c>
    </x:row>
    <x:row r="67" ht="27">
      <x:c r="B67" s="22" t="s">
        <x:v>131</x:v>
      </x:c>
      <x:c r="C67" s="32"/>
      <x:c r="D67" s="32"/>
      <x:c r="E67" s="32"/>
      <x:c r="F67" s="55"/>
      <x:c r="G67" s="32"/>
      <x:c r="H67" s="36" t="n">
        <x:f>(H66-C66)*10000</x:f>
        <x:v>200.00000000000017</x:v>
      </x:c>
    </x:row>
    <x:row r="68" ht="27">
      <x:c r="B68" s="22" t="s">
        <x:v>132</x:v>
      </x:c>
      <x:c r="C68" s="32"/>
      <x:c r="D68" s="32" t="n">
        <x:f>(D66-C66)*10000</x:f>
        <x:v>0</x:v>
      </x:c>
      <x:c r="E68" s="32" t="n">
        <x:f>(E66-D66)*10000</x:f>
        <x:v>100.00000000000009</x:v>
      </x:c>
      <x:c r="F68" s="55"/>
      <x:c r="G68" s="32" t="n">
        <x:f>(G66-E66)*10000</x:f>
        <x:v>100.00000000000009</x:v>
      </x:c>
      <x:c r="H68" s="36" t="n">
        <x:f>(H66-G66)*10000</x:f>
        <x:v>0</x:v>
      </x:c>
    </x:row>
    <x:row r="69" ht="27">
      <x:c r="B69" s="3" t="s">
        <x:v>133</x:v>
      </x:c>
      <x:c r="C69" s="17" t="n">
        <x:f>Inputs!C106</x:f>
        <x:v>262</x:v>
      </x:c>
      <x:c r="D69" s="17" t="n">
        <x:f>Inputs!D106</x:f>
        <x:v>208</x:v>
      </x:c>
      <x:c r="E69" s="17" t="n">
        <x:f>Inputs!E106</x:f>
        <x:v>229</x:v>
      </x:c>
      <x:c r="F69" s="51" t="s">
        <x:v>31</x:v>
      </x:c>
      <x:c r="G69" s="17" t="n">
        <x:f>Inputs!G106</x:f>
        <x:v>281</x:v>
      </x:c>
      <x:c r="H69" s="14" t="n">
        <x:f>C69*H10/C10</x:f>
        <x:v>261.6996029620135</x:v>
      </x:c>
    </x:row>
    <x:row r="70" ht="27">
      <x:c r="B70" s="3" t="s">
        <x:v>134</x:v>
      </x:c>
      <x:c r="C70" s="13"/>
      <x:c r="D70" s="13"/>
      <x:c r="E70" s="13"/>
      <x:c r="F70" s="51"/>
      <x:c r="G70" s="13"/>
      <x:c r="H70" s="14" t="n">
        <x:f>H69-C69</x:f>
        <x:v>-0.3003970379864995</x:v>
      </x:c>
    </x:row>
    <x:row r="71" ht="27">
      <x:c r="B71" s="3" t="s">
        <x:v>135</x:v>
      </x:c>
      <x:c r="C71" s="13"/>
      <x:c r="D71" s="13" t="n">
        <x:f>D69-C69</x:f>
        <x:v>-54</x:v>
      </x:c>
      <x:c r="E71" s="13" t="n">
        <x:f>E69-D69</x:f>
        <x:v>21</x:v>
      </x:c>
      <x:c r="F71" s="51"/>
      <x:c r="G71" s="13" t="n">
        <x:f>G69-E69</x:f>
        <x:v>52</x:v>
      </x:c>
      <x:c r="H71" s="14" t="n">
        <x:f>H69-G69</x:f>
        <x:v>-19.3003970379865</x:v>
      </x:c>
    </x:row>
    <x:row r="72" ht="27">
      <x:c r="B72" s="3" t="s">
        <x:v>136</x:v>
      </x:c>
      <x:c r="C72" s="17" t="n">
        <x:f>Inputs!C107</x:f>
        <x:v>31</x:v>
      </x:c>
      <x:c r="D72" s="17" t="n">
        <x:f>Inputs!D107</x:f>
        <x:v>30</x:v>
      </x:c>
      <x:c r="E72" s="17" t="n">
        <x:f>Inputs!E107</x:f>
        <x:v>41</x:v>
      </x:c>
      <x:c r="F72" s="51" t="s">
        <x:v>31</x:v>
      </x:c>
      <x:c r="G72" s="17" t="n">
        <x:f>Inputs!G107</x:f>
        <x:v>41</x:v>
      </x:c>
      <x:c r="H72" s="14" t="n">
        <x:f>C72*H22/C22</x:f>
        <x:v>31.04438113693222</x:v>
      </x:c>
    </x:row>
    <x:row r="73" ht="27">
      <x:c r="B73" s="3" t="s">
        <x:v>137</x:v>
      </x:c>
      <x:c r="C73" s="13"/>
      <x:c r="D73" s="13"/>
      <x:c r="E73" s="13"/>
      <x:c r="F73" s="51"/>
      <x:c r="G73" s="13"/>
      <x:c r="H73" s="14" t="n">
        <x:f>H72-C72</x:f>
        <x:v>0.04438113693221979</x:v>
      </x:c>
    </x:row>
    <x:row r="74" ht="27">
      <x:c r="B74" s="3" t="s">
        <x:v>138</x:v>
      </x:c>
      <x:c r="C74" s="13"/>
      <x:c r="D74" s="13" t="n">
        <x:f>D72-C72</x:f>
        <x:v>-1</x:v>
      </x:c>
      <x:c r="E74" s="13" t="n">
        <x:f>E72-D72</x:f>
        <x:v>11</x:v>
      </x:c>
      <x:c r="F74" s="51"/>
      <x:c r="G74" s="13" t="n">
        <x:f>G72-E72</x:f>
        <x:v>0</x:v>
      </x:c>
      <x:c r="H74" s="14" t="n">
        <x:f>H72-G72</x:f>
        <x:v>-9.95561886306778</x:v>
      </x:c>
    </x:row>
    <x:row r="75">
      <x:c r="B75" s="22" t="s">
        <x:v>139</x:v>
      </x:c>
      <x:c r="C75" s="12" t="n">
        <x:f>C47/C43</x:f>
        <x:v>0.10883014793742836</x:v>
      </x:c>
      <x:c r="D75" s="12" t="n">
        <x:f>D47/D43</x:f>
        <x:v>0.10183035752811122</x:v>
      </x:c>
      <x:c r="E75" s="12" t="n">
        <x:f>E47/E43</x:f>
        <x:v>0.1018002139267671</x:v>
      </x:c>
      <x:c r="F75" s="54" t="n">
        <x:f>F47/F43</x:f>
        <x:v>0.10844193787358056</x:v>
      </x:c>
      <x:c r="G75" s="12" t="n">
        <x:f>G47/G43</x:f>
        <x:v>0.10661981251684652</x:v>
      </x:c>
      <x:c r="H75" s="19" t="n">
        <x:f>H47/H43</x:f>
        <x:v>0.10385935516225343</x:v>
      </x:c>
    </x:row>
    <x:row r="76">
      <x:c r="B76" s="3" t="s">
        <x:v>140</x:v>
      </x:c>
      <x:c r="C76" s="13"/>
      <x:c r="D76" s="13"/>
      <x:c r="E76" s="13"/>
      <x:c r="F76" s="51"/>
      <x:c r="G76" s="13" t="n">
        <x:f>(G75-(F47-SUM(C47:E47))/(F43-SUM(C43:E43)))*10000</x:f>
        <x:v>-117.92053263780633</x:v>
      </x:c>
      <x:c r="H76" s="14" t="n">
        <x:f>(H75-C75)*10000</x:f>
        <x:v>-49.70792775174926</x:v>
      </x:c>
    </x:row>
    <x:row r="77">
      <x:c r="B77" s="3" t="s">
        <x:v>141</x:v>
      </x:c>
      <x:c r="C77" s="13"/>
      <x:c r="D77" s="13" t="n">
        <x:f>(D75-C75)*10000</x:f>
        <x:v>-69.99790409317141</x:v>
      </x:c>
      <x:c r="E77" s="13" t="n">
        <x:f>(E75-D75)*10000</x:f>
        <x:v>-0.3014360134412364</x:v>
      </x:c>
      <x:c r="F77" s="51"/>
      <x:c r="G77" s="13" t="n">
        <x:f>(G75-E75)*10000</x:f>
        <x:v>48.19598590079424</x:v>
      </x:c>
      <x:c r="H77" s="14" t="n">
        <x:f>(H75-G75)*10000</x:f>
        <x:v>-27.60457354593085</x:v>
      </x:c>
    </x:row>
    <x:row r="78">
      <x:c r="B78" s="15" t="s">
        <x:v>142</x:v>
      </x:c>
      <x:c r="C78" s="23" t="n">
        <x:f>SUM(C10,C22)</x:f>
        <x:v>338031</x:v>
      </x:c>
      <x:c r="D78" s="23" t="n">
        <x:f>SUM(D10,D22)</x:f>
        <x:v>297160</x:v>
      </x:c>
      <x:c r="E78" s="23" t="n">
        <x:f>SUM(E10,E22)</x:f>
        <x:v>303969</x:v>
      </x:c>
      <x:c r="F78" s="56" t="n">
        <x:f>SUM(F10,F22)</x:f>
        <x:v>1318887</x:v>
      </x:c>
      <x:c r="G78" s="23" t="n">
        <x:f>SUM(G10,G22)</x:f>
        <x:v>392357</x:v>
      </x:c>
      <x:c r="H78" s="18" t="n">
        <x:f>SUM(H10,H22)</x:f>
        <x:v>338000</x:v>
      </x:c>
    </x:row>
    <x:row r="79">
      <x:c r="B79" s="3" t="s">
        <x:v>143</x:v>
      </x:c>
      <x:c r="C79" s="13"/>
      <x:c r="D79" s="13"/>
      <x:c r="E79" s="13"/>
      <x:c r="F79" s="51"/>
      <x:c r="G79" s="13"/>
      <x:c r="H79" s="14" t="n">
        <x:f>IFERROR(H78/C78-1,0)</x:f>
        <x:v>-0.0000917075652824284</x:v>
      </x:c>
    </x:row>
    <x:row r="80">
      <x:c r="B80" s="3" t="s">
        <x:v>144</x:v>
      </x:c>
      <x:c r="C80" s="13"/>
      <x:c r="D80" s="13" t="n">
        <x:f>D78-C78</x:f>
        <x:v>-40871</x:v>
      </x:c>
      <x:c r="E80" s="13" t="n">
        <x:f>E78-D78</x:f>
        <x:v>6809</x:v>
      </x:c>
      <x:c r="F80" s="51"/>
      <x:c r="G80" s="13" t="n">
        <x:f>G78-E78</x:f>
        <x:v>88388</x:v>
      </x:c>
      <x:c r="H80" s="14" t="n">
        <x:f>H78-G78</x:f>
        <x:v>-54357</x:v>
      </x:c>
    </x:row>
    <x:row r="81">
      <x:c r="B81" s="3" t="s">
        <x:v>145</x:v>
      </x:c>
      <x:c r="C81" s="13"/>
      <x:c r="D81" s="13"/>
      <x:c r="E81" s="13"/>
      <x:c r="F81" s="51"/>
      <x:c r="G81" s="13"/>
      <x:c r="H81" s="14" t="str">
        <x:f>"United States: effectively all operations"</x:f>
        <x:v>United States: effectively all operations</x:v>
      </x:c>
    </x:row>
    <x:row r="82" ht="27">
      <x:c r="B82" s="15" t="s">
        <x:v>146</x:v>
      </x:c>
      <x:c r="C82" s="23" t="n">
        <x:f>C43-SUM(C16,C28,C41:C42)</x:f>
        <x:v>0</x:v>
      </x:c>
      <x:c r="D82" s="23" t="n">
        <x:f>D43-SUM(D16,D28,D41:D42)</x:f>
        <x:v>0</x:v>
      </x:c>
      <x:c r="E82" s="23" t="n">
        <x:f>E43-SUM(E16,E28,E41:E42)</x:f>
        <x:v>0</x:v>
      </x:c>
      <x:c r="F82" s="56" t="n">
        <x:f>F43-SUM(F16,F28,F41:F42)</x:f>
        <x:v>0</x:v>
      </x:c>
      <x:c r="G82" s="23" t="n">
        <x:f>G43-SUM(G16,G28,G41:G42)</x:f>
        <x:v>0</x:v>
      </x:c>
      <x:c r="H82" s="18" t="n">
        <x:f>H43-SUM(H16,H28,H41:H42)</x:f>
        <x:v>0</x:v>
      </x:c>
    </x:row>
    <x:row r="83">
      <x:c r="B83" s="22" t="s">
        <x:v>147</x:v>
      </x:c>
      <x:c r="C83" s="33" t="n">
        <x:f>Inputs!C104/100</x:f>
        <x:v>0.68</x:v>
      </x:c>
      <x:c r="D83" s="33" t="n">
        <x:f>Inputs!D104/100</x:f>
        <x:v>0.69</x:v>
      </x:c>
      <x:c r="E83" s="33" t="n">
        <x:f>Inputs!E104/100</x:f>
        <x:v>0.7</x:v>
      </x:c>
      <x:c r="F83" s="54" t="s">
        <x:v>31</x:v>
      </x:c>
      <x:c r="G83" s="33" t="n">
        <x:f>Inputs!G104/100</x:f>
        <x:v>0.7</x:v>
      </x:c>
      <x:c r="H83" s="19" t="n">
        <x:f>G83</x:f>
        <x:v>0.7</x:v>
      </x:c>
    </x:row>
    <x:row r="84" ht="27">
      <x:c r="B84" s="22" t="s">
        <x:v>148</x:v>
      </x:c>
      <x:c r="C84" s="32"/>
      <x:c r="D84" s="32"/>
      <x:c r="E84" s="32"/>
      <x:c r="F84" s="55"/>
      <x:c r="G84" s="32"/>
      <x:c r="H84" s="36" t="n">
        <x:f>(H83-C83)*10000</x:f>
        <x:v>199.99999999999906</x:v>
      </x:c>
    </x:row>
    <x:row r="85" ht="27">
      <x:c r="B85" s="22" t="s">
        <x:v>149</x:v>
      </x:c>
      <x:c r="C85" s="32"/>
      <x:c r="D85" s="32" t="n">
        <x:f>(D83-C83)*10000</x:f>
        <x:v>99.99999999999898</x:v>
      </x:c>
      <x:c r="E85" s="32" t="n">
        <x:f>(E83-D83)*10000</x:f>
        <x:v>100.00000000000009</x:v>
      </x:c>
      <x:c r="F85" s="55"/>
      <x:c r="G85" s="32" t="n">
        <x:f>(G83-E83)*10000</x:f>
        <x:v>0</x:v>
      </x:c>
      <x:c r="H85" s="36" t="n">
        <x:f>(H83-G83)*10000</x:f>
        <x:v>0</x:v>
      </x:c>
    </x:row>
    <x:row r="86">
      <x:c r="B86" s="3" t="s">
        <x:v>150</x:v>
      </x:c>
      <x:c r="C86" s="13" t="n">
        <x:f>SUM(C69,C72)</x:f>
        <x:v>293</x:v>
      </x:c>
      <x:c r="D86" s="13" t="n">
        <x:f>SUM(D69,D72)</x:f>
        <x:v>238</x:v>
      </x:c>
      <x:c r="E86" s="13" t="n">
        <x:f>SUM(E69,E72)</x:f>
        <x:v>270</x:v>
      </x:c>
      <x:c r="F86" s="51" t="s">
        <x:v>31</x:v>
      </x:c>
      <x:c r="G86" s="13" t="n">
        <x:f>SUM(G69,G72)</x:f>
        <x:v>322</x:v>
      </x:c>
      <x:c r="H86" s="14" t="n">
        <x:f>SUM(H69,H72)</x:f>
        <x:v>292.7439840989457</x:v>
      </x:c>
    </x:row>
    <x:row r="87">
      <x:c r="B87" s="3" t="s">
        <x:v>151</x:v>
      </x:c>
      <x:c r="C87" s="13"/>
      <x:c r="D87" s="13"/>
      <x:c r="E87" s="13"/>
      <x:c r="F87" s="13"/>
      <x:c r="G87" s="13"/>
      <x:c r="H87" s="14"/>
    </x:row>
    <x:row r="88" ht="27">
      <x:c r="B88" s="16" t="s">
        <x:v>152</x:v>
      </x:c>
      <x:c r="C88" s="12"/>
      <x:c r="D88" s="12"/>
      <x:c r="E88" s="12"/>
      <x:c r="F88" s="12"/>
      <x:c r="G88" s="12"/>
      <x:c r="H88" s="19" t="n">
        <x:f>(1+H91)/((1+H89)*(1+H90))-1</x:f>
        <x:v>1.5</x:v>
      </x:c>
    </x:row>
    <x:row r="89">
      <x:c r="B89" s="16" t="s">
        <x:v>153</x:v>
      </x:c>
      <x:c r="C89" s="12"/>
      <x:c r="D89" s="12"/>
      <x:c r="E89" s="12"/>
      <x:c r="F89" s="12"/>
      <x:c r="G89" s="12"/>
      <x:c r="H89" s="21" t="n">
        <x:f>Inputs!H77</x:f>
        <x:v>0</x:v>
      </x:c>
    </x:row>
    <x:row r="90">
      <x:c r="B90" s="16" t="s">
        <x:v>154</x:v>
      </x:c>
      <x:c r="C90" s="12"/>
      <x:c r="D90" s="12"/>
      <x:c r="E90" s="12"/>
      <x:c r="F90" s="12"/>
      <x:c r="G90" s="12"/>
      <x:c r="H90" s="21" t="n">
        <x:f>Inputs!H78</x:f>
        <x:v>0</x:v>
      </x:c>
    </x:row>
    <x:row r="91">
      <x:c r="B91" s="16" t="s">
        <x:v>155</x:v>
      </x:c>
      <x:c r="C91" s="12"/>
      <x:c r="D91" s="12"/>
      <x:c r="E91" s="12"/>
      <x:c r="F91" s="12"/>
      <x:c r="G91" s="12"/>
      <x:c r="H91" s="19" t="n">
        <x:f>IFERROR(H38/C38-1,0)</x:f>
        <x:v>1.5</x:v>
      </x:c>
    </x:row>
    <x:row r="92" ht="27">
      <x:c r="B92" s="16" t="s">
        <x:v>156</x:v>
      </x:c>
      <x:c r="C92" s="12"/>
      <x:c r="D92" s="12"/>
      <x:c r="E92" s="12"/>
      <x:c r="F92" s="12"/>
      <x:c r="G92" s="12"/>
      <x:c r="H92" s="19" t="n">
        <x:f>(1+H95)/((1+H93)*(1+H94))-1</x:f>
        <x:v>-0.05013192612137196</x:v>
      </x:c>
    </x:row>
    <x:row r="93">
      <x:c r="B93" s="16" t="s">
        <x:v>153</x:v>
      </x:c>
      <x:c r="C93" s="12"/>
      <x:c r="D93" s="12"/>
      <x:c r="E93" s="12"/>
      <x:c r="F93" s="12"/>
      <x:c r="G93" s="12"/>
      <x:c r="H93" s="21" t="n">
        <x:f>Inputs!H77</x:f>
        <x:v>0</x:v>
      </x:c>
    </x:row>
    <x:row r="94">
      <x:c r="B94" s="16" t="s">
        <x:v>154</x:v>
      </x:c>
      <x:c r="C94" s="12"/>
      <x:c r="D94" s="12"/>
      <x:c r="E94" s="12"/>
      <x:c r="F94" s="12"/>
      <x:c r="G94" s="12"/>
      <x:c r="H94" s="21" t="n">
        <x:f>Inputs!H78</x:f>
        <x:v>0</x:v>
      </x:c>
    </x:row>
    <x:row r="95">
      <x:c r="B95" s="16" t="s">
        <x:v>155</x:v>
      </x:c>
      <x:c r="C95" s="12"/>
      <x:c r="D95" s="12"/>
      <x:c r="E95" s="12"/>
      <x:c r="F95" s="12"/>
      <x:c r="G95" s="12"/>
      <x:c r="H95" s="19" t="n">
        <x:f>IFERROR(H39/C39-1,0)</x:f>
        <x:v>-0.05013192612137196</x:v>
      </x:c>
    </x:row>
    <x:row r="96" ht="27">
      <x:c r="B96" s="16" t="s">
        <x:v>157</x:v>
      </x:c>
      <x:c r="C96" s="12"/>
      <x:c r="D96" s="12"/>
      <x:c r="E96" s="12"/>
      <x:c r="F96" s="12"/>
      <x:c r="G96" s="12"/>
      <x:c r="H96" s="19" t="n">
        <x:f>(1+H99)/((1+H97)*(1+H98))-1</x:f>
        <x:v>0.03603603603603611</x:v>
      </x:c>
    </x:row>
    <x:row r="97">
      <x:c r="B97" s="16" t="s">
        <x:v>153</x:v>
      </x:c>
      <x:c r="C97" s="12"/>
      <x:c r="D97" s="12"/>
      <x:c r="E97" s="12"/>
      <x:c r="F97" s="12"/>
      <x:c r="G97" s="12"/>
      <x:c r="H97" s="21" t="n">
        <x:f>Inputs!H77</x:f>
        <x:v>0</x:v>
      </x:c>
    </x:row>
    <x:row r="98">
      <x:c r="B98" s="16" t="s">
        <x:v>154</x:v>
      </x:c>
      <x:c r="C98" s="12"/>
      <x:c r="D98" s="12"/>
      <x:c r="E98" s="12"/>
      <x:c r="F98" s="12"/>
      <x:c r="G98" s="12"/>
      <x:c r="H98" s="21" t="n">
        <x:f>Inputs!H78</x:f>
        <x:v>0</x:v>
      </x:c>
    </x:row>
    <x:row r="99">
      <x:c r="B99" s="16" t="s">
        <x:v>155</x:v>
      </x:c>
      <x:c r="C99" s="12"/>
      <x:c r="D99" s="12"/>
      <x:c r="E99" s="12"/>
      <x:c r="F99" s="12"/>
      <x:c r="G99" s="12"/>
      <x:c r="H99" s="19" t="n">
        <x:f>IFERROR(H40/C40-1,0)</x:f>
        <x:v>0.03603603603603611</x:v>
      </x:c>
    </x:row>
    <x:row r="100" ht="27">
      <x:c r="B100" s="3" t="s">
        <x:v>158</x:v>
      </x:c>
      <x:c r="C100" s="13" t="n">
        <x:f>C38*1000000/C10</x:f>
        <x:v>-4.005427354064758</x:v>
      </x:c>
      <x:c r="D100" s="13" t="n">
        <x:f>D38*1000000/D10</x:f>
        <x:v>-17.69316513031016</x:v>
      </x:c>
      <x:c r="E100" s="13" t="n">
        <x:f>E38*1000000/E10</x:f>
        <x:v>-22.62843013886129</x:v>
      </x:c>
      <x:c r="F100" s="13" t="n">
        <x:f>F38*1000000/F10</x:f>
        <x:v>-11.144073658484098</x:v>
      </x:c>
      <x:c r="G100" s="13" t="n">
        <x:f>G38*1000000/G10</x:f>
        <x:v>-19.54032471677385</x:v>
      </x:c>
      <x:c r="H100" s="24" t="n">
        <x:f>Inputs!H180</x:f>
        <x:v>-10.025062656641603</x:v>
      </x:c>
    </x:row>
    <x:row r="101" ht="27">
      <x:c r="B101" s="3" t="s">
        <x:v>159</x:v>
      </x:c>
      <x:c r="C101" s="13"/>
      <x:c r="D101" s="13"/>
      <x:c r="E101" s="13"/>
      <x:c r="F101" s="13"/>
      <x:c r="G101" s="13"/>
      <x:c r="H101" s="14" t="n">
        <x:f>H100-C100</x:f>
        <x:v>-6.019635302576845</x:v>
      </x:c>
    </x:row>
    <x:row r="102" ht="27">
      <x:c r="B102" s="3" t="s">
        <x:v>160</x:v>
      </x:c>
      <x:c r="C102" s="13"/>
      <x:c r="D102" s="13" t="n">
        <x:f>D100-C100</x:f>
        <x:v>-13.687737776245402</x:v>
      </x:c>
      <x:c r="E102" s="13" t="n">
        <x:f>E100-D100</x:f>
        <x:v>-4.935265008551131</x:v>
      </x:c>
      <x:c r="F102" s="13"/>
      <x:c r="G102" s="13" t="n">
        <x:f>G100-E100</x:f>
        <x:v>3.088105422087441</x:v>
      </x:c>
      <x:c r="H102" s="14" t="n">
        <x:f>H100-G100</x:f>
        <x:v>9.515262060132246</x:v>
      </x:c>
    </x:row>
    <x:row r="103" ht="27">
      <x:c r="B103" s="3" t="s">
        <x:v>161</x:v>
      </x:c>
      <x:c r="C103" s="13" t="n">
        <x:f>C39*1000000/C78</x:f>
        <x:v>112.11989432921833</x:v>
      </x:c>
      <x:c r="D103" s="13" t="n">
        <x:f>D39*1000000/D78</x:f>
        <x:v>118.1181854892987</x:v>
      </x:c>
      <x:c r="E103" s="13" t="n">
        <x:f>E39*1000000/E78</x:f>
        <x:v>114.81433962015863</x:v>
      </x:c>
      <x:c r="F103" s="13" t="n">
        <x:f>F39*1000000/F78</x:f>
        <x:v>109.56207772159404</x:v>
      </x:c>
      <x:c r="G103" s="13" t="n">
        <x:f>G39*1000000/G78</x:f>
        <x:v>93.53726325769644</x:v>
      </x:c>
      <x:c r="H103" s="24" t="n">
        <x:f>Inputs!H181</x:f>
        <x:v>106.50887573964496</x:v>
      </x:c>
    </x:row>
    <x:row r="104" ht="27">
      <x:c r="B104" s="3" t="s">
        <x:v>162</x:v>
      </x:c>
      <x:c r="C104" s="13"/>
      <x:c r="D104" s="13"/>
      <x:c r="E104" s="13"/>
      <x:c r="F104" s="13"/>
      <x:c r="G104" s="13"/>
      <x:c r="H104" s="14" t="n">
        <x:f>H103-C103</x:f>
        <x:v>-5.611018589573362</x:v>
      </x:c>
    </x:row>
    <x:row r="105" ht="27">
      <x:c r="B105" s="3" t="s">
        <x:v>163</x:v>
      </x:c>
      <x:c r="C105" s="13"/>
      <x:c r="D105" s="13" t="n">
        <x:f>D103-C103</x:f>
        <x:v>5.99829116008037</x:v>
      </x:c>
      <x:c r="E105" s="13" t="n">
        <x:f>E103-D103</x:f>
        <x:v>-3.303845869140062</x:v>
      </x:c>
      <x:c r="F105" s="13"/>
      <x:c r="G105" s="13" t="n">
        <x:f>G103-E103</x:f>
        <x:v>-21.277076362462196</x:v>
      </x:c>
      <x:c r="H105" s="14" t="n">
        <x:f>H103-G103</x:f>
        <x:v>12.971612481948526</x:v>
      </x:c>
    </x:row>
    <x:row r="106" ht="27">
      <x:c r="B106" s="3" t="s">
        <x:v>164</x:v>
      </x:c>
      <x:c r="C106" s="13" t="n">
        <x:f>C40*1000000/C10</x:f>
        <x:v>111.15060907529703</x:v>
      </x:c>
      <x:c r="D106" s="13" t="n">
        <x:f>D40*1000000/D10</x:f>
        <x:v>129.16010545126417</x:v>
      </x:c>
      <x:c r="E106" s="13" t="n">
        <x:f>E40*1000000/E10</x:f>
        <x:v>125.28423515906131</x:v>
      </x:c>
      <x:c r="F106" s="13" t="n">
        <x:f>F40*1000000/F10</x:f>
        <x:v>114.89924220299122</x:v>
      </x:c>
      <x:c r="G106" s="13" t="n">
        <x:f>G40*1000000/G10</x:f>
        <x:v>125.49230762550316</x:v>
      </x:c>
      <x:c r="H106" s="24" t="n">
        <x:f>Inputs!H182</x:f>
        <x:v>115.28822055137844</x:v>
      </x:c>
    </x:row>
    <x:row r="107" ht="27">
      <x:c r="B107" s="3" t="s">
        <x:v>165</x:v>
      </x:c>
      <x:c r="C107" s="13"/>
      <x:c r="D107" s="13"/>
      <x:c r="E107" s="13"/>
      <x:c r="F107" s="13"/>
      <x:c r="G107" s="13"/>
      <x:c r="H107" s="14" t="n">
        <x:f>H106-C106</x:f>
        <x:v>4.1376114760814175</x:v>
      </x:c>
    </x:row>
    <x:row r="108" ht="27">
      <x:c r="B108" s="3" t="s">
        <x:v>166</x:v>
      </x:c>
      <x:c r="C108" s="13"/>
      <x:c r="D108" s="13" t="n">
        <x:f>D106-C106</x:f>
        <x:v>18.009496375967146</x:v>
      </x:c>
      <x:c r="E108" s="13" t="n">
        <x:f>E106-D106</x:f>
        <x:v>-3.875870292202862</x:v>
      </x:c>
      <x:c r="F108" s="13"/>
      <x:c r="G108" s="13" t="n">
        <x:f>G106-E106</x:f>
        <x:v>0.2080724664418483</x:v>
      </x:c>
      <x:c r="H108" s="14" t="n">
        <x:f>H106-G106</x:f>
        <x:v>-10.204087074124715</x:v>
      </x:c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  <x:row r="141">
      <x:c r="H141" s="1"/>
    </x:row>
    <x:row r="142">
      <x:c r="H142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90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167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3" t="s">
        <x:v>168</x:v>
      </x:c>
      <x:c r="C9" s="13"/>
      <x:c r="D9" s="13"/>
      <x:c r="E9" s="13"/>
      <x:c r="F9" s="13"/>
      <x:c r="G9" s="13"/>
      <x:c r="H9" s="14"/>
    </x:row>
    <x:row r="10" ht="27">
      <x:c r="B10" s="15" t="s">
        <x:v>169</x:v>
      </x:c>
      <x:c r="C10" s="20" t="n">
        <x:f>Inputs!C28</x:f>
        <x:v>489.8</x:v>
      </x:c>
      <x:c r="D10" s="20" t="n">
        <x:f>Inputs!D28</x:f>
        <x:v>448</x:v>
      </x:c>
      <x:c r="E10" s="20" t="n">
        <x:f>Inputs!E28</x:f>
        <x:v>441</x:v>
      </x:c>
      <x:c r="F10" s="20" t="n">
        <x:f>Inputs!F28</x:f>
        <x:v>1864.2</x:v>
      </x:c>
      <x:c r="G10" s="20" t="n">
        <x:f>Inputs!G28</x:f>
        <x:v>460.9</x:v>
      </x:c>
      <x:c r="H10" s="25" t="n">
        <x:f>H27*Inputs!H110*H7/365</x:f>
        <x:v>456.99999999999994</x:v>
      </x:c>
    </x:row>
    <x:row r="11">
      <x:c r="B11" s="22" t="s">
        <x:v>170</x:v>
      </x:c>
      <x:c r="C11" s="12"/>
      <x:c r="D11" s="12"/>
      <x:c r="E11" s="12"/>
      <x:c r="F11" s="12"/>
      <x:c r="G11" s="12"/>
      <x:c r="H11" s="19" t="n">
        <x:f>H10/C10-1</x:f>
        <x:v>-0.06696610861576169</x:v>
      </x:c>
    </x:row>
    <x:row r="12">
      <x:c r="B12" s="3" t="s">
        <x:v>171</x:v>
      </x:c>
      <x:c r="C12" s="13"/>
      <x:c r="D12" s="13" t="n">
        <x:f>D10-C10</x:f>
        <x:v>-41.80000000000001</x:v>
      </x:c>
      <x:c r="E12" s="13" t="n">
        <x:f>E10-D10</x:f>
        <x:v>-7</x:v>
      </x:c>
      <x:c r="F12" s="13"/>
      <x:c r="G12" s="13" t="n">
        <x:f>G10-E10</x:f>
        <x:v>19.899999999999977</x:v>
      </x:c>
      <x:c r="H12" s="14" t="n">
        <x:f>H10-G10</x:f>
        <x:v>-3.900000000000034</x:v>
      </x:c>
    </x:row>
    <x:row r="13">
      <x:c r="B13" s="22" t="s">
        <x:v>91</x:v>
      </x:c>
      <x:c r="C13" s="12"/>
      <x:c r="D13" s="12"/>
      <x:c r="E13" s="12"/>
      <x:c r="F13" s="12"/>
      <x:c r="G13" s="12"/>
      <x:c r="H13" s="19" t="n">
        <x:f>(1+H16)/((1+H14)*(1+H15))-1</x:f>
        <x:v>-0.06696610861576169</x:v>
      </x:c>
    </x:row>
    <x:row r="14">
      <x:c r="B14" s="22" t="s">
        <x:v>92</x:v>
      </x:c>
      <x:c r="C14" s="12"/>
      <x:c r="D14" s="12"/>
      <x:c r="E14" s="12"/>
      <x:c r="F14" s="12"/>
      <x:c r="G14" s="12"/>
      <x:c r="H14" s="21" t="n">
        <x:f>Inputs!H77</x:f>
        <x:v>0</x:v>
      </x:c>
    </x:row>
    <x:row r="15">
      <x:c r="B15" s="22" t="s">
        <x:v>172</x:v>
      </x:c>
      <x:c r="C15" s="12"/>
      <x:c r="D15" s="12"/>
      <x:c r="E15" s="12"/>
      <x:c r="F15" s="12"/>
      <x:c r="G15" s="12"/>
      <x:c r="H15" s="21" t="n">
        <x:f>Inputs!H78</x:f>
        <x:v>0</x:v>
      </x:c>
    </x:row>
    <x:row r="16">
      <x:c r="B16" s="22" t="s">
        <x:v>94</x:v>
      </x:c>
      <x:c r="C16" s="12"/>
      <x:c r="D16" s="12"/>
      <x:c r="E16" s="12"/>
      <x:c r="F16" s="12"/>
      <x:c r="G16" s="12"/>
      <x:c r="H16" s="19" t="n">
        <x:f>H10/C10-1</x:f>
        <x:v>-0.06696610861576169</x:v>
      </x:c>
    </x:row>
    <x:row r="17" ht="27">
      <x:c r="B17" s="3" t="s">
        <x:v>173</x:v>
      </x:c>
      <x:c r="C17" s="17" t="n">
        <x:f>Inputs!C29</x:f>
        <x:v>-199.2</x:v>
      </x:c>
      <x:c r="D17" s="17" t="n">
        <x:f>Inputs!D29</x:f>
        <x:v>-188.3</x:v>
      </x:c>
      <x:c r="E17" s="17" t="n">
        <x:f>Inputs!E29</x:f>
        <x:v>-184.2</x:v>
      </x:c>
      <x:c r="F17" s="17" t="n">
        <x:f>Inputs!F29</x:f>
        <x:v>-769.2</x:v>
      </x:c>
      <x:c r="G17" s="17" t="n">
        <x:f>Inputs!G29</x:f>
        <x:v>-184.2</x:v>
      </x:c>
      <x:c r="H17" s="24" t="n">
        <x:f>Inputs!H29</x:f>
        <x:v>-190</x:v>
      </x:c>
    </x:row>
    <x:row r="18">
      <x:c r="B18" s="15" t="s">
        <x:v>174</x:v>
      </x:c>
      <x:c r="C18" s="23" t="n">
        <x:f>SUM(C10,C17)</x:f>
        <x:v>290.6</x:v>
      </x:c>
      <x:c r="D18" s="23" t="n">
        <x:f>SUM(D10,D17)</x:f>
        <x:v>259.7</x:v>
      </x:c>
      <x:c r="E18" s="23" t="n">
        <x:f>SUM(E10,E17)</x:f>
        <x:v>256.8</x:v>
      </x:c>
      <x:c r="F18" s="23" t="n">
        <x:f>SUM(F10,F17)</x:f>
        <x:v>1095</x:v>
      </x:c>
      <x:c r="G18" s="23" t="n">
        <x:f>SUM(G10,G17)</x:f>
        <x:v>276.7</x:v>
      </x:c>
      <x:c r="H18" s="18" t="n">
        <x:f>SUM(H10,H17)</x:f>
        <x:v>266.99999999999994</x:v>
      </x:c>
    </x:row>
    <x:row r="19">
      <x:c r="B19" s="3" t="s">
        <x:v>175</x:v>
      </x:c>
      <x:c r="C19" s="17" t="n">
        <x:f>Inputs!C30</x:f>
        <x:v>-142.2</x:v>
      </x:c>
      <x:c r="D19" s="17" t="n">
        <x:f>Inputs!D30</x:f>
        <x:v>-73.4</x:v>
      </x:c>
      <x:c r="E19" s="17" t="n">
        <x:f>Inputs!E30</x:f>
        <x:v>-73.9</x:v>
      </x:c>
      <x:c r="F19" s="17" t="n">
        <x:f>Inputs!F30</x:f>
        <x:v>-391.2</x:v>
      </x:c>
      <x:c r="G19" s="17" t="n">
        <x:f>Inputs!G30</x:f>
        <x:v>-95.6</x:v>
      </x:c>
      <x:c r="H19" s="24" t="n">
        <x:f>Inputs!H30</x:f>
        <x:v>-120</x:v>
      </x:c>
    </x:row>
    <x:row r="20" ht="27">
      <x:c r="B20" s="15" t="s">
        <x:v>176</x:v>
      </x:c>
      <x:c r="C20" s="23" t="n">
        <x:f>SUM(C18:C19)</x:f>
        <x:v>148.40000000000003</x:v>
      </x:c>
      <x:c r="D20" s="23" t="n">
        <x:f>SUM(D18:D19)</x:f>
        <x:v>186.29999999999998</x:v>
      </x:c>
      <x:c r="E20" s="23" t="n">
        <x:f>SUM(E18:E19)</x:f>
        <x:v>182.9</x:v>
      </x:c>
      <x:c r="F20" s="23" t="n">
        <x:f>SUM(F18:F19)</x:f>
        <x:v>703.8</x:v>
      </x:c>
      <x:c r="G20" s="23" t="n">
        <x:f>SUM(G18:G19)</x:f>
        <x:v>181.1</x:v>
      </x:c>
      <x:c r="H20" s="18" t="n">
        <x:f>SUM(H18:H19)</x:f>
        <x:v>146.99999999999994</x:v>
      </x:c>
    </x:row>
    <x:row r="21">
      <x:c r="B21" s="3" t="s">
        <x:v>177</x:v>
      </x:c>
      <x:c r="C21" s="17" t="n">
        <x:f>Inputs!C31</x:f>
        <x:v>0</x:v>
      </x:c>
      <x:c r="D21" s="17" t="n">
        <x:f>Inputs!D31</x:f>
        <x:v>5</x:v>
      </x:c>
      <x:c r="E21" s="17" t="n">
        <x:f>Inputs!E31</x:f>
        <x:v>4.7</x:v>
      </x:c>
      <x:c r="F21" s="17" t="n">
        <x:f>Inputs!F31</x:f>
        <x:v>9.7</x:v>
      </x:c>
      <x:c r="G21" s="17" t="n">
        <x:f>Inputs!G31</x:f>
        <x:v>4.2</x:v>
      </x:c>
      <x:c r="H21" s="24" t="n">
        <x:f>Inputs!H31</x:f>
        <x:v>5</x:v>
      </x:c>
    </x:row>
    <x:row r="22">
      <x:c r="B22" s="3" t="s">
        <x:v>178</x:v>
      </x:c>
      <x:c r="C22" s="17" t="n">
        <x:f>Inputs!C32</x:f>
        <x:v>-45.8</x:v>
      </x:c>
      <x:c r="D22" s="17" t="n">
        <x:f>Inputs!D32</x:f>
        <x:v>-43.6</x:v>
      </x:c>
      <x:c r="E22" s="17" t="n">
        <x:f>Inputs!E32</x:f>
        <x:v>-44</x:v>
      </x:c>
      <x:c r="F22" s="17" t="n">
        <x:f>Inputs!F32</x:f>
        <x:v>-177.9</x:v>
      </x:c>
      <x:c r="G22" s="17" t="n">
        <x:f>Inputs!G32</x:f>
        <x:v>-45.1</x:v>
      </x:c>
      <x:c r="H22" s="24" t="n">
        <x:f>Inputs!H32</x:f>
        <x:v>-46</x:v>
      </x:c>
    </x:row>
    <x:row r="23">
      <x:c r="B23" s="3" t="s">
        <x:v>179</x:v>
      </x:c>
      <x:c r="C23" s="17" t="n">
        <x:f>Inputs!C33</x:f>
        <x:v>0</x:v>
      </x:c>
      <x:c r="D23" s="17" t="n">
        <x:f>Inputs!D33</x:f>
        <x:v>27</x:v>
      </x:c>
      <x:c r="E23" s="17" t="n">
        <x:f>Inputs!E33</x:f>
        <x:v>-0.1</x:v>
      </x:c>
      <x:c r="F23" s="17" t="n">
        <x:f>Inputs!F33</x:f>
        <x:v>26.9</x:v>
      </x:c>
      <x:c r="G23" s="17" t="n">
        <x:f>Inputs!G33</x:f>
        <x:v>0</x:v>
      </x:c>
      <x:c r="H23" s="24" t="n">
        <x:f>Inputs!H33</x:f>
        <x:v>0</x:v>
      </x:c>
    </x:row>
    <x:row r="24">
      <x:c r="B24" s="3" t="s">
        <x:v>180</x:v>
      </x:c>
      <x:c r="C24" s="17" t="n">
        <x:f>Inputs!C34</x:f>
        <x:v>0</x:v>
      </x:c>
      <x:c r="D24" s="17" t="n">
        <x:f>Inputs!D34</x:f>
        <x:v>0</x:v>
      </x:c>
      <x:c r="E24" s="17" t="n">
        <x:f>Inputs!E34</x:f>
        <x:v>0.2</x:v>
      </x:c>
      <x:c r="F24" s="17" t="n">
        <x:f>Inputs!F34</x:f>
        <x:v>0.2</x:v>
      </x:c>
      <x:c r="G24" s="17" t="n">
        <x:f>Inputs!G34</x:f>
        <x:v>0</x:v>
      </x:c>
      <x:c r="H24" s="24" t="n">
        <x:f>Inputs!H34</x:f>
        <x:v>0</x:v>
      </x:c>
    </x:row>
    <x:row r="25">
      <x:c r="B25" s="15" t="s">
        <x:v>181</x:v>
      </x:c>
      <x:c r="C25" s="23" t="n">
        <x:f>SUM(C20:C24)</x:f>
        <x:v>102.60000000000004</x:v>
      </x:c>
      <x:c r="D25" s="23" t="n">
        <x:f>SUM(D20:D24)</x:f>
        <x:v>174.7</x:v>
      </x:c>
      <x:c r="E25" s="23" t="n">
        <x:f>SUM(E20:E24)</x:f>
        <x:v>143.7</x:v>
      </x:c>
      <x:c r="F25" s="23" t="n">
        <x:f>SUM(F20:F24)</x:f>
        <x:v>562.7</x:v>
      </x:c>
      <x:c r="G25" s="23" t="n">
        <x:f>SUM(G20:G24)</x:f>
        <x:v>140.2</x:v>
      </x:c>
      <x:c r="H25" s="18" t="n">
        <x:f>SUM(H20:H24)</x:f>
        <x:v>105.99999999999994</x:v>
      </x:c>
    </x:row>
    <x:row r="26">
      <x:c r="B26" s="22" t="s">
        <x:v>182</x:v>
      </x:c>
      <x:c r="C26" s="12"/>
      <x:c r="D26" s="12"/>
      <x:c r="E26" s="12"/>
      <x:c r="F26" s="12"/>
      <x:c r="G26" s="12"/>
      <x:c r="H26" s="19" t="n">
        <x:f>H25/C25-1</x:f>
        <x:v>0.033138401559453357</x:v>
      </x:c>
    </x:row>
    <x:row r="27">
      <x:c r="B27" s="3" t="s">
        <x:v>183</x:v>
      </x:c>
      <x:c r="C27" s="17" t="n">
        <x:f>Inputs!C35</x:f>
        <x:v>17734.5</x:v>
      </x:c>
      <x:c r="D27" s="17" t="n">
        <x:f>Inputs!D35</x:f>
        <x:v>16805.2</x:v>
      </x:c>
      <x:c r="E27" s="17" t="n">
        <x:f>Inputs!E35</x:f>
        <x:v>16403.5</x:v>
      </x:c>
      <x:c r="F27" s="17" t="n">
        <x:f>Inputs!F35</x:f>
        <x:v>17165.8</x:v>
      </x:c>
      <x:c r="G27" s="17" t="n">
        <x:f>Inputs!G35</x:f>
        <x:v>16533.7</x:v>
      </x:c>
      <x:c r="H27" s="14" t="n">
        <x:f>G27</x:f>
        <x:v>16533.7</x:v>
      </x:c>
    </x:row>
    <x:row r="28">
      <x:c r="B28" s="22" t="s">
        <x:v>170</x:v>
      </x:c>
      <x:c r="C28" s="12"/>
      <x:c r="D28" s="12"/>
      <x:c r="E28" s="12"/>
      <x:c r="F28" s="12"/>
      <x:c r="G28" s="12"/>
      <x:c r="H28" s="19" t="n">
        <x:f>H27/C27-1</x:f>
        <x:v>-0.06770983112013307</x:v>
      </x:c>
    </x:row>
    <x:row r="29">
      <x:c r="B29" s="3" t="s">
        <x:v>171</x:v>
      </x:c>
      <x:c r="C29" s="13"/>
      <x:c r="D29" s="13" t="n">
        <x:f>D27-C27</x:f>
        <x:v>-929.2999999999993</x:v>
      </x:c>
      <x:c r="E29" s="13" t="n">
        <x:f>E27-D27</x:f>
        <x:v>-401.7000000000007</x:v>
      </x:c>
      <x:c r="F29" s="13"/>
      <x:c r="G29" s="13" t="n">
        <x:f>G27-E27</x:f>
        <x:v>130.20000000000073</x:v>
      </x:c>
      <x:c r="H29" s="14" t="n">
        <x:f>H27-G27</x:f>
        <x:v>0</x:v>
      </x:c>
    </x:row>
    <x:row r="30" ht="27">
      <x:c r="B30" s="3" t="s">
        <x:v>184</x:v>
      </x:c>
      <x:c r="C30" s="13"/>
      <x:c r="D30" s="13" t="n">
        <x:f>C37</x:f>
        <x:v>17308.164</x:v>
      </x:c>
      <x:c r="E30" s="13" t="n">
        <x:f>D37</x:f>
        <x:v>16151.162</x:v>
      </x:c>
      <x:c r="F30" s="13"/>
      <x:c r="G30" s="13" t="n">
        <x:f>E37</x:f>
        <x:v>16052.782</x:v>
      </x:c>
      <x:c r="H30" s="14" t="n">
        <x:f>G37</x:f>
        <x:v>16308.930999999999</x:v>
      </x:c>
    </x:row>
    <x:row r="31">
      <x:c r="B31" s="3" t="s">
        <x:v>185</x:v>
      </x:c>
      <x:c r="C31" s="17" t="n">
        <x:f>Inputs!C36</x:f>
        <x:v>2039.6</x:v>
      </x:c>
      <x:c r="D31" s="17" t="n">
        <x:f>Inputs!D36</x:f>
        <x:v>1761.4</x:v>
      </x:c>
      <x:c r="E31" s="17" t="n">
        <x:f>Inputs!E36</x:f>
        <x:v>1858.1</x:v>
      </x:c>
      <x:c r="F31" s="17" t="n">
        <x:f>Inputs!F36</x:f>
        <x:v>7992.7</x:v>
      </x:c>
      <x:c r="G31" s="17" t="n">
        <x:f>Inputs!G36</x:f>
        <x:v>2445.1</x:v>
      </x:c>
      <x:c r="H31" s="24" t="n">
        <x:f>C31*H44/C44*'Segment - Sales Operations'!H10/'Segment - Sales Operations'!C10</x:f>
        <x:v>2070.737617076773</x:v>
      </x:c>
    </x:row>
    <x:row r="32" ht="27">
      <x:c r="B32" s="3" t="s">
        <x:v>186</x:v>
      </x:c>
      <x:c r="C32" s="13"/>
      <x:c r="D32" s="13"/>
      <x:c r="E32" s="13"/>
      <x:c r="F32" s="13"/>
      <x:c r="G32" s="13"/>
      <x:c r="H32" s="14" t="n">
        <x:f>H31-C31</x:f>
        <x:v>31.13761707677304</x:v>
      </x:c>
    </x:row>
    <x:row r="33" ht="27">
      <x:c r="B33" s="3" t="s">
        <x:v>187</x:v>
      </x:c>
      <x:c r="C33" s="13"/>
      <x:c r="D33" s="13" t="n">
        <x:f>D31-C31</x:f>
        <x:v>-278.1999999999998</x:v>
      </x:c>
      <x:c r="E33" s="13" t="n">
        <x:f>E31-D31</x:f>
        <x:v>96.69999999999982</x:v>
      </x:c>
      <x:c r="F33" s="13"/>
      <x:c r="G33" s="13" t="n">
        <x:f>G31-E31</x:f>
        <x:v>587</x:v>
      </x:c>
      <x:c r="H33" s="14" t="n">
        <x:f>H31-G31</x:f>
        <x:v>-374.36238292322696</x:v>
      </x:c>
    </x:row>
    <x:row r="34" ht="27">
      <x:c r="B34" s="3" t="s">
        <x:v>188</x:v>
      </x:c>
      <x:c r="C34" s="13"/>
      <x:c r="D34" s="13" t="n">
        <x:f>D37-D30-D31</x:f>
        <x:v>-2918.4020000000005</x:v>
      </x:c>
      <x:c r="E34" s="13" t="n">
        <x:f>E37-E30-E31</x:f>
        <x:v>-1956.480000000001</x:v>
      </x:c>
      <x:c r="F34" s="13"/>
      <x:c r="G34" s="13" t="n">
        <x:f>G37-G30-G31</x:f>
        <x:v>-2188.9510000000005</x:v>
      </x:c>
      <x:c r="H34" s="24" t="n">
        <x:f>-Inputs!H231</x:f>
        <x:v>-2076.737617076773</x:v>
      </x:c>
      <x:c r="J34" s="2" t="s">
        <x:v>189</x:v>
      </x:c>
    </x:row>
    <x:row r="35" ht="26.25">
      <x:c r="B35" s="3" t="s">
        <x:v>190</x:v>
      </x:c>
      <x:c r="C35" s="13"/>
      <x:c r="D35" s="13"/>
      <x:c r="E35" s="13"/>
      <x:c r="F35" s="13"/>
      <x:c r="G35" s="13"/>
      <x:c r="H35" s="57" t="s">
        <x:v>31</x:v>
      </x:c>
    </x:row>
    <x:row r="36" ht="26.25">
      <x:c r="B36" s="3" t="s">
        <x:v>191</x:v>
      </x:c>
      <x:c r="C36" s="13"/>
      <x:c r="D36" s="13"/>
      <x:c r="E36" s="13" t="n">
        <x:f>E34-D34</x:f>
        <x:v>961.9219999999996</x:v>
      </x:c>
      <x:c r="F36" s="13"/>
      <x:c r="G36" s="13" t="n">
        <x:f>G34-E34</x:f>
        <x:v>-232.47099999999955</x:v>
      </x:c>
      <x:c r="H36" s="14" t="n">
        <x:f>H34-G34</x:f>
        <x:v>112.21338292322753</x:v>
      </x:c>
    </x:row>
    <x:row r="37" ht="27">
      <x:c r="B37" s="15" t="s">
        <x:v>192</x:v>
      </x:c>
      <x:c r="C37" s="20" t="n">
        <x:f>'Balance Sheet'!C18+'Balance Sheet'!C13</x:f>
        <x:v>17308.164</x:v>
      </x:c>
      <x:c r="D37" s="20" t="n">
        <x:f>'Balance Sheet'!D18+'Balance Sheet'!D13</x:f>
        <x:v>16151.162</x:v>
      </x:c>
      <x:c r="E37" s="20" t="n">
        <x:f>'Balance Sheet'!E18+'Balance Sheet'!E13</x:f>
        <x:v>16052.782</x:v>
      </x:c>
      <x:c r="F37" s="20" t="n">
        <x:f>'Balance Sheet'!F18+'Balance Sheet'!F13</x:f>
        <x:v>16052.782</x:v>
      </x:c>
      <x:c r="G37" s="20" t="n">
        <x:f>'Balance Sheet'!G18+'Balance Sheet'!G13</x:f>
        <x:v>16308.930999999999</x:v>
      </x:c>
      <x:c r="H37" s="18" t="n">
        <x:f>SUM(H30:H31,H34)</x:f>
        <x:v>16302.930999999999</x:v>
      </x:c>
      <x:c r="J37" s="2"/>
    </x:row>
    <x:row r="38" ht="26.25">
      <x:c r="B38" s="3" t="s">
        <x:v>193</x:v>
      </x:c>
      <x:c r="C38" s="13"/>
      <x:c r="D38" s="13"/>
      <x:c r="E38" s="13"/>
      <x:c r="F38" s="13"/>
      <x:c r="G38" s="13"/>
      <x:c r="H38" s="14" t="n">
        <x:f>H37-C37</x:f>
        <x:v>-1005.233000000002</x:v>
      </x:c>
    </x:row>
    <x:row r="39" ht="27">
      <x:c r="B39" s="3" t="s">
        <x:v>194</x:v>
      </x:c>
      <x:c r="C39" s="13"/>
      <x:c r="D39" s="13" t="n">
        <x:f>D37-C37</x:f>
        <x:v>-1157.0020000000004</x:v>
      </x:c>
      <x:c r="E39" s="13" t="n">
        <x:f>E37-D37</x:f>
        <x:v>-98.38000000000102</x:v>
      </x:c>
      <x:c r="F39" s="13"/>
      <x:c r="G39" s="13" t="n">
        <x:f>G37-E37</x:f>
        <x:v>256.14899999999943</x:v>
      </x:c>
      <x:c r="H39" s="14" t="n">
        <x:f>H37-G37</x:f>
        <x:v>-6</x:v>
      </x:c>
    </x:row>
    <x:row r="40" ht="27">
      <x:c r="B40" s="3" t="s">
        <x:v>195</x:v>
      </x:c>
      <x:c r="C40" s="13" t="n">
        <x:f>C27</x:f>
        <x:v>17734.5</x:v>
      </x:c>
      <x:c r="D40" s="13" t="n">
        <x:f>D27</x:f>
        <x:v>16805.2</x:v>
      </x:c>
      <x:c r="E40" s="13" t="n">
        <x:f>E27</x:f>
        <x:v>16403.5</x:v>
      </x:c>
      <x:c r="F40" s="13" t="n">
        <x:f>F27</x:f>
        <x:v>17165.8</x:v>
      </x:c>
      <x:c r="G40" s="13" t="n">
        <x:f>G27</x:f>
        <x:v>16533.7</x:v>
      </x:c>
      <x:c r="H40" s="14" t="n">
        <x:f>H27</x:f>
        <x:v>16533.7</x:v>
      </x:c>
      <x:c r="J40" s="2"/>
    </x:row>
    <x:row r="41">
      <x:c r="B41" s="22" t="s">
        <x:v>196</x:v>
      </x:c>
      <x:c r="C41" s="12" t="n">
        <x:f>-C19/C27</x:f>
        <x:v>0.0080182694747526</x:v>
      </x:c>
      <x:c r="D41" s="12" t="n">
        <x:f>-D19/D27</x:f>
        <x:v>0.004367695713231619</x:v>
      </x:c>
      <x:c r="E41" s="12" t="n">
        <x:f>-E19/E27</x:f>
        <x:v>0.004505136099003262</x:v>
      </x:c>
      <x:c r="F41" s="12" t="n">
        <x:f>-F19/F27</x:f>
        <x:v>0.022789500052429832</x:v>
      </x:c>
      <x:c r="G41" s="12" t="n">
        <x:f>-G19/G27</x:f>
        <x:v>0.005782129831798085</x:v>
      </x:c>
      <x:c r="H41" s="19" t="n">
        <x:f>-H19/H27</x:f>
        <x:v>0.007257903554558265</x:v>
      </x:c>
      <x:c r="J41" s="2"/>
    </x:row>
    <x:row r="42">
      <x:c r="B42" s="3" t="s">
        <x:v>197</x:v>
      </x:c>
      <x:c r="C42" s="13"/>
      <x:c r="D42" s="13"/>
      <x:c r="E42" s="13"/>
      <x:c r="F42" s="13"/>
      <x:c r="G42" s="13"/>
      <x:c r="H42" s="14" t="n">
        <x:f>(H41-C41)*10000</x:f>
        <x:v>-7.603659201943346</x:v>
      </x:c>
      <x:c r="J42" s="2"/>
    </x:row>
    <x:row r="43" ht="27">
      <x:c r="B43" s="37" t="s">
        <x:v>198</x:v>
      </x:c>
      <x:c r="C43" s="32"/>
      <x:c r="D43" s="32" t="n">
        <x:f>(D41-C41)*10000</x:f>
        <x:v>-36.50573761520981</x:v>
      </x:c>
      <x:c r="E43" s="32" t="n">
        <x:f>(E41-D41)*10000</x:f>
        <x:v>1.3744038577164288</x:v>
      </x:c>
      <x:c r="F43" s="32"/>
      <x:c r="G43" s="32" t="n">
        <x:f>(G41-E41)*10000</x:f>
        <x:v>12.769937327948227</x:v>
      </x:c>
      <x:c r="H43" s="36" t="n">
        <x:f>(H41-G41)*10000</x:f>
        <x:v>14.757737227601803</x:v>
      </x:c>
    </x:row>
    <x:row r="44">
      <x:c r="B44" s="22" t="s">
        <x:v>199</x:v>
      </x:c>
      <x:c r="C44" s="33" t="n">
        <x:f>Inputs!C37/100</x:f>
        <x:v>0.426</x:v>
      </x:c>
      <x:c r="D44" s="33" t="n">
        <x:f>Inputs!D37/100</x:f>
        <x:v>0.426</x:v>
      </x:c>
      <x:c r="E44" s="33" t="n">
        <x:f>Inputs!E37/100</x:f>
        <x:v>0.428</x:v>
      </x:c>
      <x:c r="F44" s="33" t="n">
        <x:f>Inputs!F37/100</x:f>
        <x:v>0.424</x:v>
      </x:c>
      <x:c r="G44" s="33" t="n">
        <x:f>Inputs!G37/100</x:f>
        <x:v>0.433</x:v>
      </x:c>
      <x:c r="H44" s="19" t="n">
        <x:f>G44</x:f>
        <x:v>0.433</x:v>
      </x:c>
      <x:c r="J44" s="2"/>
    </x:row>
    <x:row r="45">
      <x:c r="B45" s="3" t="s">
        <x:v>197</x:v>
      </x:c>
      <x:c r="C45" s="13"/>
      <x:c r="D45" s="13"/>
      <x:c r="E45" s="13"/>
      <x:c r="F45" s="13"/>
      <x:c r="G45" s="13"/>
      <x:c r="H45" s="14" t="n">
        <x:f>(H44-C44)*10000</x:f>
        <x:v>70.00000000000006</x:v>
      </x:c>
      <x:c r="J45" s="2"/>
    </x:row>
    <x:row r="46">
      <x:c r="B46" s="3" t="s">
        <x:v>200</x:v>
      </x:c>
      <x:c r="C46" s="13"/>
      <x:c r="D46" s="13" t="n">
        <x:f>(D44-C44)*10000</x:f>
        <x:v>0</x:v>
      </x:c>
      <x:c r="E46" s="13" t="n">
        <x:f>(E44-D44)*10000</x:f>
        <x:v>20.000000000000018</x:v>
      </x:c>
      <x:c r="F46" s="13"/>
      <x:c r="G46" s="13" t="n">
        <x:f>(G44-E44)*10000</x:f>
        <x:v>50.00000000000004</x:v>
      </x:c>
      <x:c r="H46" s="14" t="n">
        <x:f>(H44-G44)*10000</x:f>
        <x:v>0</x:v>
      </x:c>
      <x:c r="J46" s="2"/>
    </x:row>
    <x:row r="47">
      <x:c r="B47" s="22" t="s">
        <x:v>201</x:v>
      </x:c>
      <x:c r="C47" s="33" t="n">
        <x:f>Inputs!C38/100</x:f>
        <x:v>0.11199999999999999</x:v>
      </x:c>
      <x:c r="D47" s="33" t="n">
        <x:f>Inputs!D38/100</x:f>
        <x:v>0.11</x:v>
      </x:c>
      <x:c r="E47" s="33" t="n">
        <x:f>Inputs!E38/100</x:f>
        <x:v>0.111</x:v>
      </x:c>
      <x:c r="F47" s="33" t="n">
        <x:f>Inputs!F38/100</x:f>
        <x:v>0.11199999999999999</x:v>
      </x:c>
      <x:c r="G47" s="33" t="n">
        <x:f>Inputs!G38/100</x:f>
        <x:v>0.113</x:v>
      </x:c>
      <x:c r="H47" s="19" t="n">
        <x:f>G47</x:f>
        <x:v>0.113</x:v>
      </x:c>
      <x:c r="J47" s="2"/>
    </x:row>
    <x:row r="48">
      <x:c r="B48" s="3" t="s">
        <x:v>197</x:v>
      </x:c>
      <x:c r="C48" s="13"/>
      <x:c r="D48" s="13"/>
      <x:c r="E48" s="13"/>
      <x:c r="F48" s="13"/>
      <x:c r="G48" s="13"/>
      <x:c r="H48" s="14" t="n">
        <x:f>(H47-C47)*10000</x:f>
        <x:v>10.000000000000147</x:v>
      </x:c>
      <x:c r="J48" s="2"/>
    </x:row>
    <x:row r="49">
      <x:c r="B49" s="3" t="s">
        <x:v>202</x:v>
      </x:c>
      <x:c r="C49" s="13"/>
      <x:c r="D49" s="13" t="n">
        <x:f>(D47-C47)*10000</x:f>
        <x:v>-19.99999999999988</x:v>
      </x:c>
      <x:c r="E49" s="13" t="n">
        <x:f>(E47-D47)*10000</x:f>
        <x:v>10.000000000000009</x:v>
      </x:c>
      <x:c r="F49" s="13"/>
      <x:c r="G49" s="13" t="n">
        <x:f>(G47-E47)*10000</x:f>
        <x:v>20.000000000000018</x:v>
      </x:c>
      <x:c r="H49" s="14" t="n">
        <x:f>(H47-G47)*10000</x:f>
        <x:v>0</x:v>
      </x:c>
    </x:row>
    <x:row r="50">
      <x:c r="B50" s="15" t="s">
        <x:v>203</x:v>
      </x:c>
      <x:c r="C50" s="20" t="n">
        <x:f>Inputs!C39</x:f>
        <x:v>507.3</x:v>
      </x:c>
      <x:c r="D50" s="20" t="n">
        <x:f>Inputs!D39</x:f>
        <x:v>474.8</x:v>
      </x:c>
      <x:c r="E50" s="20" t="n">
        <x:f>Inputs!E39</x:f>
        <x:v>453</x:v>
      </x:c>
      <x:c r="F50" s="20" t="n">
        <x:f>Inputs!F39</x:f>
        <x:v>453</x:v>
      </x:c>
      <x:c r="G50" s="20" t="n">
        <x:f>Inputs!G39</x:f>
        <x:v>475</x:v>
      </x:c>
      <x:c r="H50" s="18" t="n">
        <x:f>G50</x:f>
        <x:v>475</x:v>
      </x:c>
      <x:c r="J50" s="2"/>
    </x:row>
    <x:row r="51" ht="26.25">
      <x:c r="B51" s="3" t="s">
        <x:v>204</x:v>
      </x:c>
      <x:c r="C51" s="13"/>
      <x:c r="D51" s="13"/>
      <x:c r="E51" s="13"/>
      <x:c r="F51" s="13"/>
      <x:c r="G51" s="13"/>
      <x:c r="H51" s="14" t="n">
        <x:f>H50-C50</x:f>
        <x:v>-32.30000000000001</x:v>
      </x:c>
    </x:row>
    <x:row r="52" ht="26.25">
      <x:c r="B52" s="3" t="s">
        <x:v>205</x:v>
      </x:c>
      <x:c r="C52" s="13"/>
      <x:c r="D52" s="13" t="n">
        <x:f>D50-C50</x:f>
        <x:v>-32.5</x:v>
      </x:c>
      <x:c r="E52" s="13" t="n">
        <x:f>E50-D50</x:f>
        <x:v>-21.80000000000001</x:v>
      </x:c>
      <x:c r="F52" s="13"/>
      <x:c r="G52" s="13" t="n">
        <x:f>G50-E50</x:f>
        <x:v>22</x:v>
      </x:c>
      <x:c r="H52" s="14" t="n">
        <x:f>H50-G50</x:f>
        <x:v>0</x:v>
      </x:c>
    </x:row>
    <x:row r="53" ht="27">
      <x:c r="B53" s="3" t="s">
        <x:v>206</x:v>
      </x:c>
      <x:c r="C53" s="51" t="s">
        <x:v>31</x:v>
      </x:c>
      <x:c r="D53" s="51" t="s">
        <x:v>31</x:v>
      </x:c>
      <x:c r="E53" s="51" t="s">
        <x:v>31</x:v>
      </x:c>
      <x:c r="F53" s="51" t="s">
        <x:v>31</x:v>
      </x:c>
      <x:c r="G53" s="51" t="s">
        <x:v>31</x:v>
      </x:c>
      <x:c r="H53" s="57" t="s">
        <x:v>31</x:v>
      </x:c>
      <x:c r="J53" s="2" t="s">
        <x:v>207</x:v>
      </x:c>
    </x:row>
    <x:row r="54" ht="27">
      <x:c r="B54" s="3" t="s">
        <x:v>208</x:v>
      </x:c>
      <x:c r="C54" s="51" t="s">
        <x:v>31</x:v>
      </x:c>
      <x:c r="D54" s="51" t="s">
        <x:v>31</x:v>
      </x:c>
      <x:c r="E54" s="51" t="s">
        <x:v>31</x:v>
      </x:c>
      <x:c r="F54" s="51" t="s">
        <x:v>31</x:v>
      </x:c>
      <x:c r="G54" s="51" t="s">
        <x:v>31</x:v>
      </x:c>
      <x:c r="H54" s="57" t="s">
        <x:v>31</x:v>
      </x:c>
    </x:row>
    <x:row r="55">
      <x:c r="B55" s="3" t="s">
        <x:v>209</x:v>
      </x:c>
      <x:c r="C55" s="51" t="s">
        <x:v>31</x:v>
      </x:c>
      <x:c r="D55" s="51" t="s">
        <x:v>31</x:v>
      </x:c>
      <x:c r="E55" s="51" t="s">
        <x:v>31</x:v>
      </x:c>
      <x:c r="F55" s="51" t="s">
        <x:v>31</x:v>
      </x:c>
      <x:c r="G55" s="51" t="s">
        <x:v>31</x:v>
      </x:c>
      <x:c r="H55" s="57" t="s">
        <x:v>31</x:v>
      </x:c>
    </x:row>
    <x:row r="56">
      <x:c r="B56" s="3" t="s">
        <x:v>210</x:v>
      </x:c>
      <x:c r="C56" s="51" t="s">
        <x:v>31</x:v>
      </x:c>
      <x:c r="D56" s="51" t="s">
        <x:v>31</x:v>
      </x:c>
      <x:c r="E56" s="51" t="s">
        <x:v>31</x:v>
      </x:c>
      <x:c r="F56" s="51" t="s">
        <x:v>31</x:v>
      </x:c>
      <x:c r="G56" s="51" t="s">
        <x:v>31</x:v>
      </x:c>
      <x:c r="H56" s="57" t="s">
        <x:v>31</x:v>
      </x:c>
    </x:row>
    <x:row r="57" ht="27">
      <x:c r="B57" s="3" t="s">
        <x:v>211</x:v>
      </x:c>
      <x:c r="C57" s="51"/>
      <x:c r="D57" s="51"/>
      <x:c r="E57" s="51"/>
      <x:c r="F57" s="51"/>
      <x:c r="G57" s="58" t="n">
        <x:f>Inputs!G100</x:f>
        <x:v>1100</x:v>
      </x:c>
      <x:c r="H57" s="57" t="n">
        <x:f>G57</x:f>
        <x:v>1100</x:v>
      </x:c>
    </x:row>
    <x:row r="58" ht="27">
      <x:c r="B58" s="3" t="s">
        <x:v>212</x:v>
      </x:c>
      <x:c r="C58" s="51" t="s">
        <x:v>31</x:v>
      </x:c>
      <x:c r="D58" s="51" t="s">
        <x:v>31</x:v>
      </x:c>
      <x:c r="E58" s="51" t="s">
        <x:v>31</x:v>
      </x:c>
      <x:c r="F58" s="51" t="s">
        <x:v>31</x:v>
      </x:c>
      <x:c r="G58" s="51" t="s">
        <x:v>31</x:v>
      </x:c>
      <x:c r="H58" s="57" t="s">
        <x:v>31</x:v>
      </x:c>
    </x:row>
    <x:row r="59" ht="27">
      <x:c r="B59" s="15" t="s">
        <x:v>213</x:v>
      </x:c>
      <x:c r="C59" s="20" t="n">
        <x:f>C37-'Balance Sheet'!C45</x:f>
        <x:v>0</x:v>
      </x:c>
      <x:c r="D59" s="20" t="n">
        <x:f>D37-'Balance Sheet'!D45</x:f>
        <x:v>0</x:v>
      </x:c>
      <x:c r="E59" s="20" t="n">
        <x:f>E37-'Balance Sheet'!E45</x:f>
        <x:v>0</x:v>
      </x:c>
      <x:c r="F59" s="20" t="n">
        <x:f>F37-'Balance Sheet'!F45</x:f>
        <x:v>0</x:v>
      </x:c>
      <x:c r="G59" s="20" t="n">
        <x:f>G37-'Balance Sheet'!G45</x:f>
        <x:v>0</x:v>
      </x:c>
      <x:c r="H59" s="25" t="n">
        <x:f>H37-'Balance Sheet'!H45</x:f>
        <x:v>0</x:v>
      </x:c>
    </x:row>
    <x:row r="60">
      <x:c r="B60" s="22" t="s">
        <x:v>214</x:v>
      </x:c>
      <x:c r="C60" s="12"/>
      <x:c r="D60" s="12"/>
      <x:c r="E60" s="12"/>
      <x:c r="F60" s="12"/>
      <x:c r="G60" s="12"/>
      <x:c r="H60" s="19" t="n">
        <x:f>IFERROR(H17/C17-1,0)</x:f>
        <x:v>-0.0461847389558232</x:v>
      </x:c>
    </x:row>
    <x:row r="61">
      <x:c r="B61" s="3" t="s">
        <x:v>215</x:v>
      </x:c>
      <x:c r="C61" s="13"/>
      <x:c r="D61" s="13" t="n">
        <x:f>D17-C17</x:f>
        <x:v>10.899999999999977</x:v>
      </x:c>
      <x:c r="E61" s="13" t="n">
        <x:f>E17-D17</x:f>
        <x:v>4.100000000000023</x:v>
      </x:c>
      <x:c r="F61" s="13"/>
      <x:c r="G61" s="13" t="n">
        <x:f>G17-E17</x:f>
        <x:v>0</x:v>
      </x:c>
      <x:c r="H61" s="14" t="n">
        <x:f>H17-G17</x:f>
        <x:v>-5.800000000000011</x:v>
      </x:c>
    </x:row>
    <x:row r="62">
      <x:c r="B62" s="22" t="s">
        <x:v>216</x:v>
      </x:c>
      <x:c r="C62" s="12"/>
      <x:c r="D62" s="12"/>
      <x:c r="E62" s="12"/>
      <x:c r="F62" s="12"/>
      <x:c r="G62" s="12"/>
      <x:c r="H62" s="19" t="n">
        <x:f>IFERROR(H19/C19-1,0)</x:f>
        <x:v>-0.1561181434599156</x:v>
      </x:c>
    </x:row>
    <x:row r="63">
      <x:c r="B63" s="3" t="s">
        <x:v>217</x:v>
      </x:c>
      <x:c r="C63" s="13"/>
      <x:c r="D63" s="13" t="n">
        <x:f>D19-C19</x:f>
        <x:v>68.79999999999998</x:v>
      </x:c>
      <x:c r="E63" s="13" t="n">
        <x:f>E19-D19</x:f>
        <x:v>-0.5</x:v>
      </x:c>
      <x:c r="F63" s="13"/>
      <x:c r="G63" s="13" t="n">
        <x:f>G19-E19</x:f>
        <x:v>-21.69999999999999</x:v>
      </x:c>
      <x:c r="H63" s="14" t="n">
        <x:f>H19-G19</x:f>
        <x:v>-24.400000000000006</x:v>
      </x:c>
    </x:row>
    <x:row r="64">
      <x:c r="B64" s="3" t="s">
        <x:v>218</x:v>
      </x:c>
      <x:c r="C64" s="13"/>
      <x:c r="D64" s="13"/>
      <x:c r="E64" s="13"/>
      <x:c r="F64" s="13"/>
      <x:c r="G64" s="13"/>
      <x:c r="H64" s="14" t="n">
        <x:f>H10-C10</x:f>
        <x:v>-32.80000000000007</x:v>
      </x:c>
    </x:row>
    <x:row r="65">
      <x:c r="B65" s="3" t="s">
        <x:v>219</x:v>
      </x:c>
      <x:c r="C65" s="13"/>
      <x:c r="D65" s="13" t="n">
        <x:f>D10-C10</x:f>
        <x:v>-41.80000000000001</x:v>
      </x:c>
      <x:c r="E65" s="13" t="n">
        <x:f>E10-D10</x:f>
        <x:v>-7</x:v>
      </x:c>
      <x:c r="F65" s="13"/>
      <x:c r="G65" s="13" t="n">
        <x:f>G10-E10</x:f>
        <x:v>19.899999999999977</x:v>
      </x:c>
      <x:c r="H65" s="14" t="n">
        <x:f>H10-G10</x:f>
        <x:v>-3.900000000000034</x:v>
      </x:c>
    </x:row>
    <x:row r="66" ht="27">
      <x:c r="B66" s="3" t="s">
        <x:v>220</x:v>
      </x:c>
      <x:c r="C66" s="13"/>
      <x:c r="D66" s="13" t="n">
        <x:f>D25-C25</x:f>
        <x:v>72.09999999999995</x:v>
      </x:c>
      <x:c r="E66" s="13" t="n">
        <x:f>E25-D25</x:f>
        <x:v>-31</x:v>
      </x:c>
      <x:c r="F66" s="13"/>
      <x:c r="G66" s="13" t="n">
        <x:f>G25-E25</x:f>
        <x:v>-3.5</x:v>
      </x:c>
      <x:c r="H66" s="14" t="n">
        <x:f>H25-G25</x:f>
        <x:v>-34.200000000000045</x:v>
      </x:c>
    </x:row>
    <x:row r="67" ht="27">
      <x:c r="B67" s="3" t="s">
        <x:v>221</x:v>
      </x:c>
      <x:c r="C67" s="13"/>
      <x:c r="D67" s="13" t="n">
        <x:f>D27-C27</x:f>
        <x:v>-929.2999999999993</x:v>
      </x:c>
      <x:c r="E67" s="13" t="n">
        <x:f>E27-D27</x:f>
        <x:v>-401.7000000000007</x:v>
      </x:c>
      <x:c r="F67" s="13"/>
      <x:c r="G67" s="13" t="n">
        <x:f>G27-E27</x:f>
        <x:v>130.20000000000073</x:v>
      </x:c>
      <x:c r="H67" s="14" t="n">
        <x:f>H27-G27</x:f>
        <x:v>0</x:v>
      </x:c>
    </x:row>
    <x:row r="68" ht="27">
      <x:c r="B68" s="22" t="s">
        <x:v>222</x:v>
      </x:c>
      <x:c r="C68" s="12" t="n">
        <x:f>IFERROR(C18/C27*365/C7,0)</x:f>
        <x:v>0.06501022938585685</x:v>
      </x:c>
      <x:c r="D68" s="12" t="n">
        <x:f>IFERROR(D18/D27*365/D7,0)</x:f>
        <x:v>0.06198401959832945</x:v>
      </x:c>
      <x:c r="E68" s="12" t="n">
        <x:f>IFERROR(E18/E27*365/E7,0)</x:f>
        <x:v>0.06349051523556966</x:v>
      </x:c>
      <x:c r="F68" s="12" t="n">
        <x:f>IFERROR(F18/F27*365/F7,0)</x:f>
        <x:v>0.06378962821423995</x:v>
      </x:c>
      <x:c r="G68" s="12" t="n">
        <x:f>IFERROR(G18/G27*365/G7,0)</x:f>
        <x:v>0.06639634043880338</x:v>
      </x:c>
      <x:c r="H68" s="19" t="n">
        <x:f>IFERROR(H18/H27*365/H7,0)</x:f>
        <x:v>0.06406874917658292</x:v>
      </x:c>
    </x:row>
    <x:row r="69" ht="27">
      <x:c r="B69" s="3" t="s">
        <x:v>223</x:v>
      </x:c>
      <x:c r="C69" s="13"/>
      <x:c r="D69" s="13"/>
      <x:c r="E69" s="13"/>
      <x:c r="F69" s="13"/>
      <x:c r="G69" s="13"/>
      <x:c r="H69" s="14" t="n">
        <x:f>(H68-C68)*10000</x:f>
        <x:v>-9.414802092739261</x:v>
      </x:c>
    </x:row>
    <x:row r="70" ht="27">
      <x:c r="B70" s="3" t="s">
        <x:v>224</x:v>
      </x:c>
      <x:c r="C70" s="13"/>
      <x:c r="D70" s="13" t="n">
        <x:f>(D68-C68)*10000</x:f>
        <x:v>-30.262097875273994</x:v>
      </x:c>
      <x:c r="E70" s="13" t="n">
        <x:f>(E68-D68)*10000</x:f>
        <x:v>15.064956372402087</x:v>
      </x:c>
      <x:c r="F70" s="13"/>
      <x:c r="G70" s="13" t="n">
        <x:f>(G68-E68)*10000</x:f>
        <x:v>29.058252032337222</x:v>
      </x:c>
      <x:c r="H70" s="14" t="n">
        <x:f>(H68-G68)*10000</x:f>
        <x:v>-23.275912622204576</x:v>
      </x:c>
    </x:row>
    <x:row r="71">
      <x:c r="B71" s="3" t="s">
        <x:v>225</x:v>
      </x:c>
      <x:c r="C71" s="17" t="n">
        <x:f>IFERROR(-C19*1000000/'Segment - Sales Operations'!C10,0)</x:f>
        <x:v>711.9647121850107</x:v>
      </x:c>
      <x:c r="D71" s="17" t="n">
        <x:f>IFERROR(-D19*1000000/'Segment - Sales Operations'!D10,0)</x:f>
        <x:v>432.8927735215886</x:v>
      </x:c>
      <x:c r="E71" s="17" t="n">
        <x:f>IFERROR(-E19*1000000/'Segment - Sales Operations'!E10,0)</x:f>
        <x:v>407.8636554297194</x:v>
      </x:c>
      <x:c r="F71" s="17" t="n">
        <x:f>IFERROR(-F19*1000000/'Segment - Sales Operations'!F10,0)</x:f>
        <x:v>501.09903622976776</x:v>
      </x:c>
      <x:c r="G71" s="17" t="n">
        <x:f>IFERROR(-G19*1000000/'Segment - Sales Operations'!G10,0)</x:f>
        <x:v>415.12334287190663</x:v>
      </x:c>
      <x:c r="H71" s="24" t="n">
        <x:f>IFERROR(-H19*1000000/'Segment - Sales Operations'!H10,0)</x:f>
        <x:v>601.5037593984962</x:v>
      </x:c>
    </x:row>
    <x:row r="72">
      <x:c r="B72" s="3" t="s">
        <x:v>226</x:v>
      </x:c>
      <x:c r="C72" s="13"/>
      <x:c r="D72" s="13"/>
      <x:c r="E72" s="13"/>
      <x:c r="F72" s="13"/>
      <x:c r="G72" s="13"/>
      <x:c r="H72" s="14" t="n">
        <x:f>H71-C71</x:f>
        <x:v>-110.46095278651455</x:v>
      </x:c>
    </x:row>
    <x:row r="73">
      <x:c r="B73" s="3" t="s">
        <x:v>227</x:v>
      </x:c>
      <x:c r="C73" s="13"/>
      <x:c r="D73" s="13" t="n">
        <x:f>D71-C71</x:f>
        <x:v>-279.07193866342215</x:v>
      </x:c>
      <x:c r="E73" s="13" t="n">
        <x:f>E71-D71</x:f>
        <x:v>-25.02911809186918</x:v>
      </x:c>
      <x:c r="F73" s="13"/>
      <x:c r="G73" s="13" t="n">
        <x:f>G71-E71</x:f>
        <x:v>7.259687442187214</x:v>
      </x:c>
      <x:c r="H73" s="14" t="n">
        <x:f>H71-G71</x:f>
        <x:v>186.38041652658956</x:v>
      </x:c>
    </x:row>
    <x:row r="74">
      <x:c r="B74" s="2"/>
      <x:c r="C74" s="13"/>
      <x:c r="D74" s="13"/>
      <x:c r="E74" s="13"/>
      <x:c r="F74" s="13"/>
      <x:c r="G74" s="13"/>
      <x:c r="H74" s="14"/>
    </x:row>
    <x:row r="75">
      <x:c r="B75" s="2"/>
      <x:c r="C75" s="13"/>
      <x:c r="D75" s="13"/>
      <x:c r="E75" s="13"/>
      <x:c r="F75" s="13"/>
      <x:c r="G75" s="13"/>
      <x:c r="H75" s="14"/>
    </x:row>
    <x:row r="76">
      <x:c r="B76" s="2"/>
      <x:c r="C76" s="13"/>
      <x:c r="D76" s="13"/>
      <x:c r="E76" s="13"/>
      <x:c r="F76" s="13"/>
      <x:c r="G76" s="13"/>
      <x:c r="H76" s="14"/>
    </x:row>
    <x:row r="77">
      <x:c r="B77" s="2"/>
      <x:c r="C77" s="13"/>
      <x:c r="D77" s="13"/>
      <x:c r="E77" s="13"/>
      <x:c r="F77" s="13"/>
      <x:c r="G77" s="13"/>
      <x:c r="H77" s="14"/>
    </x:row>
    <x:row r="78">
      <x:c r="B78" s="2"/>
      <x:c r="C78" s="13"/>
      <x:c r="D78" s="13"/>
      <x:c r="E78" s="13"/>
      <x:c r="F78" s="13"/>
      <x:c r="G78" s="13"/>
      <x:c r="H78" s="14"/>
    </x:row>
    <x:row r="79">
      <x:c r="B79" s="2"/>
      <x:c r="C79" s="13"/>
      <x:c r="D79" s="13"/>
      <x:c r="E79" s="13"/>
      <x:c r="F79" s="13"/>
      <x:c r="G79" s="13"/>
      <x:c r="H79" s="14"/>
    </x:row>
    <x:row r="80">
      <x:c r="B80" s="2"/>
      <x:c r="C80" s="13"/>
      <x:c r="D80" s="13"/>
      <x:c r="E80" s="13"/>
      <x:c r="F80" s="13"/>
      <x:c r="G80" s="13"/>
      <x:c r="H80" s="14"/>
    </x:row>
    <x:row r="81">
      <x:c r="B81" s="2"/>
      <x:c r="C81" s="13"/>
      <x:c r="D81" s="13"/>
      <x:c r="E81" s="13"/>
      <x:c r="F81" s="13"/>
      <x:c r="G81" s="13"/>
      <x:c r="H81" s="14"/>
    </x:row>
    <x:row r="82">
      <x:c r="B82" s="2"/>
      <x:c r="C82" s="13"/>
      <x:c r="D82" s="13"/>
      <x:c r="E82" s="13"/>
      <x:c r="F82" s="13"/>
      <x:c r="G82" s="13"/>
      <x:c r="H82" s="14"/>
    </x:row>
    <x:row r="83">
      <x:c r="B83" s="2"/>
      <x:c r="C83" s="13"/>
      <x:c r="D83" s="13"/>
      <x:c r="E83" s="13"/>
      <x:c r="F83" s="13"/>
      <x:c r="G83" s="13"/>
      <x:c r="H83" s="14"/>
    </x:row>
    <x:row r="84">
      <x:c r="B84" s="2"/>
      <x:c r="C84" s="13"/>
      <x:c r="D84" s="13"/>
      <x:c r="E84" s="13"/>
      <x:c r="F84" s="13"/>
      <x:c r="G84" s="13"/>
      <x:c r="H84" s="14"/>
    </x:row>
    <x:row r="85">
      <x:c r="B85" s="2"/>
      <x:c r="C85" s="13"/>
      <x:c r="D85" s="13"/>
      <x:c r="E85" s="13"/>
      <x:c r="F85" s="13"/>
      <x:c r="G85" s="13"/>
      <x:c r="H85" s="14"/>
    </x:row>
    <x:row r="86">
      <x:c r="B86" s="2"/>
      <x:c r="C86" s="13"/>
      <x:c r="D86" s="13"/>
      <x:c r="E86" s="13"/>
      <x:c r="F86" s="13"/>
      <x:c r="G86" s="13"/>
      <x:c r="H86" s="14"/>
    </x:row>
    <x:row r="87">
      <x:c r="B87" s="2"/>
      <x:c r="C87" s="13"/>
      <x:c r="D87" s="13"/>
      <x:c r="E87" s="13"/>
      <x:c r="F87" s="13"/>
      <x:c r="G87" s="13"/>
      <x:c r="H87" s="14"/>
    </x:row>
    <x:row r="88">
      <x:c r="B88" s="2"/>
      <x:c r="C88" s="13"/>
      <x:c r="D88" s="13"/>
      <x:c r="E88" s="13"/>
      <x:c r="F88" s="13"/>
      <x:c r="G88" s="13"/>
      <x:c r="H88" s="14"/>
    </x:row>
    <x:row r="89">
      <x:c r="B89" s="2"/>
      <x:c r="C89" s="13"/>
      <x:c r="D89" s="13"/>
      <x:c r="E89" s="13"/>
      <x:c r="F89" s="13"/>
      <x:c r="G89" s="13"/>
      <x:c r="H89" s="14"/>
    </x:row>
    <x:row r="90">
      <x:c r="B90" s="2"/>
      <x:c r="C90" s="13"/>
      <x:c r="D90" s="13"/>
      <x:c r="E90" s="13"/>
      <x:c r="F90" s="13"/>
      <x:c r="G90" s="13"/>
      <x:c r="H90" s="14"/>
    </x:row>
    <x:row r="91">
      <x:c r="B91" s="2"/>
      <x:c r="C91" s="13"/>
      <x:c r="D91" s="13"/>
      <x:c r="E91" s="13"/>
      <x:c r="F91" s="13"/>
      <x:c r="G91" s="13"/>
      <x:c r="H91" s="14"/>
    </x:row>
    <x:row r="92">
      <x:c r="B92" s="2"/>
      <x:c r="C92" s="13"/>
      <x:c r="D92" s="13"/>
      <x:c r="E92" s="13"/>
      <x:c r="F92" s="13"/>
      <x:c r="G92" s="13"/>
      <x:c r="H92" s="14"/>
    </x:row>
    <x:row r="93">
      <x:c r="B93" s="2"/>
      <x:c r="C93" s="13"/>
      <x:c r="D93" s="13"/>
      <x:c r="E93" s="13"/>
      <x:c r="F93" s="13"/>
      <x:c r="G93" s="13"/>
      <x:c r="H93" s="14"/>
    </x:row>
    <x:row r="94">
      <x:c r="B94" s="2"/>
      <x:c r="C94" s="13"/>
      <x:c r="D94" s="13"/>
      <x:c r="E94" s="13"/>
      <x:c r="F94" s="13"/>
      <x:c r="G94" s="13"/>
      <x:c r="H94" s="14"/>
    </x:row>
    <x:row r="95">
      <x:c r="B95" s="2"/>
      <x:c r="C95" s="13"/>
      <x:c r="D95" s="13"/>
      <x:c r="E95" s="13"/>
      <x:c r="F95" s="13"/>
      <x:c r="G95" s="13"/>
      <x:c r="H95" s="14"/>
    </x:row>
    <x:row r="96">
      <x:c r="B96" s="2"/>
      <x:c r="C96" s="13"/>
      <x:c r="D96" s="13"/>
      <x:c r="E96" s="13"/>
      <x:c r="F96" s="13"/>
      <x:c r="G96" s="13"/>
      <x:c r="H96" s="14"/>
    </x:row>
    <x:row r="97">
      <x:c r="B97" s="2"/>
      <x:c r="C97" s="13"/>
      <x:c r="D97" s="13"/>
      <x:c r="E97" s="13"/>
      <x:c r="F97" s="13"/>
      <x:c r="G97" s="13"/>
      <x:c r="H97" s="14"/>
    </x:row>
    <x:row r="98">
      <x:c r="B98" s="2"/>
      <x:c r="C98" s="13"/>
      <x:c r="D98" s="13"/>
      <x:c r="E98" s="13"/>
      <x:c r="F98" s="13"/>
      <x:c r="G98" s="13"/>
      <x:c r="H98" s="14"/>
    </x:row>
    <x:row r="99">
      <x:c r="B99" s="2"/>
      <x:c r="C99" s="13"/>
      <x:c r="D99" s="13"/>
      <x:c r="E99" s="13"/>
      <x:c r="F99" s="13"/>
      <x:c r="G99" s="13"/>
      <x:c r="H99" s="14"/>
    </x:row>
    <x:row r="100">
      <x:c r="B100" s="2"/>
      <x:c r="C100" s="13"/>
      <x:c r="D100" s="13"/>
      <x:c r="E100" s="13"/>
      <x:c r="F100" s="13"/>
      <x:c r="G100" s="13"/>
      <x:c r="H100" s="14"/>
    </x:row>
    <x:row r="101">
      <x:c r="B101" s="2"/>
      <x:c r="C101" s="13"/>
      <x:c r="D101" s="13"/>
      <x:c r="E101" s="13"/>
      <x:c r="F101" s="13"/>
      <x:c r="G101" s="13"/>
      <x:c r="H101" s="14"/>
    </x:row>
    <x:row r="102">
      <x:c r="B102" s="2"/>
      <x:c r="C102" s="13"/>
      <x:c r="D102" s="13"/>
      <x:c r="E102" s="13"/>
      <x:c r="F102" s="13"/>
      <x:c r="G102" s="13"/>
      <x:c r="H102" s="14"/>
    </x:row>
    <x:row r="103">
      <x:c r="B103" s="2"/>
      <x:c r="C103" s="13"/>
      <x:c r="D103" s="13"/>
      <x:c r="E103" s="13"/>
      <x:c r="F103" s="13"/>
      <x:c r="G103" s="13"/>
      <x:c r="H103" s="14"/>
    </x:row>
    <x:row r="104">
      <x:c r="B104" s="2"/>
      <x:c r="C104" s="13"/>
      <x:c r="D104" s="13"/>
      <x:c r="E104" s="13"/>
      <x:c r="F104" s="13"/>
      <x:c r="G104" s="13"/>
      <x:c r="H104" s="14"/>
    </x:row>
    <x:row r="105">
      <x:c r="B105" s="2"/>
      <x:c r="C105" s="13"/>
      <x:c r="D105" s="13"/>
      <x:c r="E105" s="13"/>
      <x:c r="F105" s="13"/>
      <x:c r="G105" s="13"/>
      <x:c r="H105" s="14"/>
    </x:row>
    <x:row r="106">
      <x:c r="B106" s="2"/>
      <x:c r="C106" s="13"/>
      <x:c r="D106" s="13"/>
      <x:c r="E106" s="13"/>
      <x:c r="F106" s="13"/>
      <x:c r="G106" s="13"/>
      <x:c r="H106" s="14"/>
    </x:row>
    <x:row r="107">
      <x:c r="B107" s="2"/>
      <x:c r="C107" s="13"/>
      <x:c r="D107" s="13"/>
      <x:c r="E107" s="13"/>
      <x:c r="F107" s="13"/>
      <x:c r="G107" s="13"/>
      <x:c r="H107" s="14"/>
    </x:row>
    <x:row r="108">
      <x:c r="B108" s="2"/>
      <x:c r="C108" s="13"/>
      <x:c r="D108" s="13"/>
      <x:c r="E108" s="13"/>
      <x:c r="F108" s="13"/>
      <x:c r="G108" s="13"/>
      <x:c r="H108" s="14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  <x:row r="141">
      <x:c r="H141" s="1"/>
    </x:row>
    <x:row r="142">
      <x:c r="H142" s="1"/>
    </x:row>
    <x:row r="143">
      <x:c r="H143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228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3" t="s">
        <x:v>229</x:v>
      </x:c>
      <x:c r="C9" s="13"/>
      <x:c r="D9" s="13"/>
      <x:c r="E9" s="13"/>
      <x:c r="F9" s="13"/>
      <x:c r="G9" s="13"/>
      <x:c r="H9" s="14"/>
    </x:row>
    <x:row r="10">
      <x:c r="B10" s="15" t="s">
        <x:v>230</x:v>
      </x:c>
      <x:c r="C10" s="20" t="n">
        <x:f>'Revenue summary'!C22</x:f>
        <x:v>6594.68</x:v>
      </x:c>
      <x:c r="D10" s="20" t="n">
        <x:f>'Revenue summary'!D22</x:f>
        <x:v>5793.95</x:v>
      </x:c>
      <x:c r="E10" s="20" t="n">
        <x:f>'Revenue summary'!E22</x:f>
        <x:v>5945.96</x:v>
      </x:c>
      <x:c r="F10" s="20" t="n">
        <x:f>'Revenue summary'!F22</x:f>
        <x:v>25881.131</x:v>
      </x:c>
      <x:c r="G10" s="20" t="n">
        <x:f>'Revenue summary'!G22</x:f>
        <x:v>8013.52</x:v>
      </x:c>
      <x:c r="H10" s="25" t="n">
        <x:f>'Revenue summary'!H22</x:f>
        <x:v>6807.764200879322</x:v>
      </x:c>
    </x:row>
    <x:row r="11">
      <x:c r="B11" s="22" t="s">
        <x:v>231</x:v>
      </x:c>
      <x:c r="C11" s="12"/>
      <x:c r="D11" s="12"/>
      <x:c r="E11" s="12"/>
      <x:c r="F11" s="12"/>
      <x:c r="G11" s="12"/>
      <x:c r="H11" s="19" t="n">
        <x:f>H10/C10-1</x:f>
        <x:v>0.032311530033196645</x:v>
      </x:c>
    </x:row>
    <x:row r="12">
      <x:c r="B12" s="3" t="s">
        <x:v>232</x:v>
      </x:c>
      <x:c r="C12" s="17" t="n">
        <x:f>'Revenue summary'!C26-'Segment - Sales Operations'!C44</x:f>
        <x:v>4828.099999999999</x:v>
      </x:c>
      <x:c r="D12" s="17" t="n">
        <x:f>'Revenue summary'!D26-'Segment - Sales Operations'!D44</x:f>
        <x:v>4169.3</x:v>
      </x:c>
      <x:c r="E12" s="17" t="n">
        <x:f>'Revenue summary'!E26-'Segment - Sales Operations'!E44</x:f>
        <x:v>4396.8</x:v>
      </x:c>
      <x:c r="F12" s="17" t="n">
        <x:f>'Revenue summary'!F26-'Segment - Sales Operations'!F44</x:f>
        <x:v>18943.4</x:v>
      </x:c>
      <x:c r="G12" s="17" t="n">
        <x:f>'Revenue summary'!G26-'Segment - Sales Operations'!G44</x:f>
        <x:v>5889.900000000001</x:v>
      </x:c>
      <x:c r="H12" s="24" t="n">
        <x:f>'Revenue summary'!H26-'Segment - Sales Operations'!H44</x:f>
        <x:v>5043.68098204227</x:v>
      </x:c>
    </x:row>
    <x:row r="13">
      <x:c r="B13" s="3" t="s">
        <x:v>233</x:v>
      </x:c>
      <x:c r="C13" s="17" t="n">
        <x:f>'Revenue summary'!C29-'Segment - Sales Operations'!C45</x:f>
        <x:v>1012.3</x:v>
      </x:c>
      <x:c r="D13" s="17" t="n">
        <x:f>'Revenue summary'!D29-'Segment - Sales Operations'!D45</x:f>
        <x:v>980.3</x:v>
      </x:c>
      <x:c r="E13" s="17" t="n">
        <x:f>'Revenue summary'!E29-'Segment - Sales Operations'!E45</x:f>
        <x:v>891.7</x:v>
      </x:c>
      <x:c r="F13" s="17" t="n">
        <x:f>'Revenue summary'!F29-'Segment - Sales Operations'!F45</x:f>
        <x:v>3980.5000000000005</x:v>
      </x:c>
      <x:c r="G13" s="17" t="n">
        <x:f>'Revenue summary'!G29-'Segment - Sales Operations'!G45</x:f>
        <x:v>1258.1</x:v>
      </x:c>
      <x:c r="H13" s="24" t="n">
        <x:f>'Revenue summary'!H29-'Segment - Sales Operations'!H45</x:f>
        <x:v>1030.0332188370508</x:v>
      </x:c>
    </x:row>
    <x:row r="14">
      <x:c r="B14" s="3" t="s">
        <x:v>234</x:v>
      </x:c>
      <x:c r="C14" s="17" t="n">
        <x:f>'Revenue summary'!C32-'Segment - Sales Operations'!C46</x:f>
        <x:v>36.58000000000135</x:v>
      </x:c>
      <x:c r="D14" s="17" t="n">
        <x:f>'Revenue summary'!D32-'Segment - Sales Operations'!D46</x:f>
        <x:v>54.35000000000018</x:v>
      </x:c>
      <x:c r="E14" s="17" t="n">
        <x:f>'Revenue summary'!E32-'Segment - Sales Operations'!E46</x:f>
        <x:v>52.15999999999947</x:v>
      </x:c>
      <x:c r="F14" s="17" t="n">
        <x:f>'Revenue summary'!F32-'Segment - Sales Operations'!F46</x:f>
        <x:v>150.63100000000054</x:v>
      </x:c>
      <x:c r="G14" s="17" t="n">
        <x:f>'Revenue summary'!G32-'Segment - Sales Operations'!G46</x:f>
        <x:v>11.12000000000043</x:v>
      </x:c>
      <x:c r="H14" s="24" t="n">
        <x:f>'Revenue summary'!H32-'Segment - Sales Operations'!H46</x:f>
        <x:v>27</x:v>
      </x:c>
    </x:row>
    <x:row r="15">
      <x:c r="B15" s="15" t="s">
        <x:v>235</x:v>
      </x:c>
      <x:c r="C15" s="23" t="n">
        <x:f>SUM(C12:C14)</x:f>
        <x:v>5876.980000000001</x:v>
      </x:c>
      <x:c r="D15" s="23" t="n">
        <x:f>SUM(D12:D14)</x:f>
        <x:v>5203.950000000001</x:v>
      </x:c>
      <x:c r="E15" s="23" t="n">
        <x:f>SUM(E12:E14)</x:f>
        <x:v>5340.66</x:v>
      </x:c>
      <x:c r="F15" s="23" t="n">
        <x:f>SUM(F12:F14)</x:f>
        <x:v>23074.531000000003</x:v>
      </x:c>
      <x:c r="G15" s="23" t="n">
        <x:f>SUM(G12:G14)</x:f>
        <x:v>7159.120000000001</x:v>
      </x:c>
      <x:c r="H15" s="18" t="n">
        <x:f>SUM(H12:H14)</x:f>
        <x:v>6100.714200879322</x:v>
      </x:c>
    </x:row>
    <x:row r="16">
      <x:c r="B16" s="15" t="s">
        <x:v>236</x:v>
      </x:c>
      <x:c r="C16" s="23" t="n">
        <x:f>C10-C15</x:f>
        <x:v>717.6999999999989</x:v>
      </x:c>
      <x:c r="D16" s="23" t="n">
        <x:f>D10-D15</x:f>
        <x:v>589.9999999999991</x:v>
      </x:c>
      <x:c r="E16" s="23" t="n">
        <x:f>E10-E15</x:f>
        <x:v>605.3000000000002</x:v>
      </x:c>
      <x:c r="F16" s="23" t="n">
        <x:f>F10-F15</x:f>
        <x:v>2806.5999999999985</x:v>
      </x:c>
      <x:c r="G16" s="23" t="n">
        <x:f>G10-G15</x:f>
        <x:v>854.3999999999996</x:v>
      </x:c>
      <x:c r="H16" s="18" t="n">
        <x:f>H10-H15</x:f>
        <x:v>707.0500000000002</x:v>
      </x:c>
    </x:row>
    <x:row r="17">
      <x:c r="B17" s="22" t="s">
        <x:v>237</x:v>
      </x:c>
      <x:c r="C17" s="12" t="n">
        <x:f>C16/C10</x:f>
        <x:v>0.10883014793742818</x:v>
      </x:c>
      <x:c r="D17" s="12" t="n">
        <x:f>D16/D10</x:f>
        <x:v>0.10183035752811107</x:v>
      </x:c>
      <x:c r="E17" s="12" t="n">
        <x:f>E16/E10</x:f>
        <x:v>0.10180021392676711</x:v>
      </x:c>
      <x:c r="F17" s="12" t="n">
        <x:f>F16/F10</x:f>
        <x:v>0.1084419378735805</x:v>
      </x:c>
      <x:c r="G17" s="12" t="n">
        <x:f>G16/G10</x:f>
        <x:v>0.10661981251684648</x:v>
      </x:c>
      <x:c r="H17" s="19" t="n">
        <x:f>H16/H10</x:f>
        <x:v>0.10385935516225347</x:v>
      </x:c>
    </x:row>
    <x:row r="18">
      <x:c r="B18" s="3" t="s">
        <x:v>238</x:v>
      </x:c>
      <x:c r="C18" s="13"/>
      <x:c r="D18" s="13"/>
      <x:c r="E18" s="13"/>
      <x:c r="F18" s="13"/>
      <x:c r="G18" s="13"/>
      <x:c r="H18" s="14" t="n">
        <x:f>(H17-C17)*10000</x:f>
        <x:v>-49.707927751747036</x:v>
      </x:c>
    </x:row>
    <x:row r="19">
      <x:c r="B19" s="15" t="s">
        <x:v>239</x:v>
      </x:c>
      <x:c r="C19" s="20" t="n">
        <x:f>'Segment - Auto Finance'!C25</x:f>
        <x:v>102.60000000000004</x:v>
      </x:c>
      <x:c r="D19" s="20" t="n">
        <x:f>'Segment - Auto Finance'!D25</x:f>
        <x:v>174.7</x:v>
      </x:c>
      <x:c r="E19" s="20" t="n">
        <x:f>'Segment - Auto Finance'!E25</x:f>
        <x:v>143.7</x:v>
      </x:c>
      <x:c r="F19" s="20" t="n">
        <x:f>'Segment - Auto Finance'!F25</x:f>
        <x:v>562.7</x:v>
      </x:c>
      <x:c r="G19" s="20" t="n">
        <x:f>'Segment - Auto Finance'!G25</x:f>
        <x:v>140.2</x:v>
      </x:c>
      <x:c r="H19" s="25" t="n">
        <x:f>'Segment - Auto Finance'!H25</x:f>
        <x:v>105.99999999999994</x:v>
      </x:c>
    </x:row>
    <x:row r="20" ht="26.25">
      <x:c r="B20" s="3" t="s">
        <x:v>240</x:v>
      </x:c>
      <x:c r="C20" s="17" t="n">
        <x:f>Inputs!C23</x:f>
        <x:v>323.4</x:v>
      </x:c>
      <x:c r="D20" s="17" t="n">
        <x:f>Inputs!D23</x:f>
        <x:v>307.3</x:v>
      </x:c>
      <x:c r="E20" s="17" t="n">
        <x:f>Inputs!E23</x:f>
        <x:v>312.7</x:v>
      </x:c>
      <x:c r="F20" s="17" t="n">
        <x:f>Inputs!F23</x:f>
        <x:v>1292.4</x:v>
      </x:c>
      <x:c r="G20" s="17" t="n">
        <x:f>Inputs!G23</x:f>
        <x:v>329.6</x:v>
      </x:c>
      <x:c r="H20" s="24" t="n">
        <x:f>Inputs!H23</x:f>
        <x:v>315</x:v>
      </x:c>
    </x:row>
    <x:row r="21">
      <x:c r="B21" s="3" t="s">
        <x:v>241</x:v>
      </x:c>
      <x:c r="C21" s="17" t="n">
        <x:f>Inputs!C24</x:f>
        <x:v>22.4</x:v>
      </x:c>
      <x:c r="D21" s="17" t="n">
        <x:f>Inputs!D24</x:f>
        <x:v>14.7</x:v>
      </x:c>
      <x:c r="E21" s="17" t="n">
        <x:f>Inputs!E24</x:f>
        <x:v>10.7</x:v>
      </x:c>
      <x:c r="F21" s="17" t="n">
        <x:f>Inputs!F24</x:f>
        <x:v>93.4</x:v>
      </x:c>
      <x:c r="G21" s="17" t="n">
        <x:f>Inputs!G24</x:f>
        <x:v>39.7</x:v>
      </x:c>
      <x:c r="H21" s="24" t="n">
        <x:f>Inputs!H24</x:f>
        <x:v>22</x:v>
      </x:c>
    </x:row>
    <x:row r="22">
      <x:c r="B22" s="15" t="s">
        <x:v>242</x:v>
      </x:c>
      <x:c r="C22" s="23" t="n">
        <x:f>SUM(C20:C21)</x:f>
        <x:v>345.79999999999995</x:v>
      </x:c>
      <x:c r="D22" s="23" t="n">
        <x:f>SUM(D20:D21)</x:f>
        <x:v>322</x:v>
      </x:c>
      <x:c r="E22" s="23" t="n">
        <x:f>SUM(E20:E21)</x:f>
        <x:v>323.4</x:v>
      </x:c>
      <x:c r="F22" s="23" t="n">
        <x:f>SUM(F20:F21)</x:f>
        <x:v>1385.8000000000002</x:v>
      </x:c>
      <x:c r="G22" s="23" t="n">
        <x:f>SUM(G20:G21)</x:f>
        <x:v>369.3</x:v>
      </x:c>
      <x:c r="H22" s="18" t="n">
        <x:f>SUM(H20:H21)</x:f>
        <x:v>337</x:v>
      </x:c>
    </x:row>
    <x:row r="23">
      <x:c r="B23" s="3" t="s">
        <x:v>243</x:v>
      </x:c>
      <x:c r="C23" s="17" t="n">
        <x:f>Inputs!C25</x:f>
        <x:v>74.1</x:v>
      </x:c>
      <x:c r="D23" s="17" t="n">
        <x:f>Inputs!D25</x:f>
        <x:v>68.6</x:v>
      </x:c>
      <x:c r="E23" s="17" t="n">
        <x:f>Inputs!E25</x:f>
        <x:v>93.8</x:v>
      </x:c>
      <x:c r="F23" s="17" t="n">
        <x:f>Inputs!F25</x:f>
        <x:v>305.5</x:v>
      </x:c>
      <x:c r="G23" s="17" t="n">
        <x:f>Inputs!G25</x:f>
        <x:v>66.8</x:v>
      </x:c>
      <x:c r="H23" s="24" t="n">
        <x:f>Inputs!H25</x:f>
        <x:v>72</x:v>
      </x:c>
    </x:row>
    <x:row r="24">
      <x:c r="B24" s="3" t="s">
        <x:v>244</x:v>
      </x:c>
      <x:c r="C24" s="17" t="n">
        <x:f>Inputs!C26</x:f>
        <x:v>63.7</x:v>
      </x:c>
      <x:c r="D24" s="17" t="n">
        <x:f>Inputs!D26</x:f>
        <x:v>73.4</x:v>
      </x:c>
      <x:c r="E24" s="17" t="n">
        <x:f>Inputs!E26</x:f>
        <x:v>77.9</x:v>
      </x:c>
      <x:c r="F24" s="17" t="n">
        <x:f>Inputs!F26</x:f>
        <x:v>283</x:v>
      </x:c>
      <x:c r="G24" s="17" t="n">
        <x:f>Inputs!G26</x:f>
        <x:v>75.9</x:v>
      </x:c>
      <x:c r="H24" s="24" t="n">
        <x:f>Inputs!H26</x:f>
        <x:v>72</x:v>
      </x:c>
    </x:row>
    <x:row r="25">
      <x:c r="B25" s="3" t="s">
        <x:v>245</x:v>
      </x:c>
      <x:c r="C25" s="17" t="n">
        <x:f>Inputs!C27</x:f>
        <x:v>117.5</x:v>
      </x:c>
      <x:c r="D25" s="17" t="n">
        <x:f>Inputs!D27</x:f>
        <x:v>117.4</x:v>
      </x:c>
      <x:c r="E25" s="17" t="n">
        <x:f>Inputs!E27</x:f>
        <x:v>116.2</x:v>
      </x:c>
      <x:c r="F25" s="17" t="n">
        <x:f>Inputs!F27</x:f>
        <x:v>479.1</x:v>
      </x:c>
      <x:c r="G25" s="17" t="n">
        <x:f>Inputs!G27</x:f>
        <x:v>123.2</x:v>
      </x:c>
      <x:c r="H25" s="24" t="n">
        <x:f>Inputs!H27</x:f>
        <x:v>116</x:v>
      </x:c>
    </x:row>
    <x:row r="26" ht="26.25">
      <x:c r="B26" s="15" t="s">
        <x:v>246</x:v>
      </x:c>
      <x:c r="C26" s="23" t="n">
        <x:f>SUM(C22:C25)</x:f>
        <x:v>601.0999999999999</x:v>
      </x:c>
      <x:c r="D26" s="23" t="n">
        <x:f>SUM(D22:D25)</x:f>
        <x:v>581.4</x:v>
      </x:c>
      <x:c r="E26" s="23" t="n">
        <x:f>SUM(E22:E25)</x:f>
        <x:v>611.3000000000001</x:v>
      </x:c>
      <x:c r="F26" s="23" t="n">
        <x:f>SUM(F22:F25)</x:f>
        <x:v>2453.4</x:v>
      </x:c>
      <x:c r="G26" s="23" t="n">
        <x:f>SUM(G22:G25)</x:f>
        <x:v>635.2</x:v>
      </x:c>
      <x:c r="H26" s="18" t="n">
        <x:f>SUM(H22:H25)</x:f>
        <x:v>597</x:v>
      </x:c>
    </x:row>
    <x:row r="27">
      <x:c r="B27" s="3" t="s">
        <x:v>247</x:v>
      </x:c>
      <x:c r="C27" s="17" t="n">
        <x:f>Inputs!C45</x:f>
        <x:v>67.285</x:v>
      </x:c>
      <x:c r="D27" s="17" t="n">
        <x:f>Inputs!D45</x:f>
        <x:v>68.943</x:v>
      </x:c>
      <x:c r="E27" s="17" t="n">
        <x:f>Inputs!E45</x:f>
        <x:v>71.783</x:v>
      </x:c>
      <x:c r="F27" s="17" t="n">
        <x:f>Inputs!F45</x:f>
        <x:v>273.75</x:v>
      </x:c>
      <x:c r="G27" s="17" t="n">
        <x:f>Inputs!G45</x:f>
        <x:v>69.21300000000001</x:v>
      </x:c>
      <x:c r="H27" s="24" t="n">
        <x:f>Inputs!H45</x:f>
        <x:v>69</x:v>
      </x:c>
    </x:row>
    <x:row r="28">
      <x:c r="B28" s="3" t="s">
        <x:v>248</x:v>
      </x:c>
      <x:c r="C28" s="17" t="n">
        <x:f>Inputs!C81</x:f>
        <x:v>0</x:v>
      </x:c>
      <x:c r="D28" s="17" t="n">
        <x:f>Inputs!D81</x:f>
        <x:v>0</x:v>
      </x:c>
      <x:c r="E28" s="17" t="n">
        <x:f>Inputs!E81</x:f>
        <x:v>141.258</x:v>
      </x:c>
      <x:c r="F28" s="17" t="n">
        <x:f>Inputs!F81</x:f>
        <x:v>141.258</x:v>
      </x:c>
      <x:c r="G28" s="17" t="n">
        <x:f>Inputs!G81</x:f>
        <x:v>0</x:v>
      </x:c>
      <x:c r="H28" s="24" t="n">
        <x:f>Inputs!H81</x:f>
        <x:v>0</x:v>
      </x:c>
    </x:row>
    <x:row r="29">
      <x:c r="B29" s="3" t="s">
        <x:v>249</x:v>
      </x:c>
      <x:c r="C29" s="17" t="n">
        <x:f>Inputs!C46</x:f>
        <x:v>28.453</x:v>
      </x:c>
      <x:c r="D29" s="17" t="n">
        <x:f>Inputs!D46</x:f>
        <x:v>26.12</x:v>
      </x:c>
      <x:c r="E29" s="17" t="n">
        <x:f>Inputs!E46</x:f>
        <x:v>28.751</x:v>
      </x:c>
      <x:c r="F29" s="17" t="n">
        <x:f>Inputs!F46</x:f>
        <x:v>110.4</x:v>
      </x:c>
      <x:c r="G29" s="17" t="n">
        <x:f>Inputs!G46</x:f>
        <x:v>33.811</x:v>
      </x:c>
      <x:c r="H29" s="24" t="n">
        <x:f>Inputs!H46</x:f>
        <x:v>32</x:v>
      </x:c>
    </x:row>
    <x:row r="30">
      <x:c r="B30" s="3" t="s">
        <x:v>250</x:v>
      </x:c>
      <x:c r="C30" s="17" t="n">
        <x:f>Inputs!C80</x:f>
        <x:v>3.624</x:v>
      </x:c>
      <x:c r="D30" s="17" t="n">
        <x:f>Inputs!D80</x:f>
        <x:v>-4.468</x:v>
      </x:c>
      <x:c r="E30" s="17" t="n">
        <x:f>Inputs!E80</x:f>
        <x:v>-6.532</x:v>
      </x:c>
      <x:c r="F30" s="17" t="n">
        <x:f>Inputs!F80</x:f>
        <x:v>-7.067</x:v>
      </x:c>
      <x:c r="G30" s="17" t="n">
        <x:f>Inputs!G80</x:f>
        <x:v>2.101</x:v>
      </x:c>
      <x:c r="H30" s="24" t="n">
        <x:f>Inputs!H75</x:f>
        <x:v>2</x:v>
      </x:c>
    </x:row>
    <x:row r="31">
      <x:c r="B31" s="3" t="s">
        <x:v>251</x:v>
      </x:c>
      <x:c r="C31" s="17" t="n">
        <x:f>Inputs!C82-(C16+C19-C26-C27-C28-C29+C30)</x:f>
        <x:v>0.011000000000976229</x:v>
      </x:c>
      <x:c r="D31" s="17" t="n">
        <x:f>Inputs!D82-(D16+D19-D26-D27-D28-D29+D30)</x:f>
        <x:v>0.11800000000084765</x:v>
      </x:c>
      <x:c r="E31" s="17" t="n">
        <x:f>Inputs!E82-(E16+E19-E26-E27-E28-E29+E30)</x:f>
        <x:v>-0.05700000000014427</x:v>
      </x:c>
      <x:c r="F31" s="17" t="n">
        <x:f>Inputs!F82-(F16+F19-F26-F27-F28-F29+F30)</x:f>
        <x:v>0.008000000001743501</x:v>
      </x:c>
      <x:c r="G31" s="17" t="n">
        <x:f>Inputs!G82-(G16+G19-G26-G27-G28-G29+G30)</x:f>
        <x:v>0.08000000000038199</x:v>
      </x:c>
      <x:c r="H31" s="24" t="n">
        <x:f>0</x:f>
        <x:v>0</x:v>
      </x:c>
    </x:row>
    <x:row r="32">
      <x:c r="B32" s="15" t="s">
        <x:v>252</x:v>
      </x:c>
      <x:c r="C32" s="23" t="n">
        <x:f>SUM(C16,C19,C30:C31)-SUM(C26:C29)</x:f>
        <x:v>127.0970000000001</x:v>
      </x:c>
      <x:c r="D32" s="23" t="n">
        <x:f>SUM(D16,D19,D30:D31)-SUM(D26:D29)</x:f>
        <x:v>83.88700000000006</x:v>
      </x:c>
      <x:c r="E32" s="23" t="n">
        <x:f>SUM(E16,E19,E30:E31)-SUM(E26:E29)</x:f>
        <x:v>-110.68100000000004</x:v>
      </x:c>
      <x:c r="F32" s="23" t="n">
        <x:f>SUM(F16,F19,F30:F31)-SUM(F26:F29)</x:f>
        <x:v>383.433</x:v>
      </x:c>
      <x:c r="G32" s="23" t="n">
        <x:f>SUM(G16,G19,G30:G31)-SUM(G26:G29)</x:f>
        <x:v>258.557</x:v>
      </x:c>
      <x:c r="H32" s="18" t="n">
        <x:f>SUM(H16,H19,H30:H31)-SUM(H26:H29)</x:f>
        <x:v>117.05000000000018</x:v>
      </x:c>
    </x:row>
    <x:row r="33">
      <x:c r="B33" s="3" t="s">
        <x:v>253</x:v>
      </x:c>
      <x:c r="C33" s="17" t="n">
        <x:f>Inputs!C47</x:f>
        <x:v>31.719</x:v>
      </x:c>
      <x:c r="D33" s="17" t="n">
        <x:f>Inputs!D47</x:f>
        <x:v>21.672</x:v>
      </x:c>
      <x:c r="E33" s="17" t="n">
        <x:f>Inputs!E47</x:f>
        <x:v>10.003</x:v>
      </x:c>
      <x:c r="F33" s="17" t="n">
        <x:f>Inputs!F47</x:f>
        <x:v>136.143</x:v>
      </x:c>
      <x:c r="G33" s="17" t="n">
        <x:f>Inputs!G47</x:f>
        <x:v>72.93</x:v>
      </x:c>
      <x:c r="H33" s="24" t="n">
        <x:f>H32*Inputs!H76</x:f>
        <x:v>29.262500000000045</x:v>
      </x:c>
    </x:row>
    <x:row r="34">
      <x:c r="B34" s="15" t="s">
        <x:v>254</x:v>
      </x:c>
      <x:c r="C34" s="23" t="n">
        <x:f>C32-C33</x:f>
        <x:v>95.3780000000001</x:v>
      </x:c>
      <x:c r="D34" s="23" t="n">
        <x:f>D32-D33</x:f>
        <x:v>62.21500000000006</x:v>
      </x:c>
      <x:c r="E34" s="23" t="n">
        <x:f>E32-E33</x:f>
        <x:v>-120.68400000000004</x:v>
      </x:c>
      <x:c r="F34" s="23" t="n">
        <x:f>F32-F33</x:f>
        <x:v>247.29</x:v>
      </x:c>
      <x:c r="G34" s="23" t="n">
        <x:f>G32-G33</x:f>
        <x:v>185.627</x:v>
      </x:c>
      <x:c r="H34" s="18" t="n">
        <x:f>H32-H33</x:f>
        <x:v>87.78750000000014</x:v>
      </x:c>
    </x:row>
    <x:row r="35">
      <x:c r="B35" s="22" t="s">
        <x:v>255</x:v>
      </x:c>
      <x:c r="C35" s="12" t="n">
        <x:f>C34/C10</x:f>
        <x:v>0.014462870071026963</x:v>
      </x:c>
      <x:c r="D35" s="12" t="n">
        <x:f>D34/D10</x:f>
        <x:v>0.01073792490442618</x:v>
      </x:c>
      <x:c r="E35" s="12" t="n">
        <x:f>E34/E10</x:f>
        <x:v>-0.020296806571184475</x:v>
      </x:c>
      <x:c r="F35" s="12" t="n">
        <x:f>F34/F10</x:f>
        <x:v>0.009554837460542198</x:v>
      </x:c>
      <x:c r="G35" s="12" t="n">
        <x:f>G34/G10</x:f>
        <x:v>0.023164227455600036</x:v>
      </x:c>
      <x:c r="H35" s="19" t="n">
        <x:f>H34/H10</x:f>
        <x:v>0.012895202802215315</x:v>
      </x:c>
    </x:row>
    <x:row r="36">
      <x:c r="B36" s="22" t="s">
        <x:v>256</x:v>
      </x:c>
      <x:c r="C36" s="12"/>
      <x:c r="D36" s="12"/>
      <x:c r="E36" s="12"/>
      <x:c r="F36" s="12"/>
      <x:c r="G36" s="12"/>
      <x:c r="H36" s="19" t="n">
        <x:f>H34/C34-1</x:f>
        <x:v>-0.079583342070498</x:v>
      </x:c>
    </x:row>
    <x:row r="37" ht="26.25">
      <x:c r="B37" s="3" t="s">
        <x:v>257</x:v>
      </x:c>
      <x:c r="C37" s="17" t="n">
        <x:f>'Share Count'!C10</x:f>
        <x:v>149.291</x:v>
      </x:c>
      <x:c r="D37" s="17" t="n">
        <x:f>'Share Count'!D10</x:f>
        <x:v>145.548</x:v>
      </x:c>
      <x:c r="E37" s="17" t="n">
        <x:f>'Share Count'!E10</x:f>
        <x:v>141.923</x:v>
      </x:c>
      <x:c r="F37" s="17" t="n">
        <x:f>'Share Count'!F10</x:f>
        <x:v>147.258</x:v>
      </x:c>
      <x:c r="G37" s="17" t="n">
        <x:f>'Share Count'!G10</x:f>
        <x:v>141.847</x:v>
      </x:c>
      <x:c r="H37" s="24" t="n">
        <x:f>'Share Count'!H10</x:f>
        <x:v>141.85</x:v>
      </x:c>
    </x:row>
    <x:row r="38" ht="26.25">
      <x:c r="B38" s="3" t="s">
        <x:v>258</x:v>
      </x:c>
      <x:c r="C38" s="17" t="n">
        <x:f>'Share Count'!C12</x:f>
        <x:v>149.637</x:v>
      </x:c>
      <x:c r="D38" s="17" t="n">
        <x:f>'Share Count'!D12</x:f>
        <x:v>145.864</x:v>
      </x:c>
      <x:c r="E38" s="17" t="n">
        <x:f>'Share Count'!E12</x:f>
        <x:v>141.923</x:v>
      </x:c>
      <x:c r="F38" s="17" t="n">
        <x:f>'Share Count'!F12</x:f>
        <x:v>147.613</x:v>
      </x:c>
      <x:c r="G38" s="17" t="n">
        <x:f>'Share Count'!G12</x:f>
        <x:v>142.148</x:v>
      </x:c>
      <x:c r="H38" s="24" t="n">
        <x:f>'Share Count'!H12</x:f>
        <x:v>142.1</x:v>
      </x:c>
    </x:row>
    <x:row r="39">
      <x:c r="B39" s="3" t="s">
        <x:v>259</x:v>
      </x:c>
      <x:c r="C39" s="5" t="n">
        <x:f>C34/C37</x:f>
        <x:v>0.6388730733935744</x:v>
      </x:c>
      <x:c r="D39" s="5" t="n">
        <x:f>D34/D37</x:f>
        <x:v>0.42745348613515854</x:v>
      </x:c>
      <x:c r="E39" s="5" t="n">
        <x:f>E34/E37</x:f>
        <x:v>-0.8503484283731322</x:v>
      </x:c>
      <x:c r="F39" s="5" t="n">
        <x:f>F34/F37</x:f>
        <x:v>1.6792975593855681</x:v>
      </x:c>
      <x:c r="G39" s="5" t="n">
        <x:f>G34/G37</x:f>
        <x:v>1.3086424104845362</x:v>
      </x:c>
      <x:c r="H39" s="39" t="n">
        <x:f>H34/H37</x:f>
        <x:v>0.6188755727881575</x:v>
      </x:c>
    </x:row>
    <x:row r="40">
      <x:c r="B40" s="15" t="s">
        <x:v>260</x:v>
      </x:c>
      <x:c r="C40" s="38" t="n">
        <x:f>C34/C38</x:f>
        <x:v>0.6373958312449468</x:v>
      </x:c>
      <x:c r="D40" s="38" t="n">
        <x:f>D34/D38</x:f>
        <x:v>0.4265274502276097</x:v>
      </x:c>
      <x:c r="E40" s="38" t="n">
        <x:f>E34/E38</x:f>
        <x:v>-0.8503484283731322</x:v>
      </x:c>
      <x:c r="F40" s="38" t="n">
        <x:f>F34/F38</x:f>
        <x:v>1.675258954157154</x:v>
      </x:c>
      <x:c r="G40" s="38" t="n">
        <x:f>G34/G38</x:f>
        <x:v>1.305871345358359</x:v>
      </x:c>
      <x:c r="H40" s="41" t="n">
        <x:f>H34/H38</x:f>
        <x:v>0.617786769880367</x:v>
      </x:c>
    </x:row>
    <x:row r="41" ht="26.25">
      <x:c r="B41" s="3" t="s">
        <x:v>261</x:v>
      </x:c>
      <x:c r="C41" s="13"/>
      <x:c r="D41" s="13"/>
      <x:c r="E41" s="13"/>
      <x:c r="F41" s="13"/>
      <x:c r="G41" s="13"/>
      <x:c r="H41" s="14"/>
    </x:row>
    <x:row r="42" ht="26.25">
      <x:c r="B42" s="3" t="s">
        <x:v>262</x:v>
      </x:c>
      <x:c r="C42" s="8" t="n">
        <x:f>Inputs!C83</x:f>
        <x:v>0</x:v>
      </x:c>
      <x:c r="D42" s="8" t="n">
        <x:f>Inputs!D83</x:f>
        <x:v>0</x:v>
      </x:c>
      <x:c r="E42" s="8" t="n">
        <x:f>Inputs!E83</x:f>
        <x:v>0.99</x:v>
      </x:c>
      <x:c r="F42" s="8" t="n">
        <x:f>Inputs!F83</x:f>
        <x:v>0.96</x:v>
      </x:c>
      <x:c r="G42" s="8" t="n">
        <x:f>Inputs!G83</x:f>
        <x:v>0</x:v>
      </x:c>
      <x:c r="H42" s="40" t="n">
        <x:f>Inputs!H69</x:f>
        <x:v>0</x:v>
      </x:c>
    </x:row>
    <x:row r="43" ht="26.25">
      <x:c r="B43" s="3" t="s">
        <x:v>263</x:v>
      </x:c>
      <x:c r="C43" s="8" t="n">
        <x:f>Inputs!C84</x:f>
        <x:v>0</x:v>
      </x:c>
      <x:c r="D43" s="8" t="n">
        <x:f>Inputs!D84</x:f>
        <x:v>0.08</x:v>
      </x:c>
      <x:c r="E43" s="8" t="n">
        <x:f>Inputs!E84</x:f>
        <x:v>0.26</x:v>
      </x:c>
      <x:c r="F43" s="8" t="n">
        <x:f>Inputs!F84</x:f>
        <x:v>0.35</x:v>
      </x:c>
      <x:c r="G43" s="8" t="n">
        <x:f>Inputs!G84</x:f>
        <x:v>0</x:v>
      </x:c>
      <x:c r="H43" s="40" t="n">
        <x:f>Inputs!H70</x:f>
        <x:v>0</x:v>
      </x:c>
    </x:row>
    <x:row r="44" ht="26.25">
      <x:c r="B44" s="3" t="s">
        <x:v>264</x:v>
      </x:c>
      <x:c r="C44" s="8" t="n">
        <x:f>Inputs!C85</x:f>
        <x:v>0</x:v>
      </x:c>
      <x:c r="D44" s="8" t="n">
        <x:f>Inputs!D85</x:f>
        <x:v>0</x:v>
      </x:c>
      <x:c r="E44" s="8" t="n">
        <x:f>Inputs!E85</x:f>
        <x:v>-0.06</x:v>
      </x:c>
      <x:c r="F44" s="8" t="n">
        <x:f>Inputs!F85</x:f>
        <x:v>-0.08</x:v>
      </x:c>
      <x:c r="G44" s="8" t="n">
        <x:f>Inputs!G85</x:f>
        <x:v>0</x:v>
      </x:c>
      <x:c r="H44" s="40" t="n">
        <x:f>Inputs!H71</x:f>
        <x:v>0</x:v>
      </x:c>
    </x:row>
    <x:row r="45" ht="26.25">
      <x:c r="B45" s="15" t="s">
        <x:v>265</x:v>
      </x:c>
      <x:c r="C45" s="38" t="n">
        <x:f>SUM(C40,C42:C44)</x:f>
        <x:v>0.6373958312449468</x:v>
      </x:c>
      <x:c r="D45" s="38" t="n">
        <x:f>SUM(D40,D42:D44)</x:f>
        <x:v>0.5065274502276097</x:v>
      </x:c>
      <x:c r="E45" s="38" t="n">
        <x:f>SUM(E40,E42:E44)</x:f>
        <x:v>0.33965157162686777</x:v>
      </x:c>
      <x:c r="F45" s="38" t="n">
        <x:f>SUM(F40,F42:F44)</x:f>
        <x:v>2.905258954157154</x:v>
      </x:c>
      <x:c r="G45" s="38" t="n">
        <x:f>SUM(G40,G42:G44)</x:f>
        <x:v>1.305871345358359</x:v>
      </x:c>
      <x:c r="H45" s="41" t="n">
        <x:f>SUM(H40,H42:H44)</x:f>
        <x:v>0.617786769880367</x:v>
      </x:c>
    </x:row>
    <x:row r="46" ht="26.25">
      <x:c r="B46" s="15" t="s">
        <x:v>266</x:v>
      </x:c>
      <x:c r="C46" s="23" t="n">
        <x:f>C45*C38</x:f>
        <x:v>95.3780000000001</x:v>
      </x:c>
      <x:c r="D46" s="23" t="n">
        <x:f>D45*D38</x:f>
        <x:v>73.88412000000007</x:v>
      </x:c>
      <x:c r="E46" s="23" t="n">
        <x:f>E45*E38</x:f>
        <x:v>48.204369999999955</x:v>
      </x:c>
      <x:c r="F46" s="23" t="n">
        <x:f>F45*F38</x:f>
        <x:v>428.85399</x:v>
      </x:c>
      <x:c r="G46" s="23" t="n">
        <x:f>G45*G38</x:f>
        <x:v>185.627</x:v>
      </x:c>
      <x:c r="H46" s="18" t="n">
        <x:f>H45*H38</x:f>
        <x:v>87.78750000000014</x:v>
      </x:c>
    </x:row>
    <x:row r="47" ht="26.25">
      <x:c r="B47" s="15" t="s">
        <x:v>267</x:v>
      </x:c>
      <x:c r="C47" s="23" t="n">
        <x:f>C45-C46/C38</x:f>
        <x:v>0</x:v>
      </x:c>
      <x:c r="D47" s="23" t="n">
        <x:f>D45-D46/D38</x:f>
        <x:v>0</x:v>
      </x:c>
      <x:c r="E47" s="23" t="n">
        <x:f>E45-E46/E38</x:f>
        <x:v>0</x:v>
      </x:c>
      <x:c r="F47" s="23" t="n">
        <x:f>F45-F46/F38</x:f>
        <x:v>0</x:v>
      </x:c>
      <x:c r="G47" s="23" t="n">
        <x:f>G45-G46/G38</x:f>
        <x:v>0</x:v>
      </x:c>
      <x:c r="H47" s="18" t="n">
        <x:f>H45-H46/H38</x:f>
        <x:v>0</x:v>
      </x:c>
    </x:row>
    <x:row r="48" ht="26.25">
      <x:c r="B48" s="15" t="s">
        <x:v>268</x:v>
      </x:c>
      <x:c r="C48" s="23" t="n">
        <x:f>C40-C34/C38</x:f>
        <x:v>0</x:v>
      </x:c>
      <x:c r="D48" s="23" t="n">
        <x:f>D40-D34/D38</x:f>
        <x:v>0</x:v>
      </x:c>
      <x:c r="E48" s="23" t="n">
        <x:f>E40-E34/E38</x:f>
        <x:v>0</x:v>
      </x:c>
      <x:c r="F48" s="23" t="n">
        <x:f>F40-F34/F38</x:f>
        <x:v>0</x:v>
      </x:c>
      <x:c r="G48" s="23" t="n">
        <x:f>G40-G34/G38</x:f>
        <x:v>0</x:v>
      </x:c>
      <x:c r="H48" s="18" t="n">
        <x:f>H40-H34/H38</x:f>
        <x:v>0</x:v>
      </x:c>
    </x:row>
    <x:row r="49">
      <x:c r="B49" s="2"/>
      <x:c r="C49" s="13"/>
      <x:c r="D49" s="13"/>
      <x:c r="E49" s="13"/>
      <x:c r="F49" s="13"/>
      <x:c r="G49" s="13"/>
      <x:c r="H49" s="14"/>
    </x:row>
    <x:row r="50">
      <x:c r="B50" s="2"/>
      <x:c r="C50" s="13"/>
      <x:c r="D50" s="13"/>
      <x:c r="E50" s="13"/>
      <x:c r="F50" s="13"/>
      <x:c r="G50" s="13"/>
      <x:c r="H50" s="14"/>
    </x:row>
    <x:row r="51">
      <x:c r="B51" s="2"/>
      <x:c r="C51" s="13"/>
      <x:c r="D51" s="13"/>
      <x:c r="E51" s="13"/>
      <x:c r="F51" s="13"/>
      <x:c r="G51" s="13"/>
      <x:c r="H51" s="14"/>
    </x:row>
    <x:row r="52">
      <x:c r="B52" s="2"/>
      <x:c r="C52" s="13"/>
      <x:c r="D52" s="13"/>
      <x:c r="E52" s="13"/>
      <x:c r="F52" s="13"/>
      <x:c r="G52" s="13"/>
      <x:c r="H52" s="14"/>
    </x:row>
    <x:row r="53">
      <x:c r="B53" s="2"/>
      <x:c r="C53" s="13"/>
      <x:c r="D53" s="13"/>
      <x:c r="E53" s="13"/>
      <x:c r="F53" s="13"/>
      <x:c r="G53" s="13"/>
      <x:c r="H53" s="14"/>
    </x:row>
    <x:row r="54">
      <x:c r="B54" s="2"/>
      <x:c r="C54" s="13"/>
      <x:c r="D54" s="13"/>
      <x:c r="E54" s="13"/>
      <x:c r="F54" s="13"/>
      <x:c r="G54" s="13"/>
      <x:c r="H54" s="14"/>
    </x:row>
    <x:row r="55">
      <x:c r="B55" s="2"/>
      <x:c r="C55" s="13"/>
      <x:c r="D55" s="13"/>
      <x:c r="E55" s="13"/>
      <x:c r="F55" s="13"/>
      <x:c r="G55" s="13"/>
      <x:c r="H55" s="14"/>
    </x:row>
    <x:row r="56">
      <x:c r="B56" s="2"/>
      <x:c r="C56" s="13"/>
      <x:c r="D56" s="13"/>
      <x:c r="E56" s="13"/>
      <x:c r="F56" s="13"/>
      <x:c r="G56" s="13"/>
      <x:c r="H56" s="14"/>
    </x:row>
    <x:row r="57">
      <x:c r="B57" s="2"/>
      <x:c r="C57" s="13"/>
      <x:c r="D57" s="13"/>
      <x:c r="E57" s="13"/>
      <x:c r="F57" s="13"/>
      <x:c r="G57" s="13"/>
      <x:c r="H57" s="14"/>
    </x:row>
    <x:row r="58">
      <x:c r="B58" s="2"/>
      <x:c r="C58" s="13"/>
      <x:c r="D58" s="13"/>
      <x:c r="E58" s="13"/>
      <x:c r="F58" s="13"/>
      <x:c r="G58" s="13"/>
      <x:c r="H58" s="14"/>
    </x:row>
    <x:row r="59">
      <x:c r="B59" s="2"/>
      <x:c r="C59" s="13"/>
      <x:c r="D59" s="13"/>
      <x:c r="E59" s="13"/>
      <x:c r="F59" s="13"/>
      <x:c r="G59" s="13"/>
      <x:c r="H59" s="14"/>
    </x:row>
    <x:row r="60">
      <x:c r="B60" s="2"/>
      <x:c r="C60" s="13"/>
      <x:c r="D60" s="13"/>
      <x:c r="E60" s="13"/>
      <x:c r="F60" s="13"/>
      <x:c r="G60" s="13"/>
      <x:c r="H60" s="14"/>
    </x:row>
    <x:row r="61">
      <x:c r="B61" s="2"/>
      <x:c r="C61" s="13"/>
      <x:c r="D61" s="13"/>
      <x:c r="E61" s="13"/>
      <x:c r="F61" s="13"/>
      <x:c r="G61" s="13"/>
      <x:c r="H61" s="14"/>
    </x:row>
    <x:row r="62">
      <x:c r="B62" s="2"/>
      <x:c r="C62" s="13"/>
      <x:c r="D62" s="13"/>
      <x:c r="E62" s="13"/>
      <x:c r="F62" s="13"/>
      <x:c r="G62" s="13"/>
      <x:c r="H62" s="14"/>
    </x:row>
    <x:row r="63">
      <x:c r="B63" s="2"/>
      <x:c r="C63" s="13"/>
      <x:c r="D63" s="13"/>
      <x:c r="E63" s="13"/>
      <x:c r="F63" s="13"/>
      <x:c r="G63" s="13"/>
      <x:c r="H63" s="14"/>
    </x:row>
    <x:row r="64">
      <x:c r="B64" s="2"/>
      <x:c r="C64" s="13"/>
      <x:c r="D64" s="13"/>
      <x:c r="E64" s="13"/>
      <x:c r="F64" s="13"/>
      <x:c r="G64" s="13"/>
      <x:c r="H64" s="14"/>
    </x:row>
    <x:row r="65">
      <x:c r="B65" s="2"/>
      <x:c r="C65" s="13"/>
      <x:c r="D65" s="13"/>
      <x:c r="E65" s="13"/>
      <x:c r="F65" s="13"/>
      <x:c r="G65" s="13"/>
      <x:c r="H65" s="14"/>
    </x:row>
    <x:row r="66">
      <x:c r="B66" s="2"/>
      <x:c r="C66" s="13"/>
      <x:c r="D66" s="13"/>
      <x:c r="E66" s="13"/>
      <x:c r="F66" s="13"/>
      <x:c r="G66" s="13"/>
      <x:c r="H66" s="14"/>
    </x:row>
    <x:row r="67">
      <x:c r="B67" s="2"/>
      <x:c r="C67" s="13"/>
      <x:c r="D67" s="13"/>
      <x:c r="E67" s="13"/>
      <x:c r="F67" s="13"/>
      <x:c r="G67" s="13"/>
      <x:c r="H67" s="14"/>
    </x:row>
    <x:row r="68">
      <x:c r="B68" s="2"/>
      <x:c r="C68" s="13"/>
      <x:c r="D68" s="13"/>
      <x:c r="E68" s="13"/>
      <x:c r="F68" s="13"/>
      <x:c r="G68" s="13"/>
      <x:c r="H68" s="14"/>
    </x:row>
    <x:row r="69">
      <x:c r="B69" s="2"/>
      <x:c r="C69" s="13"/>
      <x:c r="D69" s="13"/>
      <x:c r="E69" s="13"/>
      <x:c r="F69" s="13"/>
      <x:c r="G69" s="13"/>
      <x:c r="H69" s="14"/>
    </x:row>
    <x:row r="70">
      <x:c r="B70" s="2"/>
      <x:c r="C70" s="13"/>
      <x:c r="D70" s="13"/>
      <x:c r="E70" s="13"/>
      <x:c r="F70" s="13"/>
      <x:c r="G70" s="13"/>
      <x:c r="H70" s="14"/>
    </x:row>
    <x:row r="71">
      <x:c r="B71" s="2"/>
      <x:c r="C71" s="13"/>
      <x:c r="D71" s="13"/>
      <x:c r="E71" s="13"/>
      <x:c r="F71" s="13"/>
      <x:c r="G71" s="13"/>
      <x:c r="H71" s="14"/>
    </x:row>
    <x:row r="72">
      <x:c r="B72" s="2"/>
      <x:c r="C72" s="13"/>
      <x:c r="D72" s="13"/>
      <x:c r="E72" s="13"/>
      <x:c r="F72" s="13"/>
      <x:c r="G72" s="13"/>
      <x:c r="H72" s="14"/>
    </x:row>
    <x:row r="73">
      <x:c r="B73" s="2"/>
      <x:c r="C73" s="13"/>
      <x:c r="D73" s="13"/>
      <x:c r="E73" s="13"/>
      <x:c r="F73" s="13"/>
      <x:c r="G73" s="13"/>
      <x:c r="H73" s="14"/>
    </x:row>
    <x:row r="74">
      <x:c r="B74" s="2"/>
      <x:c r="C74" s="13"/>
      <x:c r="D74" s="13"/>
      <x:c r="E74" s="13"/>
      <x:c r="F74" s="13"/>
      <x:c r="G74" s="13"/>
      <x:c r="H74" s="14"/>
    </x:row>
    <x:row r="75">
      <x:c r="B75" s="2"/>
      <x:c r="C75" s="13"/>
      <x:c r="D75" s="13"/>
      <x:c r="E75" s="13"/>
      <x:c r="F75" s="13"/>
      <x:c r="G75" s="13"/>
      <x:c r="H75" s="14"/>
    </x:row>
    <x:row r="76">
      <x:c r="B76" s="2"/>
      <x:c r="C76" s="13"/>
      <x:c r="D76" s="13"/>
      <x:c r="E76" s="13"/>
      <x:c r="F76" s="13"/>
      <x:c r="G76" s="13"/>
      <x:c r="H76" s="14"/>
    </x:row>
    <x:row r="77">
      <x:c r="B77" s="2"/>
      <x:c r="C77" s="13"/>
      <x:c r="D77" s="13"/>
      <x:c r="E77" s="13"/>
      <x:c r="F77" s="13"/>
      <x:c r="G77" s="13"/>
      <x:c r="H77" s="14"/>
    </x:row>
    <x:row r="78">
      <x:c r="B78" s="2"/>
      <x:c r="C78" s="13"/>
      <x:c r="D78" s="13"/>
      <x:c r="E78" s="13"/>
      <x:c r="F78" s="13"/>
      <x:c r="G78" s="13"/>
      <x:c r="H78" s="14"/>
    </x:row>
    <x:row r="79">
      <x:c r="B79" s="2"/>
      <x:c r="C79" s="13"/>
      <x:c r="D79" s="13"/>
      <x:c r="E79" s="13"/>
      <x:c r="F79" s="13"/>
      <x:c r="G79" s="13"/>
      <x:c r="H79" s="14"/>
    </x:row>
    <x:row r="80">
      <x:c r="B80" s="2"/>
      <x:c r="C80" s="13"/>
      <x:c r="D80" s="13"/>
      <x:c r="E80" s="13"/>
      <x:c r="F80" s="13"/>
      <x:c r="G80" s="13"/>
      <x:c r="H80" s="14"/>
    </x:row>
    <x:row r="81">
      <x:c r="B81" s="2"/>
      <x:c r="C81" s="13"/>
      <x:c r="D81" s="13"/>
      <x:c r="E81" s="13"/>
      <x:c r="F81" s="13"/>
      <x:c r="G81" s="13"/>
      <x:c r="H81" s="14"/>
    </x:row>
    <x:row r="82">
      <x:c r="B82" s="2"/>
      <x:c r="C82" s="13"/>
      <x:c r="D82" s="13"/>
      <x:c r="E82" s="13"/>
      <x:c r="F82" s="13"/>
      <x:c r="G82" s="13"/>
      <x:c r="H82" s="14"/>
    </x:row>
    <x:row r="83">
      <x:c r="B83" s="2"/>
      <x:c r="C83" s="13"/>
      <x:c r="D83" s="13"/>
      <x:c r="E83" s="13"/>
      <x:c r="F83" s="13"/>
      <x:c r="G83" s="13"/>
      <x:c r="H83" s="14"/>
    </x:row>
    <x:row r="84">
      <x:c r="B84" s="2"/>
      <x:c r="C84" s="13"/>
      <x:c r="D84" s="13"/>
      <x:c r="E84" s="13"/>
      <x:c r="F84" s="13"/>
      <x:c r="G84" s="13"/>
      <x:c r="H84" s="14"/>
    </x:row>
    <x:row r="85">
      <x:c r="B85" s="2"/>
      <x:c r="C85" s="13"/>
      <x:c r="D85" s="13"/>
      <x:c r="E85" s="13"/>
      <x:c r="F85" s="13"/>
      <x:c r="G85" s="13"/>
      <x:c r="H85" s="14"/>
    </x:row>
    <x:row r="86">
      <x:c r="B86" s="2"/>
      <x:c r="C86" s="13"/>
      <x:c r="D86" s="13"/>
      <x:c r="E86" s="13"/>
      <x:c r="F86" s="13"/>
      <x:c r="G86" s="13"/>
      <x:c r="H86" s="14"/>
    </x:row>
    <x:row r="87">
      <x:c r="B87" s="2"/>
      <x:c r="C87" s="13"/>
      <x:c r="D87" s="13"/>
      <x:c r="E87" s="13"/>
      <x:c r="F87" s="13"/>
      <x:c r="G87" s="13"/>
      <x:c r="H87" s="14"/>
    </x:row>
    <x:row r="88">
      <x:c r="B88" s="2"/>
      <x:c r="C88" s="13"/>
      <x:c r="D88" s="13"/>
      <x:c r="E88" s="13"/>
      <x:c r="F88" s="13"/>
      <x:c r="G88" s="13"/>
      <x:c r="H88" s="14"/>
    </x:row>
    <x:row r="89">
      <x:c r="B89" s="2"/>
      <x:c r="C89" s="13"/>
      <x:c r="D89" s="13"/>
      <x:c r="E89" s="13"/>
      <x:c r="F89" s="13"/>
      <x:c r="G89" s="13"/>
      <x:c r="H89" s="14"/>
    </x:row>
    <x:row r="90">
      <x:c r="B90" s="2"/>
      <x:c r="C90" s="13"/>
      <x:c r="D90" s="13"/>
      <x:c r="E90" s="13"/>
      <x:c r="F90" s="13"/>
      <x:c r="G90" s="13"/>
      <x:c r="H90" s="14"/>
    </x:row>
    <x:row r="91">
      <x:c r="B91" s="2"/>
      <x:c r="C91" s="13"/>
      <x:c r="D91" s="13"/>
      <x:c r="E91" s="13"/>
      <x:c r="F91" s="13"/>
      <x:c r="G91" s="13"/>
      <x:c r="H91" s="14"/>
    </x:row>
    <x:row r="92">
      <x:c r="B92" s="2"/>
      <x:c r="C92" s="13"/>
      <x:c r="D92" s="13"/>
      <x:c r="E92" s="13"/>
      <x:c r="F92" s="13"/>
      <x:c r="G92" s="13"/>
      <x:c r="H92" s="14"/>
    </x:row>
    <x:row r="93">
      <x:c r="B93" s="2"/>
      <x:c r="C93" s="13"/>
      <x:c r="D93" s="13"/>
      <x:c r="E93" s="13"/>
      <x:c r="F93" s="13"/>
      <x:c r="G93" s="13"/>
      <x:c r="H93" s="14"/>
    </x:row>
    <x:row r="94">
      <x:c r="B94" s="2"/>
      <x:c r="C94" s="13"/>
      <x:c r="D94" s="13"/>
      <x:c r="E94" s="13"/>
      <x:c r="F94" s="13"/>
      <x:c r="G94" s="13"/>
      <x:c r="H94" s="14"/>
    </x:row>
    <x:row r="95">
      <x:c r="B95" s="2"/>
      <x:c r="C95" s="13"/>
      <x:c r="D95" s="13"/>
      <x:c r="E95" s="13"/>
      <x:c r="F95" s="13"/>
      <x:c r="G95" s="13"/>
      <x:c r="H95" s="14"/>
    </x:row>
    <x:row r="96">
      <x:c r="B96" s="2"/>
      <x:c r="C96" s="13"/>
      <x:c r="D96" s="13"/>
      <x:c r="E96" s="13"/>
      <x:c r="F96" s="13"/>
      <x:c r="G96" s="13"/>
      <x:c r="H96" s="14"/>
    </x:row>
    <x:row r="97">
      <x:c r="B97" s="2"/>
      <x:c r="C97" s="13"/>
      <x:c r="D97" s="13"/>
      <x:c r="E97" s="13"/>
      <x:c r="F97" s="13"/>
      <x:c r="G97" s="13"/>
      <x:c r="H97" s="14"/>
    </x:row>
    <x:row r="98">
      <x:c r="B98" s="2"/>
      <x:c r="C98" s="13"/>
      <x:c r="D98" s="13"/>
      <x:c r="E98" s="13"/>
      <x:c r="F98" s="13"/>
      <x:c r="G98" s="13"/>
      <x:c r="H98" s="14"/>
    </x:row>
    <x:row r="99">
      <x:c r="B99" s="2"/>
      <x:c r="C99" s="13"/>
      <x:c r="D99" s="13"/>
      <x:c r="E99" s="13"/>
      <x:c r="F99" s="13"/>
      <x:c r="G99" s="13"/>
      <x:c r="H99" s="14"/>
    </x:row>
    <x:row r="100">
      <x:c r="B100" s="2"/>
      <x:c r="C100" s="13"/>
      <x:c r="D100" s="13"/>
      <x:c r="E100" s="13"/>
      <x:c r="F100" s="13"/>
      <x:c r="G100" s="13"/>
      <x:c r="H100" s="14"/>
    </x:row>
    <x:row r="101">
      <x:c r="B101" s="2"/>
      <x:c r="C101" s="13"/>
      <x:c r="D101" s="13"/>
      <x:c r="E101" s="13"/>
      <x:c r="F101" s="13"/>
      <x:c r="G101" s="13"/>
      <x:c r="H101" s="14"/>
    </x:row>
    <x:row r="102">
      <x:c r="B102" s="2"/>
      <x:c r="C102" s="13"/>
      <x:c r="D102" s="13"/>
      <x:c r="E102" s="13"/>
      <x:c r="F102" s="13"/>
      <x:c r="G102" s="13"/>
      <x:c r="H102" s="14"/>
    </x:row>
    <x:row r="103">
      <x:c r="B103" s="2"/>
      <x:c r="C103" s="13"/>
      <x:c r="D103" s="13"/>
      <x:c r="E103" s="13"/>
      <x:c r="F103" s="13"/>
      <x:c r="G103" s="13"/>
      <x:c r="H103" s="14"/>
    </x:row>
    <x:row r="104">
      <x:c r="B104" s="2"/>
      <x:c r="C104" s="13"/>
      <x:c r="D104" s="13"/>
      <x:c r="E104" s="13"/>
      <x:c r="F104" s="13"/>
      <x:c r="G104" s="13"/>
      <x:c r="H104" s="14"/>
    </x:row>
    <x:row r="105">
      <x:c r="B105" s="2"/>
      <x:c r="C105" s="13"/>
      <x:c r="D105" s="13"/>
      <x:c r="E105" s="13"/>
      <x:c r="F105" s="13"/>
      <x:c r="G105" s="13"/>
      <x:c r="H105" s="14"/>
    </x:row>
    <x:row r="106">
      <x:c r="H106" s="1"/>
    </x:row>
    <x:row r="107">
      <x:c r="H107" s="1"/>
    </x:row>
    <x:row r="108">
      <x:c r="H108" s="1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269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3" t="s">
        <x:v>270</x:v>
      </x:c>
      <x:c r="C9" s="13"/>
      <x:c r="D9" s="13"/>
      <x:c r="E9" s="13"/>
      <x:c r="F9" s="13"/>
      <x:c r="G9" s="13"/>
      <x:c r="H9" s="14"/>
    </x:row>
    <x:row r="10">
      <x:c r="B10" s="3" t="s">
        <x:v>271</x:v>
      </x:c>
      <x:c r="C10" s="17" t="n">
        <x:f>Inputs!C48</x:f>
        <x:v>540.374</x:v>
      </x:c>
      <x:c r="D10" s="17" t="n">
        <x:f>Inputs!D48</x:f>
        <x:v>204.938</x:v>
      </x:c>
      <x:c r="E10" s="17" t="n">
        <x:f>Inputs!E48</x:f>
        <x:v>122.826</x:v>
      </x:c>
      <x:c r="F10" s="17" t="n">
        <x:f>Inputs!F48</x:f>
        <x:v>122.826</x:v>
      </x:c>
      <x:c r="G10" s="17" t="n">
        <x:f>Inputs!G48</x:f>
        <x:v>132.223</x:v>
      </x:c>
      <x:c r="H10" s="24" t="n">
        <x:f>'Cash Flow Statement'!H23-H11-H12</x:f>
        <x:v>85.01049999999978</x:v>
      </x:c>
    </x:row>
    <x:row r="11">
      <x:c r="B11" s="3" t="s">
        <x:v>272</x:v>
      </x:c>
      <x:c r="C11" s="17" t="n">
        <x:f>Inputs!C49</x:f>
        <x:v>618.792</x:v>
      </x:c>
      <x:c r="D11" s="17" t="n">
        <x:f>Inputs!D49</x:f>
        <x:v>567.398</x:v>
      </x:c>
      <x:c r="E11" s="17" t="n">
        <x:f>Inputs!E49</x:f>
        <x:v>592.033</x:v>
      </x:c>
      <x:c r="F11" s="17" t="n">
        <x:f>Inputs!F49</x:f>
        <x:v>592.033</x:v>
      </x:c>
      <x:c r="G11" s="17" t="n">
        <x:f>Inputs!G49</x:f>
        <x:v>595.1030000000001</x:v>
      </x:c>
      <x:c r="H11" s="14" t="n">
        <x:f>G11</x:f>
        <x:v>595.1030000000001</x:v>
      </x:c>
    </x:row>
    <x:row r="12" ht="26.25">
      <x:c r="B12" s="3" t="s">
        <x:v>273</x:v>
      </x:c>
      <x:c r="C12" s="17" t="n">
        <x:f>Inputs!C62</x:f>
        <x:v>146.009</x:v>
      </x:c>
      <x:c r="D12" s="17" t="n">
        <x:f>Inputs!D62</x:f>
        <x:v>140.467</x:v>
      </x:c>
      <x:c r="E12" s="17" t="n">
        <x:f>Inputs!E62</x:f>
        <x:v>147.991</x:v>
      </x:c>
      <x:c r="F12" s="17" t="n">
        <x:f>Inputs!F62</x:f>
        <x:v>147.991</x:v>
      </x:c>
      <x:c r="G12" s="17" t="n">
        <x:f>Inputs!G62</x:f>
        <x:v>144.008</x:v>
      </x:c>
      <x:c r="H12" s="14" t="n">
        <x:f>G12</x:f>
        <x:v>144.008</x:v>
      </x:c>
    </x:row>
    <x:row r="13">
      <x:c r="B13" s="3" t="s">
        <x:v>274</x:v>
      </x:c>
      <x:c r="C13" s="17" t="n">
        <x:f>Inputs!C51</x:f>
        <x:v>921.928</x:v>
      </x:c>
      <x:c r="D13" s="17" t="n">
        <x:f>Inputs!D51</x:f>
        <x:v>0</x:v>
      </x:c>
      <x:c r="E13" s="17" t="n">
        <x:f>Inputs!E51</x:f>
        <x:v>100.491</x:v>
      </x:c>
      <x:c r="F13" s="17" t="n">
        <x:f>Inputs!F51</x:f>
        <x:v>100.491</x:v>
      </x:c>
      <x:c r="G13" s="17" t="n">
        <x:f>Inputs!G51</x:f>
        <x:v>618.979</x:v>
      </x:c>
      <x:c r="H13" s="24" t="n">
        <x:f>G13-'Cash Flow Statement'!H41</x:f>
        <x:v>678.979</x:v>
      </x:c>
    </x:row>
    <x:row r="14">
      <x:c r="B14" s="3" t="s">
        <x:v>275</x:v>
      </x:c>
      <x:c r="C14" s="17" t="n">
        <x:f>Inputs!C50</x:f>
        <x:v>173.556</x:v>
      </x:c>
      <x:c r="D14" s="17" t="n">
        <x:f>Inputs!D50</x:f>
        <x:v>151.102</x:v>
      </x:c>
      <x:c r="E14" s="17" t="n">
        <x:f>Inputs!E50</x:f>
        <x:v>204.453</x:v>
      </x:c>
      <x:c r="F14" s="17" t="n">
        <x:f>Inputs!F50</x:f>
        <x:v>204.453</x:v>
      </x:c>
      <x:c r="G14" s="17" t="n">
        <x:f>Inputs!G50</x:f>
        <x:v>263.919</x:v>
      </x:c>
      <x:c r="H14" s="24" t="n">
        <x:f>G14-'Cash Flow Statement'!H40</x:f>
        <x:v>293.919</x:v>
      </x:c>
    </x:row>
    <x:row r="15">
      <x:c r="B15" s="3" t="s">
        <x:v>276</x:v>
      </x:c>
      <x:c r="C15" s="17" t="n">
        <x:f>Inputs!C52</x:f>
        <x:v>3149.57</x:v>
      </x:c>
      <x:c r="D15" s="17" t="n">
        <x:f>Inputs!D52</x:f>
        <x:v>3127.948</x:v>
      </x:c>
      <x:c r="E15" s="17" t="n">
        <x:f>Inputs!E52</x:f>
        <x:v>4137.005</x:v>
      </x:c>
      <x:c r="F15" s="17" t="n">
        <x:f>Inputs!F52</x:f>
        <x:v>4137.005</x:v>
      </x:c>
      <x:c r="G15" s="17" t="n">
        <x:f>Inputs!G52</x:f>
        <x:v>4062.765</x:v>
      </x:c>
      <x:c r="H15" s="24" t="n">
        <x:f>G15-'Cash Flow Statement'!H42</x:f>
        <x:v>4142.764999999999</x:v>
      </x:c>
    </x:row>
    <x:row r="16">
      <x:c r="B16" s="3" t="s">
        <x:v>277</x:v>
      </x:c>
      <x:c r="C16" s="17" t="n">
        <x:f>Inputs!C53</x:f>
        <x:v>137.798</x:v>
      </x:c>
      <x:c r="D16" s="17" t="n">
        <x:f>Inputs!D53</x:f>
        <x:v>146.81900000000002</x:v>
      </x:c>
      <x:c r="E16" s="17" t="n">
        <x:f>Inputs!E53</x:f>
        <x:v>153.594</x:v>
      </x:c>
      <x:c r="F16" s="17" t="n">
        <x:f>Inputs!F53</x:f>
        <x:v>153.594</x:v>
      </x:c>
      <x:c r="G16" s="17" t="n">
        <x:f>Inputs!G53</x:f>
        <x:v>161.34</x:v>
      </x:c>
      <x:c r="H16" s="14" t="n">
        <x:f>G16</x:f>
        <x:v>161.34</x:v>
      </x:c>
    </x:row>
    <x:row r="17">
      <x:c r="B17" s="15" t="s">
        <x:v>278</x:v>
      </x:c>
      <x:c r="C17" s="23" t="n">
        <x:f>SUM(C10:C11,C13:C16)</x:f>
        <x:v>5542.018</x:v>
      </x:c>
      <x:c r="D17" s="23" t="n">
        <x:f>SUM(D10:D11,D13:D16)</x:f>
        <x:v>4198.205</x:v>
      </x:c>
      <x:c r="E17" s="23" t="n">
        <x:f>SUM(E10:E11,E13:E16)</x:f>
        <x:v>5310.402000000001</x:v>
      </x:c>
      <x:c r="F17" s="23" t="n">
        <x:f>SUM(F10:F11,F13:F16)</x:f>
        <x:v>5310.402000000001</x:v>
      </x:c>
      <x:c r="G17" s="23" t="n">
        <x:f>SUM(G10:G11,G13:G16)</x:f>
        <x:v>5834.329</x:v>
      </x:c>
      <x:c r="H17" s="18" t="n">
        <x:f>SUM(H10:H11,H13:H16)</x:f>
        <x:v>5957.116499999999</x:v>
      </x:c>
    </x:row>
    <x:row r="18" ht="26.25">
      <x:c r="B18" s="3" t="s">
        <x:v>279</x:v>
      </x:c>
      <x:c r="C18" s="17" t="n">
        <x:f>Inputs!C54</x:f>
        <x:v>16386.236</x:v>
      </x:c>
      <x:c r="D18" s="17" t="n">
        <x:f>Inputs!D54</x:f>
        <x:v>16151.162</x:v>
      </x:c>
      <x:c r="E18" s="17" t="n">
        <x:f>Inputs!E54</x:f>
        <x:v>15952.291</x:v>
      </x:c>
      <x:c r="F18" s="17" t="n">
        <x:f>Inputs!F54</x:f>
        <x:v>15952.291</x:v>
      </x:c>
      <x:c r="G18" s="17" t="n">
        <x:f>Inputs!G54</x:f>
        <x:v>15689.952</x:v>
      </x:c>
      <x:c r="H18" s="24" t="n">
        <x:f>G18-'Cash Flow Statement'!H44+'Segment - Auto Finance'!H19+Inputs!H228</x:f>
        <x:v>15623.952</x:v>
      </x:c>
    </x:row>
    <x:row r="19">
      <x:c r="B19" s="3" t="s">
        <x:v>280</x:v>
      </x:c>
      <x:c r="C19" s="17" t="n">
        <x:f>Inputs!C55</x:f>
        <x:v>3969.003</x:v>
      </x:c>
      <x:c r="D19" s="17" t="n">
        <x:f>Inputs!D55</x:f>
        <x:v>4023.465</x:v>
      </x:c>
      <x:c r="E19" s="17" t="n">
        <x:f>Inputs!E55</x:f>
        <x:v>4070.293</x:v>
      </x:c>
      <x:c r="F19" s="17" t="n">
        <x:f>Inputs!F55</x:f>
        <x:v>4070.293</x:v>
      </x:c>
      <x:c r="G19" s="17" t="n">
        <x:f>Inputs!G55</x:f>
        <x:v>4079.993</x:v>
      </x:c>
      <x:c r="H19" s="14" t="n">
        <x:f>G19-'Cash Flow Statement'!H51-'Income Statement'!H27</x:f>
        <x:v>4110.993</x:v>
      </x:c>
    </x:row>
    <x:row r="20">
      <x:c r="B20" s="3" t="s">
        <x:v>281</x:v>
      </x:c>
      <x:c r="C20" s="17" t="n">
        <x:f>Inputs!C56</x:f>
        <x:v>105.729</x:v>
      </x:c>
      <x:c r="D20" s="17" t="n">
        <x:f>Inputs!D56</x:f>
        <x:v>73.45100000000001</x:v>
      </x:c>
      <x:c r="E20" s="17" t="n">
        <x:f>Inputs!E56</x:f>
        <x:v>78.479</x:v>
      </x:c>
      <x:c r="F20" s="17" t="n">
        <x:f>Inputs!F56</x:f>
        <x:v>78.479</x:v>
      </x:c>
      <x:c r="G20" s="17" t="n">
        <x:f>Inputs!G56</x:f>
        <x:v>72.917</x:v>
      </x:c>
      <x:c r="H20" s="14" t="n">
        <x:f>G20</x:f>
        <x:v>72.917</x:v>
      </x:c>
    </x:row>
    <x:row r="21">
      <x:c r="B21" s="3" t="s">
        <x:v>282</x:v>
      </x:c>
      <x:c r="C21" s="17" t="n">
        <x:f>Inputs!C57</x:f>
        <x:v>476.367</x:v>
      </x:c>
      <x:c r="D21" s="17" t="n">
        <x:f>Inputs!D57</x:f>
        <x:v>475.078</x:v>
      </x:c>
      <x:c r="E21" s="17" t="n">
        <x:f>Inputs!E57</x:f>
        <x:v>459.514</x:v>
      </x:c>
      <x:c r="F21" s="17" t="n">
        <x:f>Inputs!F57</x:f>
        <x:v>459.514</x:v>
      </x:c>
      <x:c r="G21" s="17" t="n">
        <x:f>Inputs!G57</x:f>
        <x:v>451.441</x:v>
      </x:c>
      <x:c r="H21" s="14" t="n">
        <x:f>G21</x:f>
        <x:v>451.441</x:v>
      </x:c>
    </x:row>
    <x:row r="22">
      <x:c r="B22" s="3" t="s">
        <x:v>283</x:v>
      </x:c>
      <x:c r="C22" s="17" t="n">
        <x:f>Inputs!C58</x:f>
        <x:v>141.258</x:v>
      </x:c>
      <x:c r="D22" s="17" t="n">
        <x:f>Inputs!D58</x:f>
        <x:v>141.258</x:v>
      </x:c>
      <x:c r="E22" s="17" t="n">
        <x:f>Inputs!E58</x:f>
        <x:v>0</x:v>
      </x:c>
      <x:c r="F22" s="17" t="n">
        <x:f>Inputs!F58</x:f>
        <x:v>0</x:v>
      </x:c>
      <x:c r="G22" s="17" t="n">
        <x:f>Inputs!G58</x:f>
        <x:v>0</x:v>
      </x:c>
      <x:c r="H22" s="14" t="n">
        <x:f>G22</x:f>
        <x:v>0</x:v>
      </x:c>
    </x:row>
    <x:row r="23">
      <x:c r="B23" s="3" t="s">
        <x:v>284</x:v>
      </x:c>
      <x:c r="C23" s="17" t="n">
        <x:f>Inputs!C59</x:f>
        <x:v>459.033</x:v>
      </x:c>
      <x:c r="D23" s="17" t="n">
        <x:f>Inputs!D59</x:f>
        <x:v>499.736</x:v>
      </x:c>
      <x:c r="E23" s="17" t="n">
        <x:f>Inputs!E59</x:f>
        <x:v>496.924</x:v>
      </x:c>
      <x:c r="F23" s="17" t="n">
        <x:f>Inputs!F59</x:f>
        <x:v>496.924</x:v>
      </x:c>
      <x:c r="G23" s="17" t="n">
        <x:f>Inputs!G59</x:f>
        <x:v>498.266</x:v>
      </x:c>
      <x:c r="H23" s="14" t="n">
        <x:f>G23</x:f>
        <x:v>498.266</x:v>
      </x:c>
    </x:row>
    <x:row r="24">
      <x:c r="B24" s="15" t="s">
        <x:v>285</x:v>
      </x:c>
      <x:c r="C24" s="23" t="n">
        <x:f>SUM(C17:C23)</x:f>
        <x:v>27079.644</x:v>
      </x:c>
      <x:c r="D24" s="23" t="n">
        <x:f>SUM(D17:D23)</x:f>
        <x:v>25562.355000000003</x:v>
      </x:c>
      <x:c r="E24" s="23" t="n">
        <x:f>SUM(E17:E23)</x:f>
        <x:v>26367.903</x:v>
      </x:c>
      <x:c r="F24" s="23" t="n">
        <x:f>SUM(F17:F23)</x:f>
        <x:v>26367.903</x:v>
      </x:c>
      <x:c r="G24" s="23" t="n">
        <x:f>SUM(G17:G23)</x:f>
        <x:v>26626.897999999997</x:v>
      </x:c>
      <x:c r="H24" s="18" t="n">
        <x:f>SUM(H17:H23)</x:f>
        <x:v>26714.685499999996</x:v>
      </x:c>
    </x:row>
    <x:row r="25" ht="26.25">
      <x:c r="B25" s="3" t="s">
        <x:v>286</x:v>
      </x:c>
      <x:c r="C25" s="13"/>
      <x:c r="D25" s="13"/>
      <x:c r="E25" s="13"/>
      <x:c r="F25" s="13"/>
      <x:c r="G25" s="13"/>
      <x:c r="H25" s="14"/>
    </x:row>
    <x:row r="26">
      <x:c r="B26" s="3" t="s">
        <x:v>287</x:v>
      </x:c>
      <x:c r="C26" s="17" t="n">
        <x:f>Inputs!C86</x:f>
        <x:v>913.35</x:v>
      </x:c>
      <x:c r="D26" s="17" t="n">
        <x:f>Inputs!D86</x:f>
        <x:v>887.496</x:v>
      </x:c>
      <x:c r="E26" s="17" t="n">
        <x:f>Inputs!E86</x:f>
        <x:v>1117.976</x:v>
      </x:c>
      <x:c r="F26" s="17" t="n">
        <x:f>Inputs!F86</x:f>
        <x:v>1117.976</x:v>
      </x:c>
      <x:c r="G26" s="17" t="n">
        <x:f>Inputs!G86</x:f>
        <x:v>1056.719</x:v>
      </x:c>
      <x:c r="H26" s="24" t="n">
        <x:f>G26+'Cash Flow Statement'!H46</x:f>
        <x:v>1076.719</x:v>
      </x:c>
    </x:row>
    <x:row r="27" ht="26.25">
      <x:c r="B27" s="3" t="s">
        <x:v>288</x:v>
      </x:c>
      <x:c r="C27" s="17" t="n">
        <x:f>Inputs!C87</x:f>
        <x:v>477.994</x:v>
      </x:c>
      <x:c r="D27" s="17" t="n">
        <x:f>Inputs!D87</x:f>
        <x:v>418.021</x:v>
      </x:c>
      <x:c r="E27" s="17" t="n">
        <x:f>Inputs!E87</x:f>
        <x:v>475.495</x:v>
      </x:c>
      <x:c r="F27" s="17" t="n">
        <x:f>Inputs!F87</x:f>
        <x:v>475.495</x:v>
      </x:c>
      <x:c r="G27" s="17" t="n">
        <x:f>Inputs!G87</x:f>
        <x:v>417.841</x:v>
      </x:c>
      <x:c r="H27" s="14" t="n">
        <x:f>G27</x:f>
        <x:v>417.841</x:v>
      </x:c>
    </x:row>
    <x:row r="28">
      <x:c r="B28" s="3" t="s">
        <x:v>289</x:v>
      </x:c>
      <x:c r="C28" s="17" t="n">
        <x:f>Inputs!C88</x:f>
        <x:v>4.871</x:v>
      </x:c>
      <x:c r="D28" s="17" t="n">
        <x:f>Inputs!D88</x:f>
        <x:v>4.079</x:v>
      </x:c>
      <x:c r="E28" s="17" t="n">
        <x:f>Inputs!E88</x:f>
        <x:v>2.019</x:v>
      </x:c>
      <x:c r="F28" s="17" t="n">
        <x:f>Inputs!F88</x:f>
        <x:v>2.019</x:v>
      </x:c>
      <x:c r="G28" s="17" t="n">
        <x:f>Inputs!G88</x:f>
        <x:v>54.191</x:v>
      </x:c>
      <x:c r="H28" s="14" t="n">
        <x:f>G28</x:f>
        <x:v>54.191</x:v>
      </x:c>
    </x:row>
    <x:row r="29" ht="26.25">
      <x:c r="B29" s="3" t="s">
        <x:v>290</x:v>
      </x:c>
      <x:c r="C29" s="17" t="n">
        <x:f>Inputs!C89</x:f>
        <x:v>57.948</x:v>
      </x:c>
      <x:c r="D29" s="17" t="n">
        <x:f>Inputs!D89</x:f>
        <x:v>57.173</x:v>
      </x:c>
      <x:c r="E29" s="17" t="n">
        <x:f>Inputs!E89</x:f>
        <x:v>57.341</x:v>
      </x:c>
      <x:c r="F29" s="17" t="n">
        <x:f>Inputs!F89</x:f>
        <x:v>57.341</x:v>
      </x:c>
      <x:c r="G29" s="17" t="n">
        <x:f>Inputs!G89</x:f>
        <x:v>56.988</x:v>
      </x:c>
      <x:c r="H29" s="14" t="n">
        <x:f>G29</x:f>
        <x:v>56.988</x:v>
      </x:c>
    </x:row>
    <x:row r="30">
      <x:c r="B30" s="3" t="s">
        <x:v>291</x:v>
      </x:c>
      <x:c r="C30" s="17" t="n">
        <x:f>Inputs!C90</x:f>
        <x:v>216.855</x:v>
      </x:c>
      <x:c r="D30" s="17" t="n">
        <x:f>Inputs!D90</x:f>
        <x:v>216.901</x:v>
      </x:c>
      <x:c r="E30" s="17" t="n">
        <x:f>Inputs!E90</x:f>
        <x:v>217.323</x:v>
      </x:c>
      <x:c r="F30" s="17" t="n">
        <x:f>Inputs!F90</x:f>
        <x:v>217.323</x:v>
      </x:c>
      <x:c r="G30" s="17" t="n">
        <x:f>Inputs!G90</x:f>
        <x:v>17.234</x:v>
      </x:c>
      <x:c r="H30" s="14" t="n">
        <x:f>G30</x:f>
        <x:v>17.234</x:v>
      </x:c>
    </x:row>
    <x:row r="31">
      <x:c r="B31" s="3" t="s">
        <x:v>292</x:v>
      </x:c>
      <x:c r="C31" s="17" t="n">
        <x:f>Inputs!C91</x:f>
        <x:v>581.018</x:v>
      </x:c>
      <x:c r="D31" s="17" t="n">
        <x:f>Inputs!D91</x:f>
        <x:v>522.571</x:v>
      </x:c>
      <x:c r="E31" s="17" t="n">
        <x:f>Inputs!E91</x:f>
        <x:v>544.651</x:v>
      </x:c>
      <x:c r="F31" s="17" t="n">
        <x:f>Inputs!F91</x:f>
        <x:v>544.651</x:v>
      </x:c>
      <x:c r="G31" s="17" t="n">
        <x:f>Inputs!G91</x:f>
        <x:v>554.081</x:v>
      </x:c>
      <x:c r="H31" s="14" t="n">
        <x:f>G31</x:f>
        <x:v>554.081</x:v>
      </x:c>
    </x:row>
    <x:row r="32">
      <x:c r="B32" s="15" t="s">
        <x:v>293</x:v>
      </x:c>
      <x:c r="C32" s="23" t="n">
        <x:f>SUM(C26:C31)</x:f>
        <x:v>2252.036</x:v>
      </x:c>
      <x:c r="D32" s="23" t="n">
        <x:f>SUM(D26:D31)</x:f>
        <x:v>2106.241</x:v>
      </x:c>
      <x:c r="E32" s="23" t="n">
        <x:f>SUM(E26:E31)</x:f>
        <x:v>2414.805</x:v>
      </x:c>
      <x:c r="F32" s="23" t="n">
        <x:f>SUM(F26:F31)</x:f>
        <x:v>2414.805</x:v>
      </x:c>
      <x:c r="G32" s="23" t="n">
        <x:f>SUM(G26:G31)</x:f>
        <x:v>2157.054</x:v>
      </x:c>
      <x:c r="H32" s="18" t="n">
        <x:f>SUM(H26:H31)</x:f>
        <x:v>2177.054</x:v>
      </x:c>
    </x:row>
    <x:row r="33">
      <x:c r="B33" s="3" t="s">
        <x:v>294</x:v>
      </x:c>
      <x:c r="C33" s="17" t="n">
        <x:f>Inputs!C92</x:f>
        <x:v>1369.764</x:v>
      </x:c>
      <x:c r="D33" s="17" t="n">
        <x:f>Inputs!D92</x:f>
        <x:v>1169.768</x:v>
      </x:c>
      <x:c r="E33" s="17" t="n">
        <x:f>Inputs!E92</x:f>
        <x:v>2006.217</x:v>
      </x:c>
      <x:c r="F33" s="17" t="n">
        <x:f>Inputs!F92</x:f>
        <x:v>2006.217</x:v>
      </x:c>
      <x:c r="G33" s="17" t="n">
        <x:f>Inputs!G92</x:f>
        <x:v>2061.271</x:v>
      </x:c>
      <x:c r="H33" s="24" t="n">
        <x:f>G33+Inputs!H74</x:f>
        <x:v>2041.2710000000002</x:v>
      </x:c>
    </x:row>
    <x:row r="34" ht="26.25">
      <x:c r="B34" s="3" t="s">
        <x:v>295</x:v>
      </x:c>
      <x:c r="C34" s="17" t="n">
        <x:f>Inputs!C93</x:f>
        <x:v>16447.623</x:v>
      </x:c>
      <x:c r="D34" s="17" t="n">
        <x:f>Inputs!D93</x:f>
        <x:v>15417.006</x:v>
      </x:c>
      <x:c r="E34" s="17" t="n">
        <x:f>Inputs!E93</x:f>
        <x:v>15254.33</x:v>
      </x:c>
      <x:c r="F34" s="17" t="n">
        <x:f>Inputs!F93</x:f>
        <x:v>15254.33</x:v>
      </x:c>
      <x:c r="G34" s="17" t="n">
        <x:f>Inputs!G93</x:f>
        <x:v>15499.705</x:v>
      </x:c>
      <x:c r="H34" s="14" t="n">
        <x:f>G34</x:f>
        <x:v>15499.705</x:v>
      </x:c>
    </x:row>
    <x:row r="35" ht="26.25">
      <x:c r="B35" s="3" t="s">
        <x:v>296</x:v>
      </x:c>
      <x:c r="C35" s="17" t="n">
        <x:f>Inputs!C94</x:f>
        <x:v>463.844</x:v>
      </x:c>
      <x:c r="D35" s="17" t="n">
        <x:f>Inputs!D94</x:f>
        <x:v>462.391</x:v>
      </x:c>
      <x:c r="E35" s="17" t="n">
        <x:f>Inputs!E94</x:f>
        <x:v>464.696</x:v>
      </x:c>
      <x:c r="F35" s="17" t="n">
        <x:f>Inputs!F94</x:f>
        <x:v>464.696</x:v>
      </x:c>
      <x:c r="G35" s="17" t="n">
        <x:f>Inputs!G94</x:f>
        <x:v>453.352</x:v>
      </x:c>
      <x:c r="H35" s="14" t="n">
        <x:f>G35</x:f>
        <x:v>453.352</x:v>
      </x:c>
    </x:row>
    <x:row r="36">
      <x:c r="B36" s="3" t="s">
        <x:v>297</x:v>
      </x:c>
      <x:c r="C36" s="17" t="n">
        <x:f>Inputs!C95</x:f>
        <x:v>345.855</x:v>
      </x:c>
      <x:c r="D36" s="17" t="n">
        <x:f>Inputs!D95</x:f>
        <x:v>342.415</x:v>
      </x:c>
      <x:c r="E36" s="17" t="n">
        <x:f>Inputs!E95</x:f>
        <x:v>338.999</x:v>
      </x:c>
      <x:c r="F36" s="17" t="n">
        <x:f>Inputs!F95</x:f>
        <x:v>338.999</x:v>
      </x:c>
      <x:c r="G36" s="17" t="n">
        <x:f>Inputs!G95</x:f>
        <x:v>336.931</x:v>
      </x:c>
      <x:c r="H36" s="24" t="n">
        <x:f>G36+'Cash Flow Statement'!H47</x:f>
        <x:v>314.931</x:v>
      </x:c>
    </x:row>
    <x:row r="37">
      <x:c r="B37" s="15" t="s">
        <x:v>298</x:v>
      </x:c>
      <x:c r="C37" s="23" t="n">
        <x:f>SUM(C32:C36)</x:f>
        <x:v>20879.122</x:v>
      </x:c>
      <x:c r="D37" s="23" t="n">
        <x:f>SUM(D32:D36)</x:f>
        <x:v>19497.821</x:v>
      </x:c>
      <x:c r="E37" s="23" t="n">
        <x:f>SUM(E32:E36)</x:f>
        <x:v>20479.047</x:v>
      </x:c>
      <x:c r="F37" s="23" t="n">
        <x:f>SUM(F32:F36)</x:f>
        <x:v>20479.047</x:v>
      </x:c>
      <x:c r="G37" s="23" t="n">
        <x:f>SUM(G32:G36)</x:f>
        <x:v>20508.313</x:v>
      </x:c>
      <x:c r="H37" s="18" t="n">
        <x:f>SUM(H32:H36)</x:f>
        <x:v>20486.313</x:v>
      </x:c>
    </x:row>
    <x:row r="38">
      <x:c r="B38" s="3"/>
      <x:c r="C38" s="13"/>
      <x:c r="D38" s="13"/>
      <x:c r="E38" s="13"/>
      <x:c r="F38" s="13"/>
      <x:c r="G38" s="13"/>
      <x:c r="H38" s="14"/>
    </x:row>
    <x:row r="39">
      <x:c r="B39" s="3" t="s">
        <x:v>299</x:v>
      </x:c>
      <x:c r="C39" s="17" t="n">
        <x:f>Inputs!C96</x:f>
        <x:v>73.837</x:v>
      </x:c>
      <x:c r="D39" s="17" t="n">
        <x:f>Inputs!D96</x:f>
        <x:v>71.531</x:v>
      </x:c>
      <x:c r="E39" s="17" t="n">
        <x:f>Inputs!E96</x:f>
        <x:v>70.9</x:v>
      </x:c>
      <x:c r="F39" s="17" t="n">
        <x:f>Inputs!F96</x:f>
        <x:v>70.9</x:v>
      </x:c>
      <x:c r="G39" s="17" t="n">
        <x:f>Inputs!G96</x:f>
        <x:v>70.955</x:v>
      </x:c>
      <x:c r="H39" s="14" t="n">
        <x:f>G39</x:f>
        <x:v>70.955</x:v>
      </x:c>
    </x:row>
    <x:row r="40">
      <x:c r="B40" s="3" t="s">
        <x:v>300</x:v>
      </x:c>
      <x:c r="C40" s="17" t="n">
        <x:f>Inputs!C97</x:f>
        <x:v>1873.377</x:v>
      </x:c>
      <x:c r="D40" s="17" t="n">
        <x:f>Inputs!D97</x:f>
        <x:v>1824.142</x:v>
      </x:c>
      <x:c r="E40" s="17" t="n">
        <x:f>Inputs!E97</x:f>
        <x:v>1810.223</x:v>
      </x:c>
      <x:c r="F40" s="17" t="n">
        <x:f>Inputs!F97</x:f>
        <x:v>1810.223</x:v>
      </x:c>
      <x:c r="G40" s="17" t="n">
        <x:f>Inputs!G97</x:f>
        <x:v>1834.058</x:v>
      </x:c>
      <x:c r="H40" s="14" t="n">
        <x:f>G40+'Cash Flow Statement'!H33</x:f>
        <x:v>1856.058</x:v>
      </x:c>
    </x:row>
    <x:row r="41" ht="26.25">
      <x:c r="B41" s="3" t="s">
        <x:v>301</x:v>
      </x:c>
      <x:c r="C41" s="17" t="n">
        <x:f>Inputs!C98</x:f>
        <x:v>-21.306</x:v>
      </x:c>
      <x:c r="D41" s="17" t="n">
        <x:f>Inputs!D98</x:f>
        <x:v>-27.28</x:v>
      </x:c>
      <x:c r="E41" s="17" t="n">
        <x:f>Inputs!E98</x:f>
        <x:v>-34.126</x:v>
      </x:c>
      <x:c r="F41" s="17" t="n">
        <x:f>Inputs!F98</x:f>
        <x:v>-34.126</x:v>
      </x:c>
      <x:c r="G41" s="17" t="n">
        <x:f>Inputs!G98</x:f>
        <x:v>-13.914</x:v>
      </x:c>
      <x:c r="H41" s="14" t="n">
        <x:f>G41</x:f>
        <x:v>-13.914</x:v>
      </x:c>
    </x:row>
    <x:row r="42">
      <x:c r="B42" s="3" t="s">
        <x:v>302</x:v>
      </x:c>
      <x:c r="C42" s="17" t="n">
        <x:f>Inputs!C99</x:f>
        <x:v>4274.614</x:v>
      </x:c>
      <x:c r="D42" s="17" t="n">
        <x:f>Inputs!D99</x:f>
        <x:v>4196.141</x:v>
      </x:c>
      <x:c r="E42" s="17" t="n">
        <x:f>Inputs!E99</x:f>
        <x:v>4041.859</x:v>
      </x:c>
      <x:c r="F42" s="17" t="n">
        <x:f>Inputs!F99</x:f>
        <x:v>4041.859</x:v>
      </x:c>
      <x:c r="G42" s="17" t="n">
        <x:f>Inputs!G99</x:f>
        <x:v>4227.486</x:v>
      </x:c>
      <x:c r="H42" s="24" t="n">
        <x:f>G42+'Income Statement'!H34</x:f>
        <x:v>4315.2735</x:v>
      </x:c>
    </x:row>
    <x:row r="43">
      <x:c r="B43" s="15" t="s">
        <x:v>303</x:v>
      </x:c>
      <x:c r="C43" s="23" t="n">
        <x:f>SUM(C39:C42)</x:f>
        <x:v>6200.521999999999</x:v>
      </x:c>
      <x:c r="D43" s="23" t="n">
        <x:f>SUM(D39:D42)</x:f>
        <x:v>6064.534</x:v>
      </x:c>
      <x:c r="E43" s="23" t="n">
        <x:f>SUM(E39:E42)</x:f>
        <x:v>5888.856</x:v>
      </x:c>
      <x:c r="F43" s="23" t="n">
        <x:f>SUM(F39:F42)</x:f>
        <x:v>5888.856</x:v>
      </x:c>
      <x:c r="G43" s="23" t="n">
        <x:f>SUM(G39:G42)</x:f>
        <x:v>6118.585</x:v>
      </x:c>
      <x:c r="H43" s="18" t="n">
        <x:f>SUM(H39:H42)</x:f>
        <x:v>6228.3725</x:v>
      </x:c>
    </x:row>
    <x:row r="44" ht="26.25">
      <x:c r="B44" s="15" t="s">
        <x:v>304</x:v>
      </x:c>
      <x:c r="C44" s="23" t="n">
        <x:f>C24-C37-C43</x:f>
        <x:v>1.8189894035458565e-12</x:v>
      </x:c>
      <x:c r="D44" s="23" t="n">
        <x:f>D24-D37-D43</x:f>
        <x:v>3.637978807091713e-12</x:v>
      </x:c>
      <x:c r="E44" s="23" t="n">
        <x:f>E24-E37-E43</x:f>
        <x:v>0</x:v>
      </x:c>
      <x:c r="F44" s="23" t="n">
        <x:f>F24-F37-F43</x:f>
        <x:v>0</x:v>
      </x:c>
      <x:c r="G44" s="23" t="n">
        <x:f>G24-G37-G43</x:f>
        <x:v>-9.094947017729282e-13</x:v>
      </x:c>
      <x:c r="H44" s="18" t="n">
        <x:f>H24-H37-H43</x:f>
        <x:v>-2.7284841053187847e-12</x:v>
      </x:c>
    </x:row>
    <x:row r="45" ht="26.25">
      <x:c r="B45" s="3" t="s">
        <x:v>305</x:v>
      </x:c>
      <x:c r="C45" s="13" t="n">
        <x:f>SUM(C13,C18)</x:f>
        <x:v>17308.164</x:v>
      </x:c>
      <x:c r="D45" s="13" t="n">
        <x:f>SUM(D13,D18)</x:f>
        <x:v>16151.162</x:v>
      </x:c>
      <x:c r="E45" s="13" t="n">
        <x:f>SUM(E13,E18)</x:f>
        <x:v>16052.782</x:v>
      </x:c>
      <x:c r="F45" s="13" t="n">
        <x:f>SUM(F13,F18)</x:f>
        <x:v>16052.782</x:v>
      </x:c>
      <x:c r="G45" s="13" t="n">
        <x:f>SUM(G13,G18)</x:f>
        <x:v>16308.930999999999</x:v>
      </x:c>
      <x:c r="H45" s="14" t="n">
        <x:f>SUM(H13,H18)</x:f>
        <x:v>16302.930999999999</x:v>
      </x:c>
    </x:row>
    <x:row r="46">
      <x:c r="B46" s="2"/>
      <x:c r="C46" s="13"/>
      <x:c r="D46" s="13"/>
      <x:c r="E46" s="13"/>
      <x:c r="F46" s="13"/>
      <x:c r="G46" s="13"/>
      <x:c r="H46" s="14"/>
    </x:row>
    <x:row r="47">
      <x:c r="B47" s="2"/>
      <x:c r="C47" s="13"/>
      <x:c r="D47" s="13"/>
      <x:c r="E47" s="13"/>
      <x:c r="F47" s="13"/>
      <x:c r="G47" s="13"/>
      <x:c r="H47" s="14"/>
    </x:row>
    <x:row r="48">
      <x:c r="B48" s="2"/>
      <x:c r="C48" s="13"/>
      <x:c r="D48" s="13"/>
      <x:c r="E48" s="13"/>
      <x:c r="F48" s="13"/>
      <x:c r="G48" s="13"/>
      <x:c r="H48" s="14"/>
    </x:row>
    <x:row r="49">
      <x:c r="B49" s="2"/>
      <x:c r="C49" s="13"/>
      <x:c r="D49" s="13"/>
      <x:c r="E49" s="13"/>
      <x:c r="F49" s="13"/>
      <x:c r="G49" s="13"/>
      <x:c r="H49" s="14"/>
    </x:row>
    <x:row r="50">
      <x:c r="B50" s="2"/>
      <x:c r="C50" s="13"/>
      <x:c r="D50" s="13"/>
      <x:c r="E50" s="13"/>
      <x:c r="F50" s="13"/>
      <x:c r="G50" s="13"/>
      <x:c r="H50" s="14"/>
    </x:row>
    <x:row r="51">
      <x:c r="B51" s="2"/>
      <x:c r="C51" s="13"/>
      <x:c r="D51" s="13"/>
      <x:c r="E51" s="13"/>
      <x:c r="F51" s="13"/>
      <x:c r="G51" s="13"/>
      <x:c r="H51" s="14"/>
    </x:row>
    <x:row r="52">
      <x:c r="B52" s="2"/>
      <x:c r="C52" s="13"/>
      <x:c r="D52" s="13"/>
      <x:c r="E52" s="13"/>
      <x:c r="F52" s="13"/>
      <x:c r="G52" s="13"/>
      <x:c r="H52" s="14"/>
    </x:row>
    <x:row r="53">
      <x:c r="B53" s="2"/>
      <x:c r="C53" s="13"/>
      <x:c r="D53" s="13"/>
      <x:c r="E53" s="13"/>
      <x:c r="F53" s="13"/>
      <x:c r="G53" s="13"/>
      <x:c r="H53" s="14"/>
    </x:row>
    <x:row r="54">
      <x:c r="B54" s="2"/>
      <x:c r="C54" s="13"/>
      <x:c r="D54" s="13"/>
      <x:c r="E54" s="13"/>
      <x:c r="F54" s="13"/>
      <x:c r="G54" s="13"/>
      <x:c r="H54" s="14"/>
    </x:row>
    <x:row r="55">
      <x:c r="B55" s="2"/>
      <x:c r="C55" s="13"/>
      <x:c r="D55" s="13"/>
      <x:c r="E55" s="13"/>
      <x:c r="F55" s="13"/>
      <x:c r="G55" s="13"/>
      <x:c r="H55" s="14"/>
    </x:row>
    <x:row r="56">
      <x:c r="B56" s="2"/>
      <x:c r="C56" s="13"/>
      <x:c r="D56" s="13"/>
      <x:c r="E56" s="13"/>
      <x:c r="F56" s="13"/>
      <x:c r="G56" s="13"/>
      <x:c r="H56" s="14"/>
    </x:row>
    <x:row r="57">
      <x:c r="B57" s="2"/>
      <x:c r="C57" s="13"/>
      <x:c r="D57" s="13"/>
      <x:c r="E57" s="13"/>
      <x:c r="F57" s="13"/>
      <x:c r="G57" s="13"/>
      <x:c r="H57" s="14"/>
    </x:row>
    <x:row r="58">
      <x:c r="B58" s="2"/>
      <x:c r="C58" s="13"/>
      <x:c r="D58" s="13"/>
      <x:c r="E58" s="13"/>
      <x:c r="F58" s="13"/>
      <x:c r="G58" s="13"/>
      <x:c r="H58" s="14"/>
    </x:row>
    <x:row r="59">
      <x:c r="B59" s="2"/>
      <x:c r="C59" s="13"/>
      <x:c r="D59" s="13"/>
      <x:c r="E59" s="13"/>
      <x:c r="F59" s="13"/>
      <x:c r="G59" s="13"/>
      <x:c r="H59" s="14"/>
    </x:row>
    <x:row r="60">
      <x:c r="B60" s="2"/>
      <x:c r="C60" s="13"/>
      <x:c r="D60" s="13"/>
      <x:c r="E60" s="13"/>
      <x:c r="F60" s="13"/>
      <x:c r="G60" s="13"/>
      <x:c r="H60" s="14"/>
    </x:row>
    <x:row r="61">
      <x:c r="B61" s="2"/>
      <x:c r="C61" s="13"/>
      <x:c r="D61" s="13"/>
      <x:c r="E61" s="13"/>
      <x:c r="F61" s="13"/>
      <x:c r="G61" s="13"/>
      <x:c r="H61" s="14"/>
    </x:row>
    <x:row r="62">
      <x:c r="B62" s="2"/>
      <x:c r="C62" s="13"/>
      <x:c r="D62" s="13"/>
      <x:c r="E62" s="13"/>
      <x:c r="F62" s="13"/>
      <x:c r="G62" s="13"/>
      <x:c r="H62" s="14"/>
    </x:row>
    <x:row r="63">
      <x:c r="B63" s="2"/>
      <x:c r="C63" s="13"/>
      <x:c r="D63" s="13"/>
      <x:c r="E63" s="13"/>
      <x:c r="F63" s="13"/>
      <x:c r="G63" s="13"/>
      <x:c r="H63" s="14"/>
    </x:row>
    <x:row r="64">
      <x:c r="B64" s="2"/>
      <x:c r="C64" s="13"/>
      <x:c r="D64" s="13"/>
      <x:c r="E64" s="13"/>
      <x:c r="F64" s="13"/>
      <x:c r="G64" s="13"/>
      <x:c r="H64" s="14"/>
    </x:row>
    <x:row r="65">
      <x:c r="B65" s="2"/>
      <x:c r="C65" s="13"/>
      <x:c r="D65" s="13"/>
      <x:c r="E65" s="13"/>
      <x:c r="F65" s="13"/>
      <x:c r="G65" s="13"/>
      <x:c r="H65" s="14"/>
    </x:row>
    <x:row r="66">
      <x:c r="B66" s="2"/>
      <x:c r="C66" s="13"/>
      <x:c r="D66" s="13"/>
      <x:c r="E66" s="13"/>
      <x:c r="F66" s="13"/>
      <x:c r="G66" s="13"/>
      <x:c r="H66" s="14"/>
    </x:row>
    <x:row r="67">
      <x:c r="B67" s="2"/>
      <x:c r="C67" s="13"/>
      <x:c r="D67" s="13"/>
      <x:c r="E67" s="13"/>
      <x:c r="F67" s="13"/>
      <x:c r="G67" s="13"/>
      <x:c r="H67" s="14"/>
    </x:row>
    <x:row r="68">
      <x:c r="B68" s="2"/>
      <x:c r="C68" s="13"/>
      <x:c r="D68" s="13"/>
      <x:c r="E68" s="13"/>
      <x:c r="F68" s="13"/>
      <x:c r="G68" s="13"/>
      <x:c r="H68" s="14"/>
    </x:row>
    <x:row r="69">
      <x:c r="B69" s="2"/>
      <x:c r="C69" s="13"/>
      <x:c r="D69" s="13"/>
      <x:c r="E69" s="13"/>
      <x:c r="F69" s="13"/>
      <x:c r="G69" s="13"/>
      <x:c r="H69" s="14"/>
    </x:row>
    <x:row r="70">
      <x:c r="B70" s="2"/>
      <x:c r="C70" s="13"/>
      <x:c r="D70" s="13"/>
      <x:c r="E70" s="13"/>
      <x:c r="F70" s="13"/>
      <x:c r="G70" s="13"/>
      <x:c r="H70" s="14"/>
    </x:row>
    <x:row r="71">
      <x:c r="B71" s="2"/>
      <x:c r="C71" s="13"/>
      <x:c r="D71" s="13"/>
      <x:c r="E71" s="13"/>
      <x:c r="F71" s="13"/>
      <x:c r="G71" s="13"/>
      <x:c r="H71" s="14"/>
    </x:row>
    <x:row r="72">
      <x:c r="B72" s="2"/>
      <x:c r="C72" s="13"/>
      <x:c r="D72" s="13"/>
      <x:c r="E72" s="13"/>
      <x:c r="F72" s="13"/>
      <x:c r="G72" s="13"/>
      <x:c r="H72" s="14"/>
    </x:row>
    <x:row r="73">
      <x:c r="B73" s="2"/>
      <x:c r="C73" s="13"/>
      <x:c r="D73" s="13"/>
      <x:c r="E73" s="13"/>
      <x:c r="F73" s="13"/>
      <x:c r="G73" s="13"/>
      <x:c r="H73" s="14"/>
    </x:row>
    <x:row r="74">
      <x:c r="B74" s="2"/>
      <x:c r="C74" s="13"/>
      <x:c r="D74" s="13"/>
      <x:c r="E74" s="13"/>
      <x:c r="F74" s="13"/>
      <x:c r="G74" s="13"/>
      <x:c r="H74" s="14"/>
    </x:row>
    <x:row r="75">
      <x:c r="B75" s="2"/>
      <x:c r="C75" s="13"/>
      <x:c r="D75" s="13"/>
      <x:c r="E75" s="13"/>
      <x:c r="F75" s="13"/>
      <x:c r="G75" s="13"/>
      <x:c r="H75" s="14"/>
    </x:row>
    <x:row r="76">
      <x:c r="B76" s="2"/>
      <x:c r="C76" s="13"/>
      <x:c r="D76" s="13"/>
      <x:c r="E76" s="13"/>
      <x:c r="F76" s="13"/>
      <x:c r="G76" s="13"/>
      <x:c r="H76" s="14"/>
    </x:row>
    <x:row r="77">
      <x:c r="B77" s="2"/>
      <x:c r="C77" s="13"/>
      <x:c r="D77" s="13"/>
      <x:c r="E77" s="13"/>
      <x:c r="F77" s="13"/>
      <x:c r="G77" s="13"/>
      <x:c r="H77" s="14"/>
    </x:row>
    <x:row r="78">
      <x:c r="B78" s="2"/>
      <x:c r="C78" s="13"/>
      <x:c r="D78" s="13"/>
      <x:c r="E78" s="13"/>
      <x:c r="F78" s="13"/>
      <x:c r="G78" s="13"/>
      <x:c r="H78" s="14"/>
    </x:row>
    <x:row r="79">
      <x:c r="B79" s="2"/>
      <x:c r="C79" s="13"/>
      <x:c r="D79" s="13"/>
      <x:c r="E79" s="13"/>
      <x:c r="F79" s="13"/>
      <x:c r="G79" s="13"/>
      <x:c r="H79" s="14"/>
    </x:row>
    <x:row r="80">
      <x:c r="B80" s="2"/>
      <x:c r="C80" s="13"/>
      <x:c r="D80" s="13"/>
      <x:c r="E80" s="13"/>
      <x:c r="F80" s="13"/>
      <x:c r="G80" s="13"/>
      <x:c r="H80" s="14"/>
    </x:row>
    <x:row r="81">
      <x:c r="B81" s="2"/>
      <x:c r="C81" s="13"/>
      <x:c r="D81" s="13"/>
      <x:c r="E81" s="13"/>
      <x:c r="F81" s="13"/>
      <x:c r="G81" s="13"/>
      <x:c r="H81" s="14"/>
    </x:row>
    <x:row r="82">
      <x:c r="B82" s="2"/>
      <x:c r="C82" s="13"/>
      <x:c r="D82" s="13"/>
      <x:c r="E82" s="13"/>
      <x:c r="F82" s="13"/>
      <x:c r="G82" s="13"/>
      <x:c r="H82" s="14"/>
    </x:row>
    <x:row r="83">
      <x:c r="B83" s="2"/>
      <x:c r="C83" s="13"/>
      <x:c r="D83" s="13"/>
      <x:c r="E83" s="13"/>
      <x:c r="F83" s="13"/>
      <x:c r="G83" s="13"/>
      <x:c r="H83" s="14"/>
    </x:row>
    <x:row r="84">
      <x:c r="B84" s="2"/>
      <x:c r="C84" s="13"/>
      <x:c r="D84" s="13"/>
      <x:c r="E84" s="13"/>
      <x:c r="F84" s="13"/>
      <x:c r="G84" s="13"/>
      <x:c r="H84" s="14"/>
    </x:row>
    <x:row r="85">
      <x:c r="B85" s="2"/>
      <x:c r="C85" s="13"/>
      <x:c r="D85" s="13"/>
      <x:c r="E85" s="13"/>
      <x:c r="F85" s="13"/>
      <x:c r="G85" s="13"/>
      <x:c r="H85" s="14"/>
    </x:row>
    <x:row r="86">
      <x:c r="B86" s="2"/>
      <x:c r="C86" s="13"/>
      <x:c r="D86" s="13"/>
      <x:c r="E86" s="13"/>
      <x:c r="F86" s="13"/>
      <x:c r="G86" s="13"/>
      <x:c r="H86" s="14"/>
    </x:row>
    <x:row r="87">
      <x:c r="B87" s="2"/>
      <x:c r="C87" s="13"/>
      <x:c r="D87" s="13"/>
      <x:c r="E87" s="13"/>
      <x:c r="F87" s="13"/>
      <x:c r="G87" s="13"/>
      <x:c r="H87" s="14"/>
    </x:row>
    <x:row r="88">
      <x:c r="B88" s="2"/>
      <x:c r="C88" s="13"/>
      <x:c r="D88" s="13"/>
      <x:c r="E88" s="13"/>
      <x:c r="F88" s="13"/>
      <x:c r="G88" s="13"/>
      <x:c r="H88" s="14"/>
    </x:row>
    <x:row r="89">
      <x:c r="B89" s="2"/>
      <x:c r="C89" s="13"/>
      <x:c r="D89" s="13"/>
      <x:c r="E89" s="13"/>
      <x:c r="F89" s="13"/>
      <x:c r="G89" s="13"/>
      <x:c r="H89" s="14"/>
    </x:row>
    <x:row r="90">
      <x:c r="B90" s="2"/>
      <x:c r="C90" s="13"/>
      <x:c r="D90" s="13"/>
      <x:c r="E90" s="13"/>
      <x:c r="F90" s="13"/>
      <x:c r="G90" s="13"/>
      <x:c r="H90" s="14"/>
    </x:row>
    <x:row r="91">
      <x:c r="B91" s="2"/>
      <x:c r="C91" s="13"/>
      <x:c r="D91" s="13"/>
      <x:c r="E91" s="13"/>
      <x:c r="F91" s="13"/>
      <x:c r="G91" s="13"/>
      <x:c r="H91" s="14"/>
    </x:row>
    <x:row r="92">
      <x:c r="B92" s="2"/>
      <x:c r="C92" s="13"/>
      <x:c r="D92" s="13"/>
      <x:c r="E92" s="13"/>
      <x:c r="F92" s="13"/>
      <x:c r="G92" s="13"/>
      <x:c r="H92" s="14"/>
    </x:row>
    <x:row r="93">
      <x:c r="B93" s="2"/>
      <x:c r="C93" s="13"/>
      <x:c r="D93" s="13"/>
      <x:c r="E93" s="13"/>
      <x:c r="F93" s="13"/>
      <x:c r="G93" s="13"/>
      <x:c r="H93" s="14"/>
    </x:row>
    <x:row r="94">
      <x:c r="B94" s="2"/>
      <x:c r="C94" s="13"/>
      <x:c r="D94" s="13"/>
      <x:c r="E94" s="13"/>
      <x:c r="F94" s="13"/>
      <x:c r="G94" s="13"/>
      <x:c r="H94" s="14"/>
    </x:row>
    <x:row r="95">
      <x:c r="B95" s="2"/>
      <x:c r="C95" s="13"/>
      <x:c r="D95" s="13"/>
      <x:c r="E95" s="13"/>
      <x:c r="F95" s="13"/>
      <x:c r="G95" s="13"/>
      <x:c r="H95" s="14"/>
    </x:row>
    <x:row r="96">
      <x:c r="B96" s="2"/>
      <x:c r="C96" s="13"/>
      <x:c r="D96" s="13"/>
      <x:c r="E96" s="13"/>
      <x:c r="F96" s="13"/>
      <x:c r="G96" s="13"/>
      <x:c r="H96" s="14"/>
    </x:row>
    <x:row r="97">
      <x:c r="B97" s="2"/>
      <x:c r="C97" s="13"/>
      <x:c r="D97" s="13"/>
      <x:c r="E97" s="13"/>
      <x:c r="F97" s="13"/>
      <x:c r="G97" s="13"/>
      <x:c r="H97" s="14"/>
    </x:row>
    <x:row r="98">
      <x:c r="B98" s="2"/>
      <x:c r="C98" s="13"/>
      <x:c r="D98" s="13"/>
      <x:c r="E98" s="13"/>
      <x:c r="F98" s="13"/>
      <x:c r="G98" s="13"/>
      <x:c r="H98" s="14"/>
    </x:row>
    <x:row r="99">
      <x:c r="B99" s="2"/>
      <x:c r="C99" s="13"/>
      <x:c r="D99" s="13"/>
      <x:c r="E99" s="13"/>
      <x:c r="F99" s="13"/>
      <x:c r="G99" s="13"/>
      <x:c r="H99" s="14"/>
    </x:row>
    <x:row r="100">
      <x:c r="B100" s="2"/>
      <x:c r="C100" s="13"/>
      <x:c r="D100" s="13"/>
      <x:c r="E100" s="13"/>
      <x:c r="F100" s="13"/>
      <x:c r="G100" s="13"/>
      <x:c r="H100" s="14"/>
    </x:row>
    <x:row r="101">
      <x:c r="B101" s="2"/>
      <x:c r="C101" s="13"/>
      <x:c r="D101" s="13"/>
      <x:c r="E101" s="13"/>
      <x:c r="F101" s="13"/>
      <x:c r="G101" s="13"/>
      <x:c r="H101" s="14"/>
    </x:row>
    <x:row r="102">
      <x:c r="B102" s="2"/>
      <x:c r="C102" s="13"/>
      <x:c r="D102" s="13"/>
      <x:c r="E102" s="13"/>
      <x:c r="F102" s="13"/>
      <x:c r="G102" s="13"/>
      <x:c r="H102" s="14"/>
    </x:row>
    <x:row r="103">
      <x:c r="B103" s="2"/>
      <x:c r="C103" s="13"/>
      <x:c r="D103" s="13"/>
      <x:c r="E103" s="13"/>
      <x:c r="F103" s="13"/>
      <x:c r="G103" s="13"/>
      <x:c r="H103" s="14"/>
    </x:row>
    <x:row r="104">
      <x:c r="B104" s="2"/>
      <x:c r="C104" s="13"/>
      <x:c r="D104" s="13"/>
      <x:c r="E104" s="13"/>
      <x:c r="F104" s="13"/>
      <x:c r="G104" s="13"/>
      <x:c r="H104" s="14"/>
    </x:row>
    <x:row r="105">
      <x:c r="B105" s="2"/>
      <x:c r="C105" s="13"/>
      <x:c r="D105" s="13"/>
      <x:c r="E105" s="13"/>
      <x:c r="F105" s="13"/>
      <x:c r="G105" s="13"/>
      <x:c r="H105" s="14"/>
    </x:row>
    <x:row r="106">
      <x:c r="H106" s="1"/>
    </x:row>
    <x:row r="107">
      <x:c r="H107" s="1"/>
    </x:row>
    <x:row r="108">
      <x:c r="H108" s="1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306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3" t="s">
        <x:v>307</x:v>
      </x:c>
      <x:c r="C9" s="13"/>
      <x:c r="D9" s="13"/>
      <x:c r="E9" s="13"/>
      <x:c r="F9" s="13"/>
      <x:c r="G9" s="13"/>
      <x:c r="H9" s="14"/>
    </x:row>
    <x:row r="10">
      <x:c r="B10" s="3" t="s">
        <x:v>308</x:v>
      </x:c>
      <x:c r="C10" s="17" t="n">
        <x:f>'Income Statement'!C34</x:f>
        <x:v>95.3780000000001</x:v>
      </x:c>
      <x:c r="D10" s="17" t="n">
        <x:f>'Income Statement'!D34</x:f>
        <x:v>62.21500000000006</x:v>
      </x:c>
      <x:c r="E10" s="17" t="n">
        <x:f>'Income Statement'!E34</x:f>
        <x:v>-120.68400000000004</x:v>
      </x:c>
      <x:c r="F10" s="17" t="n">
        <x:f>'Income Statement'!F34</x:f>
        <x:v>247.29</x:v>
      </x:c>
      <x:c r="G10" s="17" t="n">
        <x:f>'Income Statement'!G34</x:f>
        <x:v>185.627</x:v>
      </x:c>
      <x:c r="H10" s="24" t="n">
        <x:f>'Income Statement'!H34</x:f>
        <x:v>87.78750000000014</x:v>
      </x:c>
    </x:row>
    <x:row r="11" ht="26.25">
      <x:c r="B11" s="3" t="s">
        <x:v>309</x:v>
      </x:c>
      <x:c r="C11" s="17" t="n">
        <x:f>'Income Statement'!C27</x:f>
        <x:v>67.285</x:v>
      </x:c>
      <x:c r="D11" s="17" t="n">
        <x:f>'Income Statement'!D27</x:f>
        <x:v>68.943</x:v>
      </x:c>
      <x:c r="E11" s="17" t="n">
        <x:f>'Income Statement'!E27</x:f>
        <x:v>71.783</x:v>
      </x:c>
      <x:c r="F11" s="17" t="n">
        <x:f>'Income Statement'!F27</x:f>
        <x:v>273.75</x:v>
      </x:c>
      <x:c r="G11" s="17" t="n">
        <x:f>'Income Statement'!G27</x:f>
        <x:v>69.21300000000001</x:v>
      </x:c>
      <x:c r="H11" s="24" t="n">
        <x:f>'Income Statement'!H27</x:f>
        <x:v>69</x:v>
      </x:c>
    </x:row>
    <x:row r="12" ht="26.25">
      <x:c r="B12" s="3" t="s">
        <x:v>310</x:v>
      </x:c>
      <x:c r="C12" s="13" t="n">
        <x:f>C48-C11</x:f>
        <x:v>622.831</x:v>
      </x:c>
      <x:c r="D12" s="13" t="n">
        <x:f>D48-D11</x:f>
        <x:v>1121.919</x:v>
      </x:c>
      <x:c r="E12" s="13" t="n">
        <x:f>E48-E11</x:f>
        <x:v>-505.36599999999993</x:v>
      </x:c>
      <x:c r="F12" s="13" t="n">
        <x:f>F48-F11</x:f>
        <x:v>1262.8069999999996</x:v>
      </x:c>
      <x:c r="G12" s="13" t="n">
        <x:f>G48-G11</x:f>
        <x:v>-237.2510000000001</x:v>
      </x:c>
      <x:c r="H12" s="14" t="n">
        <x:f>H48-H11</x:f>
        <x:v>-84</x:v>
      </x:c>
    </x:row>
    <x:row r="13" ht="26.25">
      <x:c r="B13" s="15" t="s">
        <x:v>311</x:v>
      </x:c>
      <x:c r="C13" s="23" t="n">
        <x:f>SUM(C10:C12)</x:f>
        <x:v>785.4940000000001</x:v>
      </x:c>
      <x:c r="D13" s="23" t="n">
        <x:f>SUM(D10:D12)</x:f>
        <x:v>1253.0770000000002</x:v>
      </x:c>
      <x:c r="E13" s="23" t="n">
        <x:f>SUM(E10:E12)</x:f>
        <x:v>-554.2669999999999</x:v>
      </x:c>
      <x:c r="F13" s="23" t="n">
        <x:f>SUM(F10:F12)</x:f>
        <x:v>1783.8469999999995</x:v>
      </x:c>
      <x:c r="G13" s="23" t="n">
        <x:f>SUM(G10:G12)</x:f>
        <x:v>17.588999999999942</x:v>
      </x:c>
      <x:c r="H13" s="18" t="n">
        <x:f>SUM(H10:H12)</x:f>
        <x:v>72.78750000000014</x:v>
      </x:c>
    </x:row>
    <x:row r="14">
      <x:c r="B14" s="3" t="s">
        <x:v>231</x:v>
      </x:c>
      <x:c r="C14" s="13"/>
      <x:c r="D14" s="13"/>
      <x:c r="E14" s="13"/>
      <x:c r="F14" s="13"/>
      <x:c r="G14" s="13"/>
      <x:c r="H14" s="14" t="n">
        <x:f>H13/C13-1</x:f>
        <x:v>-0.9073353838476168</x:v>
      </x:c>
    </x:row>
    <x:row r="15">
      <x:c r="B15" s="3" t="s">
        <x:v>312</x:v>
      </x:c>
      <x:c r="C15" s="13"/>
      <x:c r="D15" s="13"/>
      <x:c r="E15" s="13"/>
      <x:c r="F15" s="13"/>
      <x:c r="G15" s="13"/>
      <x:c r="H15" s="14"/>
    </x:row>
    <x:row r="16" ht="26.25">
      <x:c r="B16" s="3" t="s">
        <x:v>313</x:v>
      </x:c>
      <x:c r="C16" s="13" t="n">
        <x:f>C56</x:f>
        <x:v>-131.27700000000002</x:v>
      </x:c>
      <x:c r="D16" s="13" t="n">
        <x:f>D56</x:f>
        <x:v>-138.81099999999998</x:v>
      </x:c>
      <x:c r="E16" s="13" t="n">
        <x:f>E56</x:f>
        <x:v>-128.76800000000006</x:v>
      </x:c>
      <x:c r="F16" s="13" t="n">
        <x:f>F56</x:f>
        <x:v>-540.045</x:v>
      </x:c>
      <x:c r="G16" s="13" t="n">
        <x:f>G56</x:f>
        <x:v>-99.626</x:v>
      </x:c>
      <x:c r="H16" s="14" t="n">
        <x:f>H56</x:f>
        <x:v>-100</x:v>
      </x:c>
    </x:row>
    <x:row r="17">
      <x:c r="B17" s="15" t="s">
        <x:v>314</x:v>
      </x:c>
      <x:c r="C17" s="23" t="n">
        <x:f>C16</x:f>
        <x:v>-131.27700000000002</x:v>
      </x:c>
      <x:c r="D17" s="23" t="n">
        <x:f>D16</x:f>
        <x:v>-138.81099999999998</x:v>
      </x:c>
      <x:c r="E17" s="23" t="n">
        <x:f>E16</x:f>
        <x:v>-128.76800000000006</x:v>
      </x:c>
      <x:c r="F17" s="23" t="n">
        <x:f>F16</x:f>
        <x:v>-540.045</x:v>
      </x:c>
      <x:c r="G17" s="23" t="n">
        <x:f>G16</x:f>
        <x:v>-99.626</x:v>
      </x:c>
      <x:c r="H17" s="18" t="n">
        <x:f>H16</x:f>
        <x:v>-100</x:v>
      </x:c>
    </x:row>
    <x:row r="18">
      <x:c r="B18" s="3" t="s">
        <x:v>315</x:v>
      </x:c>
      <x:c r="C18" s="13"/>
      <x:c r="D18" s="13"/>
      <x:c r="E18" s="13"/>
      <x:c r="F18" s="13"/>
      <x:c r="G18" s="13"/>
      <x:c r="H18" s="14"/>
    </x:row>
    <x:row r="19" ht="26.25">
      <x:c r="B19" s="3" t="s">
        <x:v>316</x:v>
      </x:c>
      <x:c r="C19" s="13" t="n">
        <x:f>C67</x:f>
        <x:v>-338.28099999999995</x:v>
      </x:c>
      <x:c r="D19" s="13" t="n">
        <x:f>D67</x:f>
        <x:v>-1506.6380000000004</x:v>
      </x:c>
      <x:c r="E19" s="13" t="n">
        <x:f>E67</x:f>
        <x:v>633.0820000000011</x:v>
      </x:c>
      <x:c r="F19" s="13" t="n">
        <x:f>F67</x:f>
        <x:v>-1341.2619999999988</x:v>
      </x:c>
      <x:c r="G19" s="13" t="n">
        <x:f>G67</x:f>
        <x:v>90.52099999999973</x:v>
      </x:c>
      <x:c r="H19" s="14" t="n">
        <x:f>H67</x:f>
        <x:v>-20</x:v>
      </x:c>
    </x:row>
    <x:row r="20">
      <x:c r="B20" s="15" t="s">
        <x:v>317</x:v>
      </x:c>
      <x:c r="C20" s="23" t="n">
        <x:f>C19</x:f>
        <x:v>-338.28099999999995</x:v>
      </x:c>
      <x:c r="D20" s="23" t="n">
        <x:f>D19</x:f>
        <x:v>-1506.6380000000004</x:v>
      </x:c>
      <x:c r="E20" s="23" t="n">
        <x:f>E19</x:f>
        <x:v>633.0820000000011</x:v>
      </x:c>
      <x:c r="F20" s="23" t="n">
        <x:f>F19</x:f>
        <x:v>-1341.2619999999988</x:v>
      </x:c>
      <x:c r="G20" s="23" t="n">
        <x:f>G19</x:f>
        <x:v>90.52099999999973</x:v>
      </x:c>
      <x:c r="H20" s="18" t="n">
        <x:f>H19</x:f>
        <x:v>-20</x:v>
      </x:c>
    </x:row>
    <x:row r="21" ht="26.25">
      <x:c r="B21" s="15" t="s">
        <x:v>318</x:v>
      </x:c>
      <x:c r="C21" s="23" t="n">
        <x:f>SUM(C13,C17,C20)</x:f>
        <x:v>315.93600000000015</x:v>
      </x:c>
      <x:c r="D21" s="23" t="n">
        <x:f>SUM(D13,D17,D20)</x:f>
        <x:v>-392.37200000000007</x:v>
      </x:c>
      <x:c r="E21" s="23" t="n">
        <x:f>SUM(E13,E17,E20)</x:f>
        <x:v>-49.95299999999884</x:v>
      </x:c>
      <x:c r="F21" s="23" t="n">
        <x:f>SUM(F13,F17,F20)</x:f>
        <x:v>-97.45999999999913</x:v>
      </x:c>
      <x:c r="G21" s="23" t="n">
        <x:f>SUM(G13,G17,G20)</x:f>
        <x:v>8.483999999999668</x:v>
      </x:c>
      <x:c r="H21" s="18" t="n">
        <x:f>SUM(H13,H17,H20)</x:f>
        <x:v>-47.212499999999864</x:v>
      </x:c>
    </x:row>
    <x:row r="22" ht="26.25">
      <x:c r="B22" s="3" t="s">
        <x:v>319</x:v>
      </x:c>
      <x:c r="C22" s="17" t="n">
        <x:f>Inputs!C66</x:f>
        <x:v>989.239</x:v>
      </x:c>
      <x:c r="D22" s="17" t="n">
        <x:f>Inputs!D66</x:f>
        <x:v>1305.175</x:v>
      </x:c>
      <x:c r="E22" s="17" t="n">
        <x:f>Inputs!E66</x:f>
        <x:v>912.803</x:v>
      </x:c>
      <x:c r="F22" s="17" t="n">
        <x:f>Inputs!F66</x:f>
        <x:v>960.31</x:v>
      </x:c>
      <x:c r="G22" s="17" t="n">
        <x:f>Inputs!G66</x:f>
        <x:v>862.85</x:v>
      </x:c>
      <x:c r="H22" s="14" t="n">
        <x:f>G23</x:f>
        <x:v>871.3339999999997</x:v>
      </x:c>
    </x:row>
    <x:row r="23" ht="26.25">
      <x:c r="B23" s="15" t="s">
        <x:v>320</x:v>
      </x:c>
      <x:c r="C23" s="23" t="n">
        <x:f>SUM(C21:C22)</x:f>
        <x:v>1305.1750000000002</x:v>
      </x:c>
      <x:c r="D23" s="23" t="n">
        <x:f>SUM(D21:D22)</x:f>
        <x:v>912.8029999999999</x:v>
      </x:c>
      <x:c r="E23" s="23" t="n">
        <x:f>SUM(E21:E22)</x:f>
        <x:v>862.8500000000012</x:v>
      </x:c>
      <x:c r="F23" s="23" t="n">
        <x:f>SUM(F21:F22)</x:f>
        <x:v>862.8500000000008</x:v>
      </x:c>
      <x:c r="G23" s="23" t="n">
        <x:f>SUM(G21:G22)</x:f>
        <x:v>871.3339999999997</x:v>
      </x:c>
      <x:c r="H23" s="18" t="n">
        <x:f>SUM(H21:H22)</x:f>
        <x:v>824.1214999999999</x:v>
      </x:c>
    </x:row>
    <x:row r="24" ht="26.25">
      <x:c r="B24" s="3" t="s">
        <x:v>321</x:v>
      </x:c>
      <x:c r="C24" s="17" t="n">
        <x:f>'Balance Sheet'!C10</x:f>
        <x:v>540.374</x:v>
      </x:c>
      <x:c r="D24" s="17" t="n">
        <x:f>'Balance Sheet'!D10</x:f>
        <x:v>204.938</x:v>
      </x:c>
      <x:c r="E24" s="17" t="n">
        <x:f>'Balance Sheet'!E10</x:f>
        <x:v>122.826</x:v>
      </x:c>
      <x:c r="F24" s="17" t="n">
        <x:f>'Balance Sheet'!F10</x:f>
        <x:v>122.826</x:v>
      </x:c>
      <x:c r="G24" s="17" t="n">
        <x:f>'Balance Sheet'!G10</x:f>
        <x:v>132.223</x:v>
      </x:c>
      <x:c r="H24" s="24" t="n">
        <x:f>'Balance Sheet'!H10</x:f>
        <x:v>85.01049999999978</x:v>
      </x:c>
    </x:row>
    <x:row r="25" ht="26.25">
      <x:c r="B25" s="3" t="s">
        <x:v>322</x:v>
      </x:c>
      <x:c r="C25" s="17" t="n">
        <x:f>'Balance Sheet'!C11</x:f>
        <x:v>618.792</x:v>
      </x:c>
      <x:c r="D25" s="17" t="n">
        <x:f>'Balance Sheet'!D11</x:f>
        <x:v>567.398</x:v>
      </x:c>
      <x:c r="E25" s="17" t="n">
        <x:f>'Balance Sheet'!E11</x:f>
        <x:v>592.033</x:v>
      </x:c>
      <x:c r="F25" s="17" t="n">
        <x:f>'Balance Sheet'!F11</x:f>
        <x:v>592.033</x:v>
      </x:c>
      <x:c r="G25" s="17" t="n">
        <x:f>'Balance Sheet'!G11</x:f>
        <x:v>595.1030000000001</x:v>
      </x:c>
      <x:c r="H25" s="24" t="n">
        <x:f>'Balance Sheet'!H11</x:f>
        <x:v>595.1030000000001</x:v>
      </x:c>
    </x:row>
    <x:row r="26" ht="26.25">
      <x:c r="B26" s="3" t="s">
        <x:v>323</x:v>
      </x:c>
      <x:c r="C26" s="17" t="n">
        <x:f>'Balance Sheet'!C12</x:f>
        <x:v>146.009</x:v>
      </x:c>
      <x:c r="D26" s="17" t="n">
        <x:f>'Balance Sheet'!D12</x:f>
        <x:v>140.467</x:v>
      </x:c>
      <x:c r="E26" s="17" t="n">
        <x:f>'Balance Sheet'!E12</x:f>
        <x:v>147.991</x:v>
      </x:c>
      <x:c r="F26" s="17" t="n">
        <x:f>'Balance Sheet'!F12</x:f>
        <x:v>147.991</x:v>
      </x:c>
      <x:c r="G26" s="17" t="n">
        <x:f>'Balance Sheet'!G12</x:f>
        <x:v>144.008</x:v>
      </x:c>
      <x:c r="H26" s="24" t="n">
        <x:f>'Balance Sheet'!H12</x:f>
        <x:v>144.008</x:v>
      </x:c>
    </x:row>
    <x:row r="27">
      <x:c r="B27" s="15" t="s">
        <x:v>324</x:v>
      </x:c>
      <x:c r="C27" s="23" t="n">
        <x:f>C23-SUM(C24:C26)</x:f>
        <x:v>0</x:v>
      </x:c>
      <x:c r="D27" s="23" t="n">
        <x:f>D23-SUM(D24:D26)</x:f>
        <x:v>-1.1368683772161603e-13</x:v>
      </x:c>
      <x:c r="E27" s="23" t="n">
        <x:f>E23-SUM(E24:E26)</x:f>
        <x:v>1.1368683772161603e-12</x:v>
      </x:c>
      <x:c r="F27" s="23" t="n">
        <x:f>F23-SUM(F24:F26)</x:f>
        <x:v>7.958078640513122e-13</x:v>
      </x:c>
      <x:c r="G27" s="23" t="n">
        <x:f>G23-SUM(G24:G26)</x:f>
        <x:v>-3.410605131648481e-13</x:v>
      </x:c>
      <x:c r="H27" s="18" t="n">
        <x:f>H23-SUM(H24:H26)</x:f>
        <x:v>0</x:v>
      </x:c>
    </x:row>
    <x:row r="28">
      <x:c r="B28" s="15" t="s">
        <x:v>325</x:v>
      </x:c>
      <x:c r="C28" s="20" t="n">
        <x:f>C13-Inputs!C63</x:f>
        <x:v>1.1368683772161603e-13</x:v>
      </x:c>
      <x:c r="D28" s="20" t="n">
        <x:f>D13-Inputs!D63</x:f>
        <x:v>2.2737367544323206e-13</x:v>
      </x:c>
      <x:c r="E28" s="20" t="n">
        <x:f>E13-Inputs!E63</x:f>
        <x:v>1.1368683772161603e-13</x:v>
      </x:c>
      <x:c r="F28" s="20" t="n">
        <x:f>F13-Inputs!F63</x:f>
        <x:v>-4.547473508864641e-13</x:v>
      </x:c>
      <x:c r="G28" s="20" t="n">
        <x:f>G13-Inputs!G63</x:f>
        <x:v>-5.684341886080802e-14</x:v>
      </x:c>
      <x:c r="H28" s="18" t="n">
        <x:f>H13-H10-H11-H12</x:f>
        <x:v>0</x:v>
      </x:c>
    </x:row>
    <x:row r="29">
      <x:c r="B29" s="15" t="s">
        <x:v>326</x:v>
      </x:c>
      <x:c r="C29" s="20" t="n">
        <x:f>C23-Inputs!C67</x:f>
        <x:v>2.2737367544323206e-13</x:v>
      </x:c>
      <x:c r="D29" s="20" t="n">
        <x:f>D23-Inputs!D67</x:f>
        <x:v>-1.1368683772161603e-13</x:v>
      </x:c>
      <x:c r="E29" s="20" t="n">
        <x:f>E23-Inputs!E67</x:f>
        <x:v>1.1368683772161603e-12</x:v>
      </x:c>
      <x:c r="F29" s="20" t="n">
        <x:f>F23-Inputs!F67</x:f>
        <x:v>7.958078640513122e-13</x:v>
      </x:c>
      <x:c r="G29" s="20" t="n">
        <x:f>G23-Inputs!G67</x:f>
        <x:v>-2.2737367544323206e-13</x:v>
      </x:c>
      <x:c r="H29" s="25" t="n">
        <x:f>('Balance Sheet'!H10-'Balance Sheet'!G10)+('Balance Sheet'!H11-'Balance Sheet'!G11)+('Balance Sheet'!H12-'Balance Sheet'!G12)-H21</x:f>
        <x:v>-3.694822225952521e-13</x:v>
      </x:c>
    </x:row>
    <x:row r="30" ht="26.25">
      <x:c r="B30" s="3" t="s">
        <x:v>327</x:v>
      </x:c>
      <x:c r="C30" s="13" t="n">
        <x:f>C51</x:f>
        <x:v>-131.46800000000002</x:v>
      </x:c>
      <x:c r="D30" s="13" t="n">
        <x:f>D51</x:f>
        <x:v>-139.75799999999998</x:v>
      </x:c>
      <x:c r="E30" s="13" t="n">
        <x:f>E51</x:f>
        <x:v>-133.02700000000004</x:v>
      </x:c>
      <x:c r="F30" s="13" t="n">
        <x:f>F51</x:f>
        <x:v>-540.989</x:v>
      </x:c>
      <x:c r="G30" s="13" t="n">
        <x:f>G51</x:f>
        <x:v>-103.335</x:v>
      </x:c>
      <x:c r="H30" s="14" t="n">
        <x:f>H51</x:f>
        <x:v>-100</x:v>
      </x:c>
    </x:row>
    <x:row r="31">
      <x:c r="B31" s="3" t="s">
        <x:v>328</x:v>
      </x:c>
      <x:c r="C31" s="13"/>
      <x:c r="D31" s="13"/>
      <x:c r="E31" s="13"/>
      <x:c r="F31" s="13"/>
      <x:c r="G31" s="13"/>
      <x:c r="H31" s="14"/>
    </x:row>
    <x:row r="32" ht="26.25">
      <x:c r="B32" s="3" t="s">
        <x:v>329</x:v>
      </x:c>
      <x:c r="C32" s="17" t="n">
        <x:f>Inputs!C190-Inputs!E190</x:f>
        <x:v>83.931</x:v>
      </x:c>
      <x:c r="D32" s="17" t="n">
        <x:f>Inputs!D190-Inputs!C190</x:f>
        <x:v>88.483</x:v>
      </x:c>
      <x:c r="E32" s="17" t="n">
        <x:f>Inputs!F190-Inputs!D190</x:f>
        <x:v>93.76399999999998</x:v>
      </x:c>
      <x:c r="F32" s="17" t="n">
        <x:f>Inputs!F190</x:f>
        <x:v>345.962</x:v>
      </x:c>
      <x:c r="G32" s="17" t="n">
        <x:f>Inputs!G190</x:f>
        <x:v>92.895</x:v>
      </x:c>
      <x:c r="H32" s="24" t="n">
        <x:f>'Income Statement'!H27</x:f>
        <x:v>69</x:v>
      </x:c>
    </x:row>
    <x:row r="33">
      <x:c r="B33" s="3" t="s">
        <x:v>241</x:v>
      </x:c>
      <x:c r="C33" s="17" t="n">
        <x:f>Inputs!C191-Inputs!E191</x:f>
        <x:v>24.273999999999994</x:v>
      </x:c>
      <x:c r="D33" s="17" t="n">
        <x:f>Inputs!D191-Inputs!C191</x:f>
        <x:v>16.10600000000001</x:v>
      </x:c>
      <x:c r="E33" s="17" t="n">
        <x:f>Inputs!F191-Inputs!D191</x:f>
        <x:v>11.656999999999996</x:v>
      </x:c>
      <x:c r="F33" s="17" t="n">
        <x:f>Inputs!F191</x:f>
        <x:v>99.018</x:v>
      </x:c>
      <x:c r="G33" s="17" t="n">
        <x:f>Inputs!G191</x:f>
        <x:v>41.946</x:v>
      </x:c>
      <x:c r="H33" s="24" t="n">
        <x:f>'Income Statement'!H21</x:f>
        <x:v>22</x:v>
      </x:c>
    </x:row>
    <x:row r="34">
      <x:c r="B34" s="3" t="s">
        <x:v>175</x:v>
      </x:c>
      <x:c r="C34" s="17" t="n">
        <x:f>Inputs!C192-Inputs!E192</x:f>
        <x:v>142.197</x:v>
      </x:c>
      <x:c r="D34" s="17" t="n">
        <x:f>Inputs!D192-Inputs!C192</x:f>
        <x:v>73.43099999999998</x:v>
      </x:c>
      <x:c r="E34" s="17" t="n">
        <x:f>Inputs!F192-Inputs!D192</x:f>
        <x:v>73.86500000000001</x:v>
      </x:c>
      <x:c r="F34" s="17" t="n">
        <x:f>Inputs!F192</x:f>
        <x:v>391.2</x:v>
      </x:c>
      <x:c r="G34" s="17" t="n">
        <x:f>Inputs!G192</x:f>
        <x:v>95.584</x:v>
      </x:c>
      <x:c r="H34" s="24" t="n">
        <x:f>-'Segment - Auto Finance'!H19</x:f>
        <x:v>120</x:v>
      </x:c>
    </x:row>
    <x:row r="35">
      <x:c r="B35" s="3" t="s">
        <x:v>330</x:v>
      </x:c>
      <x:c r="C35" s="17" t="n">
        <x:f>Inputs!C193-Inputs!E193</x:f>
        <x:v>17.093999999999998</x:v>
      </x:c>
      <x:c r="D35" s="17" t="n">
        <x:f>Inputs!D193-Inputs!C193</x:f>
        <x:v>15.259999999999998</x:v>
      </x:c>
      <x:c r="E35" s="17" t="n">
        <x:f>Inputs!F193-Inputs!D193</x:f>
        <x:v>18.67</x:v>
      </x:c>
      <x:c r="F35" s="17" t="n">
        <x:f>Inputs!F193</x:f>
        <x:v>75.827</x:v>
      </x:c>
      <x:c r="G35" s="17" t="n">
        <x:f>Inputs!G193</x:f>
        <x:v>26.166</x:v>
      </x:c>
      <x:c r="H35" s="24" t="n">
        <x:f>Inputs!H219</x:f>
        <x:v>0</x:v>
      </x:c>
    </x:row>
    <x:row r="36" ht="26.25">
      <x:c r="B36" s="3" t="s">
        <x:v>331</x:v>
      </x:c>
      <x:c r="C36" s="17" t="n">
        <x:f>Inputs!C194-Inputs!E194</x:f>
        <x:v>39.641999999999996</x:v>
      </x:c>
      <x:c r="D36" s="17" t="n">
        <x:f>Inputs!D194-Inputs!C194</x:f>
        <x:v>34.193999999999996</x:v>
      </x:c>
      <x:c r="E36" s="17" t="n">
        <x:f>Inputs!F194-Inputs!D194</x:f>
        <x:v>-2.817999999999998</x:v>
      </x:c>
      <x:c r="F36" s="17" t="n">
        <x:f>Inputs!F194</x:f>
        <x:v>73.8</x:v>
      </x:c>
      <x:c r="G36" s="17" t="n">
        <x:f>Inputs!G194</x:f>
        <x:v>-0.991</x:v>
      </x:c>
      <x:c r="H36" s="24" t="n">
        <x:f>Inputs!H219</x:f>
        <x:v>0</x:v>
      </x:c>
    </x:row>
    <x:row r="37">
      <x:c r="B37" s="3" t="s">
        <x:v>332</x:v>
      </x:c>
      <x:c r="C37" s="17" t="n">
        <x:f>Inputs!C195-Inputs!E195</x:f>
        <x:v>0</x:v>
      </x:c>
      <x:c r="D37" s="17" t="n">
        <x:f>Inputs!D195-Inputs!C195</x:f>
        <x:v>909.016</x:v>
      </x:c>
      <x:c r="E37" s="17" t="n">
        <x:f>Inputs!F195-Inputs!D195</x:f>
        <x:v>-0.08899999999994179</x:v>
      </x:c>
      <x:c r="F37" s="17" t="n">
        <x:f>Inputs!F195</x:f>
        <x:v>908.927</x:v>
      </x:c>
      <x:c r="G37" s="17" t="n">
        <x:f>Inputs!G195</x:f>
        <x:v>0</x:v>
      </x:c>
      <x:c r="H37" s="24" t="n">
        <x:f>Inputs!H219</x:f>
        <x:v>0</x:v>
      </x:c>
    </x:row>
    <x:row r="38" ht="26.25">
      <x:c r="B38" s="3" t="s">
        <x:v>333</x:v>
      </x:c>
      <x:c r="C38" s="17" t="n">
        <x:f>Inputs!C196-Inputs!E196</x:f>
        <x:v>0</x:v>
      </x:c>
      <x:c r="D38" s="17" t="n">
        <x:f>Inputs!D196-Inputs!C196</x:f>
        <x:v>0</x:v>
      </x:c>
      <x:c r="E38" s="17" t="n">
        <x:f>Inputs!F196-Inputs!D196</x:f>
        <x:v>141.258</x:v>
      </x:c>
      <x:c r="F38" s="17" t="n">
        <x:f>Inputs!F196</x:f>
        <x:v>141.258</x:v>
      </x:c>
      <x:c r="G38" s="17" t="n">
        <x:f>Inputs!G196</x:f>
        <x:v>0</x:v>
      </x:c>
      <x:c r="H38" s="24" t="n">
        <x:f>Inputs!H219</x:f>
        <x:v>0</x:v>
      </x:c>
    </x:row>
    <x:row r="39">
      <x:c r="B39" s="3" t="s">
        <x:v>334</x:v>
      </x:c>
      <x:c r="C39" s="17" t="n">
        <x:f>Inputs!C197-Inputs!E197</x:f>
        <x:v>0.08299999999999996</x:v>
      </x:c>
      <x:c r="D39" s="17" t="n">
        <x:f>Inputs!D197-Inputs!C197</x:f>
        <x:v>-20.2</x:v>
      </x:c>
      <x:c r="E39" s="17" t="n">
        <x:f>Inputs!F197-Inputs!D197</x:f>
        <x:v>28.152</x:v>
      </x:c>
      <x:c r="F39" s="17" t="n">
        <x:f>Inputs!F197</x:f>
        <x:v>9.345</x:v>
      </x:c>
      <x:c r="G39" s="17" t="n">
        <x:f>Inputs!G197</x:f>
        <x:v>-3.252</x:v>
      </x:c>
      <x:c r="H39" s="24" t="n">
        <x:f>Inputs!H219</x:f>
        <x:v>0</x:v>
      </x:c>
    </x:row>
    <x:row r="40">
      <x:c r="B40" s="3" t="s">
        <x:v>335</x:v>
      </x:c>
      <x:c r="C40" s="17" t="n">
        <x:f>Inputs!C198-Inputs!E198</x:f>
        <x:v>26.749</x:v>
      </x:c>
      <x:c r="D40" s="17" t="n">
        <x:f>Inputs!D198-Inputs!C198</x:f>
        <x:v>22.454</x:v>
      </x:c>
      <x:c r="E40" s="17" t="n">
        <x:f>Inputs!F198-Inputs!D198</x:f>
        <x:v>-53.351</x:v>
      </x:c>
      <x:c r="F40" s="17" t="n">
        <x:f>Inputs!F198</x:f>
        <x:v>-15.72</x:v>
      </x:c>
      <x:c r="G40" s="17" t="n">
        <x:f>Inputs!G198</x:f>
        <x:v>-59.466</x:v>
      </x:c>
      <x:c r="H40" s="24" t="n">
        <x:f>Inputs!H220</x:f>
        <x:v>-30</x:v>
      </x:c>
    </x:row>
    <x:row r="41">
      <x:c r="B41" s="3" t="s">
        <x:v>336</x:v>
      </x:c>
      <x:c r="C41" s="17" t="n">
        <x:f>Inputs!C199-Inputs!E199</x:f>
        <x:v>-283.981</x:v>
      </x:c>
      <x:c r="D41" s="17" t="n">
        <x:f>Inputs!D199-Inputs!C199</x:f>
        <x:v>921.928</x:v>
      </x:c>
      <x:c r="E41" s="17" t="n">
        <x:f>Inputs!F199-Inputs!D199</x:f>
        <x:v>-100.491</x:v>
      </x:c>
      <x:c r="F41" s="17" t="n">
        <x:f>Inputs!F199</x:f>
        <x:v>-100.491</x:v>
      </x:c>
      <x:c r="G41" s="17" t="n">
        <x:f>Inputs!G199</x:f>
        <x:v>-518.488</x:v>
      </x:c>
      <x:c r="H41" s="24" t="n">
        <x:f>Inputs!H221</x:f>
        <x:v>-60</x:v>
      </x:c>
    </x:row>
    <x:row r="42">
      <x:c r="B42" s="3" t="s">
        <x:v>337</x:v>
      </x:c>
      <x:c r="C42" s="17" t="n">
        <x:f>Inputs!C200-Inputs!E200</x:f>
        <x:v>474.783</x:v>
      </x:c>
      <x:c r="D42" s="17" t="n">
        <x:f>Inputs!D200-Inputs!C200</x:f>
        <x:v>21.621999999999957</x:v>
      </x:c>
      <x:c r="E42" s="17" t="n">
        <x:f>Inputs!F200-Inputs!D200</x:f>
        <x:v>-1009.057</x:v>
      </x:c>
      <x:c r="F42" s="17" t="n">
        <x:f>Inputs!F200</x:f>
        <x:v>-202.383</x:v>
      </x:c>
      <x:c r="G42" s="17" t="n">
        <x:f>Inputs!G200</x:f>
        <x:v>74.24</x:v>
      </x:c>
      <x:c r="H42" s="24" t="n">
        <x:f>Inputs!H222</x:f>
        <x:v>-80</x:v>
      </x:c>
    </x:row>
    <x:row r="43">
      <x:c r="B43" s="3" t="s">
        <x:v>338</x:v>
      </x:c>
      <x:c r="C43" s="17" t="n">
        <x:f>Inputs!C201-Inputs!E201</x:f>
        <x:v>3.6390000000000002</x:v>
      </x:c>
      <x:c r="D43" s="17" t="n">
        <x:f>Inputs!D201-Inputs!C201</x:f>
        <x:v>-9.247</x:v>
      </x:c>
      <x:c r="E43" s="17" t="n">
        <x:f>Inputs!F201-Inputs!D201</x:f>
        <x:v>-4.897</x:v>
      </x:c>
      <x:c r="F43" s="17" t="n">
        <x:f>Inputs!F201</x:f>
        <x:v>-7.813</x:v>
      </x:c>
      <x:c r="G43" s="17" t="n">
        <x:f>Inputs!G201</x:f>
        <x:v>6.487</x:v>
      </x:c>
      <x:c r="H43" s="24" t="n">
        <x:f>Inputs!H219</x:f>
        <x:v>0</x:v>
      </x:c>
    </x:row>
    <x:row r="44" ht="26.25">
      <x:c r="B44" s="3" t="s">
        <x:v>339</x:v>
      </x:c>
      <x:c r="C44" s="17" t="n">
        <x:f>Inputs!C202-Inputs!E202</x:f>
        <x:v>274.311</x:v>
      </x:c>
      <x:c r="D44" s="17" t="n">
        <x:f>Inputs!D202-Inputs!C202</x:f>
        <x:v>-768.963</x:v>
      </x:c>
      <x:c r="E44" s="17" t="n">
        <x:f>Inputs!F202-Inputs!D202</x:f>
        <x:v>125.006</x:v>
      </x:c>
      <x:c r="F44" s="17" t="n">
        <x:f>Inputs!F202</x:f>
        <x:v>-31.308</x:v>
      </x:c>
      <x:c r="G44" s="17" t="n">
        <x:f>Inputs!G202</x:f>
        <x:v>166.755</x:v>
      </x:c>
      <x:c r="H44" s="24" t="n">
        <x:f>-('Segment - Auto Finance'!H31+'Segment - Auto Finance'!H34+H41-'Segment - Auto Finance'!H19)</x:f>
        <x:v>-54</x:v>
      </x:c>
      <x:c r="J44" t="str">
        <x:v>Loan investment cash flow derived from CAF originations/paydowns, HFS cash flow and provision.</x:v>
      </x:c>
    </x:row>
    <x:row r="45">
      <x:c r="B45" s="3" t="s">
        <x:v>340</x:v>
      </x:c>
      <x:c r="C45" s="17" t="n">
        <x:f>Inputs!C203-Inputs!E203</x:f>
        <x:v>-8.177</x:v>
      </x:c>
      <x:c r="D45" s="17" t="n">
        <x:f>Inputs!D203-Inputs!C203</x:f>
        <x:v>-5.7570000000000014</x:v>
      </x:c>
      <x:c r="E45" s="17" t="n">
        <x:f>Inputs!F203-Inputs!D203</x:f>
        <x:v>-12.311999999999998</x:v>
      </x:c>
      <x:c r="F45" s="17" t="n">
        <x:f>Inputs!F203</x:f>
        <x:v>-31.958</x:v>
      </x:c>
      <x:c r="G45" s="17" t="n">
        <x:f>Inputs!G203</x:f>
        <x:v>-8.146</x:v>
      </x:c>
      <x:c r="H45" s="24" t="n">
        <x:f>Inputs!H219</x:f>
        <x:v>0</x:v>
      </x:c>
    </x:row>
    <x:row r="46" ht="26.25">
      <x:c r="B46" s="3" t="s">
        <x:v>341</x:v>
      </x:c>
      <x:c r="C46" s="17" t="n">
        <x:f>Inputs!C204-Inputs!E204</x:f>
        <x:v>-88.60300000000001</x:v>
      </x:c>
      <x:c r="D46" s="17" t="n">
        <x:f>Inputs!D204-Inputs!C204</x:f>
        <x:v>-90.547</x:v>
      </x:c>
      <x:c r="E46" s="17" t="n">
        <x:f>Inputs!F204-Inputs!D204</x:f>
        <x:v>277.233</x:v>
      </x:c>
      <x:c r="F46" s="17" t="n">
        <x:f>Inputs!F204</x:f>
        <x:v>-43.784</x:v>
      </x:c>
      <x:c r="G46" s="17" t="n">
        <x:f>Inputs!G204</x:f>
        <x:v>-58.274</x:v>
      </x:c>
      <x:c r="H46" s="24" t="n">
        <x:f>Inputs!H224</x:f>
        <x:v>20</x:v>
      </x:c>
    </x:row>
    <x:row r="47">
      <x:c r="B47" s="3" t="s">
        <x:v>342</x:v>
      </x:c>
      <x:c r="C47" s="17" t="n">
        <x:f>Inputs!C205-Inputs!E205</x:f>
        <x:v>-15.826</x:v>
      </x:c>
      <x:c r="D47" s="17" t="n">
        <x:f>Inputs!D205-Inputs!C205</x:f>
        <x:v>-16.918</x:v>
      </x:c>
      <x:c r="E47" s="17" t="n">
        <x:f>Inputs!F205-Inputs!D205</x:f>
        <x:v>-20.172999999999995</x:v>
      </x:c>
      <x:c r="F47" s="17" t="n">
        <x:f>Inputs!F205</x:f>
        <x:v>-75.323</x:v>
      </x:c>
      <x:c r="G47" s="17" t="n">
        <x:f>Inputs!G205</x:f>
        <x:v>-23.494</x:v>
      </x:c>
      <x:c r="H47" s="24" t="n">
        <x:f>Inputs!H225</x:f>
        <x:v>-22</x:v>
      </x:c>
    </x:row>
    <x:row r="48" ht="26.25">
      <x:c r="B48" s="15" t="s">
        <x:v>343</x:v>
      </x:c>
      <x:c r="C48" s="23" t="n">
        <x:f>SUM(C32:C47)</x:f>
        <x:v>690.116</x:v>
      </x:c>
      <x:c r="D48" s="23" t="n">
        <x:f>SUM(D32:D47)</x:f>
        <x:v>1190.862</x:v>
      </x:c>
      <x:c r="E48" s="23" t="n">
        <x:f>SUM(E32:E47)</x:f>
        <x:v>-433.5829999999999</x:v>
      </x:c>
      <x:c r="F48" s="23" t="n">
        <x:f>SUM(F32:F47)</x:f>
        <x:v>1536.5569999999996</x:v>
      </x:c>
      <x:c r="G48" s="23" t="n">
        <x:f>SUM(G32:G47)</x:f>
        <x:v>-168.0380000000001</x:v>
      </x:c>
      <x:c r="H48" s="18" t="n">
        <x:f>SUM(H32:H47)</x:f>
        <x:v>-15</x:v>
      </x:c>
    </x:row>
    <x:row r="49">
      <x:c r="B49" s="3" t="s">
        <x:v>344</x:v>
      </x:c>
      <x:c r="C49" s="13" t="n">
        <x:f>C13-C10-C48</x:f>
        <x:v>0</x:v>
      </x:c>
      <x:c r="D49" s="13" t="n">
        <x:f>D13-D10-D48</x:f>
        <x:v>0</x:v>
      </x:c>
      <x:c r="E49" s="13" t="n">
        <x:f>E13-E10-E48</x:f>
        <x:v>0</x:v>
      </x:c>
      <x:c r="F49" s="13" t="n">
        <x:f>F13-F10-F48</x:f>
        <x:v>0</x:v>
      </x:c>
      <x:c r="G49" s="13" t="n">
        <x:f>G13-G10-G48</x:f>
        <x:v>2.842170943040401e-14</x:v>
      </x:c>
      <x:c r="H49" s="14" t="n">
        <x:f>H13-H10-H48</x:f>
        <x:v>0</x:v>
      </x:c>
    </x:row>
    <x:row r="50">
      <x:c r="B50" s="3" t="s">
        <x:v>345</x:v>
      </x:c>
      <x:c r="C50" s="13"/>
      <x:c r="D50" s="13"/>
      <x:c r="E50" s="13"/>
      <x:c r="F50" s="13"/>
      <x:c r="G50" s="13"/>
      <x:c r="H50" s="14"/>
    </x:row>
    <x:row r="51">
      <x:c r="B51" s="3" t="s">
        <x:v>346</x:v>
      </x:c>
      <x:c r="C51" s="17" t="n">
        <x:f>Inputs!C206-Inputs!E206</x:f>
        <x:v>-131.46800000000002</x:v>
      </x:c>
      <x:c r="D51" s="17" t="n">
        <x:f>Inputs!D206-Inputs!C206</x:f>
        <x:v>-139.75799999999998</x:v>
      </x:c>
      <x:c r="E51" s="17" t="n">
        <x:f>Inputs!F206-Inputs!D206</x:f>
        <x:v>-133.02700000000004</x:v>
      </x:c>
      <x:c r="F51" s="17" t="n">
        <x:f>Inputs!F206</x:f>
        <x:v>-540.989</x:v>
      </x:c>
      <x:c r="G51" s="17" t="n">
        <x:f>Inputs!G206</x:f>
        <x:v>-103.335</x:v>
      </x:c>
      <x:c r="H51" s="24" t="n">
        <x:f>Inputs!H73</x:f>
        <x:v>-100</x:v>
      </x:c>
    </x:row>
    <x:row r="52">
      <x:c r="B52" s="3" t="s">
        <x:v>347</x:v>
      </x:c>
      <x:c r="C52" s="17" t="n">
        <x:f>Inputs!C207-Inputs!E207</x:f>
        <x:v>0.3</x:v>
      </x:c>
      <x:c r="D52" s="17" t="n">
        <x:f>Inputs!D207-Inputs!C207</x:f>
        <x:v>0.03700000000000003</x:v>
      </x:c>
      <x:c r="E52" s="17" t="n">
        <x:f>Inputs!F207-Inputs!D207</x:f>
        <x:v>0.032999999999999974</x:v>
      </x:c>
      <x:c r="F52" s="17" t="n">
        <x:f>Inputs!F207</x:f>
        <x:v>0.418</x:v>
      </x:c>
      <x:c r="G52" s="17" t="n">
        <x:f>Inputs!G207</x:f>
        <x:v>0.063</x:v>
      </x:c>
      <x:c r="H52" s="24" t="n">
        <x:f>Inputs!H219</x:f>
        <x:v>0</x:v>
      </x:c>
    </x:row>
    <x:row r="53">
      <x:c r="B53" s="3" t="s">
        <x:v>348</x:v>
      </x:c>
      <x:c r="C53" s="17" t="n">
        <x:f>Inputs!C208-Inputs!E208</x:f>
        <x:v>-0.8389999999999995</x:v>
      </x:c>
      <x:c r="D53" s="17" t="n">
        <x:f>Inputs!D208-Inputs!C208</x:f>
        <x:v>-2.989</x:v>
      </x:c>
      <x:c r="E53" s="17" t="n">
        <x:f>Inputs!F208-Inputs!D208</x:f>
        <x:v>-1.2530000000000001</x:v>
      </x:c>
      <x:c r="F53" s="17" t="n">
        <x:f>Inputs!F208</x:f>
        <x:v>-10.007</x:v>
      </x:c>
      <x:c r="G53" s="17" t="n">
        <x:f>Inputs!G208</x:f>
        <x:v>-1.668</x:v>
      </x:c>
      <x:c r="H53" s="24" t="n">
        <x:f>Inputs!H219</x:f>
        <x:v>0</x:v>
      </x:c>
    </x:row>
    <x:row r="54">
      <x:c r="B54" s="3" t="s">
        <x:v>349</x:v>
      </x:c>
      <x:c r="C54" s="17" t="n">
        <x:f>Inputs!C209-Inputs!E209</x:f>
        <x:v>0.73</x:v>
      </x:c>
      <x:c r="D54" s="17" t="n">
        <x:f>Inputs!D209-Inputs!C209</x:f>
        <x:v>0.7669999999999999</x:v>
      </x:c>
      <x:c r="E54" s="17" t="n">
        <x:f>Inputs!F209-Inputs!D209</x:f>
        <x:v>1.0720000000000003</x:v>
      </x:c>
      <x:c r="F54" s="17" t="n">
        <x:f>Inputs!F209</x:f>
        <x:v>2.994</x:v>
      </x:c>
      <x:c r="G54" s="17" t="n">
        <x:f>Inputs!G209</x:f>
        <x:v>0.845</x:v>
      </x:c>
      <x:c r="H54" s="24" t="n">
        <x:f>Inputs!H219</x:f>
        <x:v>0</x:v>
      </x:c>
    </x:row>
    <x:row r="55">
      <x:c r="B55" s="3" t="s">
        <x:v>350</x:v>
      </x:c>
      <x:c r="C55" s="17" t="n">
        <x:f>Inputs!C210-Inputs!E210</x:f>
        <x:v>0</x:v>
      </x:c>
      <x:c r="D55" s="17" t="n">
        <x:f>Inputs!D210-Inputs!C210</x:f>
        <x:v>3.132</x:v>
      </x:c>
      <x:c r="E55" s="17" t="n">
        <x:f>Inputs!F210-Inputs!D210</x:f>
        <x:v>4.407</x:v>
      </x:c>
      <x:c r="F55" s="17" t="n">
        <x:f>Inputs!F210</x:f>
        <x:v>7.539</x:v>
      </x:c>
      <x:c r="G55" s="17" t="n">
        <x:f>Inputs!G210</x:f>
        <x:v>4.469</x:v>
      </x:c>
      <x:c r="H55" s="24" t="n">
        <x:f>Inputs!H219</x:f>
        <x:v>0</x:v>
      </x:c>
    </x:row>
    <x:row r="56">
      <x:c r="B56" s="15" t="s">
        <x:v>351</x:v>
      </x:c>
      <x:c r="C56" s="23" t="n">
        <x:f>SUM(C51:C55)</x:f>
        <x:v>-131.27700000000002</x:v>
      </x:c>
      <x:c r="D56" s="23" t="n">
        <x:f>SUM(D51:D55)</x:f>
        <x:v>-138.81099999999998</x:v>
      </x:c>
      <x:c r="E56" s="23" t="n">
        <x:f>SUM(E51:E55)</x:f>
        <x:v>-128.76800000000006</x:v>
      </x:c>
      <x:c r="F56" s="23" t="n">
        <x:f>SUM(F51:F55)</x:f>
        <x:v>-540.045</x:v>
      </x:c>
      <x:c r="G56" s="23" t="n">
        <x:f>SUM(G51:G55)</x:f>
        <x:v>-99.626</x:v>
      </x:c>
      <x:c r="H56" s="18" t="n">
        <x:f>SUM(H51:H55)</x:f>
        <x:v>-100</x:v>
      </x:c>
    </x:row>
    <x:row r="57">
      <x:c r="B57" s="3" t="s">
        <x:v>352</x:v>
      </x:c>
      <x:c r="C57" s="13" t="n">
        <x:f>C17-C56</x:f>
        <x:v>0</x:v>
      </x:c>
      <x:c r="D57" s="13" t="n">
        <x:f>D17-D56</x:f>
        <x:v>0</x:v>
      </x:c>
      <x:c r="E57" s="13" t="n">
        <x:f>E17-E56</x:f>
        <x:v>0</x:v>
      </x:c>
      <x:c r="F57" s="13" t="n">
        <x:f>F17-F56</x:f>
        <x:v>0</x:v>
      </x:c>
      <x:c r="G57" s="13" t="n">
        <x:f>G17-G56</x:f>
        <x:v>0</x:v>
      </x:c>
      <x:c r="H57" s="14" t="n">
        <x:f>H17-H56</x:f>
        <x:v>0</x:v>
      </x:c>
    </x:row>
    <x:row r="58">
      <x:c r="B58" s="3" t="s">
        <x:v>353</x:v>
      </x:c>
      <x:c r="C58" s="13"/>
      <x:c r="D58" s="13"/>
      <x:c r="E58" s="13"/>
      <x:c r="F58" s="13"/>
      <x:c r="G58" s="13"/>
      <x:c r="H58" s="14"/>
    </x:row>
    <x:row r="59">
      <x:c r="B59" s="3" t="s">
        <x:v>354</x:v>
      </x:c>
      <x:c r="C59" s="17" t="n">
        <x:f>Inputs!C211-Inputs!E211</x:f>
        <x:v>0</x:v>
      </x:c>
      <x:c r="D59" s="17" t="n">
        <x:f>Inputs!D211-Inputs!C211</x:f>
        <x:v>0</x:v>
      </x:c>
      <x:c r="E59" s="17" t="n">
        <x:f>Inputs!F211-Inputs!D211</x:f>
        <x:v>1451.4</x:v>
      </x:c>
      <x:c r="F59" s="17" t="n">
        <x:f>Inputs!F211</x:f>
        <x:v>1538.4</x:v>
      </x:c>
      <x:c r="G59" s="17" t="n">
        <x:f>Inputs!G211</x:f>
        <x:v>1517.8</x:v>
      </x:c>
      <x:c r="H59" s="24" t="n">
        <x:f>Inputs!H219</x:f>
        <x:v>0</x:v>
      </x:c>
    </x:row>
    <x:row r="60">
      <x:c r="B60" s="3" t="s">
        <x:v>355</x:v>
      </x:c>
      <x:c r="C60" s="17" t="n">
        <x:f>Inputs!C212-Inputs!E212</x:f>
        <x:v>-4.0249999999999915</x:v>
      </x:c>
      <x:c r="D60" s="17" t="n">
        <x:f>Inputs!D212-Inputs!C212</x:f>
        <x:v>-204.05200000000002</x:v>
      </x:c>
      <x:c r="E60" s="17" t="n">
        <x:f>Inputs!F212-Inputs!D212</x:f>
        <x:v>-614.797</x:v>
      </x:c>
      <x:c r="F60" s="17" t="n">
        <x:f>Inputs!F212</x:f>
        <x:v>-913.804</x:v>
      </x:c>
      <x:c r="G60" s="17" t="n">
        <x:f>Inputs!G212</x:f>
        <x:v>-1669.622</x:v>
      </x:c>
      <x:c r="H60" s="24" t="n">
        <x:f>Inputs!H74</x:f>
        <x:v>-20</x:v>
      </x:c>
    </x:row>
    <x:row r="61">
      <x:c r="B61" s="3" t="s">
        <x:v>356</x:v>
      </x:c>
      <x:c r="C61" s="17" t="n">
        <x:f>Inputs!C213-Inputs!E213</x:f>
        <x:v>-4.384</x:v>
      </x:c>
      <x:c r="D61" s="17" t="n">
        <x:f>Inputs!D213-Inputs!C213</x:f>
        <x:v>-5.276</x:v>
      </x:c>
      <x:c r="E61" s="17" t="n">
        <x:f>Inputs!F213-Inputs!D213</x:f>
        <x:v>-5.672000000000001</x:v>
      </x:c>
      <x:c r="F61" s="17" t="n">
        <x:f>Inputs!F213</x:f>
        <x:v>-24.227</x:v>
      </x:c>
      <x:c r="G61" s="17" t="n">
        <x:f>Inputs!G213</x:f>
        <x:v>-6.048</x:v>
      </x:c>
      <x:c r="H61" s="24" t="n">
        <x:f>Inputs!H219</x:f>
        <x:v>0</x:v>
      </x:c>
    </x:row>
    <x:row r="62">
      <x:c r="B62" s="3" t="s">
        <x:v>357</x:v>
      </x:c>
      <x:c r="C62" s="17" t="n">
        <x:f>Inputs!C214-Inputs!E214</x:f>
        <x:v>-3.6620000000000004</x:v>
      </x:c>
      <x:c r="D62" s="17" t="n">
        <x:f>Inputs!D214-Inputs!C214</x:f>
        <x:v>-3.8970000000000002</x:v>
      </x:c>
      <x:c r="E62" s="17" t="n">
        <x:f>Inputs!F214-Inputs!D214</x:f>
        <x:v>-4.042</x:v>
      </x:c>
      <x:c r="F62" s="17" t="n">
        <x:f>Inputs!F214</x:f>
        <x:v>-15.044</x:v>
      </x:c>
      <x:c r="G62" s="17" t="n">
        <x:f>Inputs!G214</x:f>
        <x:v>-4.084</x:v>
      </x:c>
      <x:c r="H62" s="24" t="n">
        <x:f>Inputs!H219</x:f>
        <x:v>0</x:v>
      </x:c>
    </x:row>
    <x:row r="63">
      <x:c r="B63" s="3" t="s">
        <x:v>358</x:v>
      </x:c>
      <x:c r="C63" s="17" t="n">
        <x:f>Inputs!C215-Inputs!E215</x:f>
        <x:v>2859.305</x:v>
      </x:c>
      <x:c r="D63" s="17" t="n">
        <x:f>Inputs!D215-Inputs!C215</x:f>
        <x:v>2729.001</x:v>
      </x:c>
      <x:c r="E63" s="17" t="n">
        <x:f>Inputs!F215-Inputs!D215</x:f>
        <x:v>3483.205</x:v>
      </x:c>
      <x:c r="F63" s="17" t="n">
        <x:f>Inputs!F215</x:f>
        <x:v>13060.375</x:v>
      </x:c>
      <x:c r="G63" s="17" t="n">
        <x:f>Inputs!G215</x:f>
        <x:v>3261.564</x:v>
      </x:c>
      <x:c r="H63" s="24" t="n">
        <x:f>Inputs!H219</x:f>
        <x:v>0</x:v>
      </x:c>
    </x:row>
    <x:row r="64">
      <x:c r="B64" s="3" t="s">
        <x:v>359</x:v>
      </x:c>
      <x:c r="C64" s="17" t="n">
        <x:f>Inputs!C216-Inputs!E216</x:f>
        <x:v>-3004.689</x:v>
      </x:c>
      <x:c r="D64" s="17" t="n">
        <x:f>Inputs!D216-Inputs!C216</x:f>
        <x:v>-3818.8470000000007</x:v>
      </x:c>
      <x:c r="E64" s="17" t="n">
        <x:f>Inputs!F216-Inputs!D216</x:f>
        <x:v>-3622.664999999999</x:v>
      </x:c>
      <x:c r="F64" s="17" t="n">
        <x:f>Inputs!F216</x:f>
        <x:v>-14352.524</x:v>
      </x:c>
      <x:c r="G64" s="17" t="n">
        <x:f>Inputs!G216</x:f>
        <x:v>-3006.781</x:v>
      </x:c>
      <x:c r="H64" s="24" t="n">
        <x:f>Inputs!H219</x:f>
        <x:v>0</x:v>
      </x:c>
    </x:row>
    <x:row r="65">
      <x:c r="B65" s="3" t="s">
        <x:v>360</x:v>
      </x:c>
      <x:c r="C65" s="17" t="n">
        <x:f>Inputs!C217-Inputs!E217</x:f>
        <x:v>-180.846</x:v>
      </x:c>
      <x:c r="D65" s="17" t="n">
        <x:f>Inputs!D217-Inputs!C217</x:f>
        <x:v>-203.56700000000006</x:v>
      </x:c>
      <x:c r="E65" s="17" t="n">
        <x:f>Inputs!F217-Inputs!D217</x:f>
        <x:v>-54.34599999999989</x:v>
      </x:c>
      <x:c r="F65" s="17" t="n">
        <x:f>Inputs!F217</x:f>
        <x:v>-642.786</x:v>
      </x:c>
      <x:c r="G65" s="17" t="n">
        <x:f>Inputs!G217</x:f>
        <x:v>-2.308</x:v>
      </x:c>
      <x:c r="H65" s="24" t="n">
        <x:f>-'Share Count'!H14</x:f>
        <x:v>0</x:v>
      </x:c>
    </x:row>
    <x:row r="66">
      <x:c r="B66" s="3" t="s">
        <x:v>361</x:v>
      </x:c>
      <x:c r="C66" s="17" t="n">
        <x:f>Inputs!C218-Inputs!E218</x:f>
        <x:v>0.019999999999999574</x:v>
      </x:c>
      <x:c r="D66" s="17" t="n">
        <x:f>Inputs!D218-Inputs!C218</x:f>
        <x:v>0</x:v>
      </x:c>
      <x:c r="E66" s="17" t="n">
        <x:f>Inputs!F218-Inputs!D218</x:f>
        <x:v>-0.0009999999999994458</x:v>
      </x:c>
      <x:c r="F66" s="17" t="n">
        <x:f>Inputs!F218</x:f>
        <x:v>8.348</x:v>
      </x:c>
      <x:c r="G66" s="17" t="n">
        <x:f>Inputs!G218</x:f>
        <x:v>0</x:v>
      </x:c>
      <x:c r="H66" s="24" t="n">
        <x:f>Inputs!H219</x:f>
        <x:v>0</x:v>
      </x:c>
    </x:row>
    <x:row r="67">
      <x:c r="B67" s="15" t="s">
        <x:v>362</x:v>
      </x:c>
      <x:c r="C67" s="23" t="n">
        <x:f>SUM(C59:C66)</x:f>
        <x:v>-338.28099999999995</x:v>
      </x:c>
      <x:c r="D67" s="23" t="n">
        <x:f>SUM(D59:D66)</x:f>
        <x:v>-1506.6380000000004</x:v>
      </x:c>
      <x:c r="E67" s="23" t="n">
        <x:f>SUM(E59:E66)</x:f>
        <x:v>633.0820000000011</x:v>
      </x:c>
      <x:c r="F67" s="23" t="n">
        <x:f>SUM(F59:F66)</x:f>
        <x:v>-1341.2619999999988</x:v>
      </x:c>
      <x:c r="G67" s="23" t="n">
        <x:f>SUM(G59:G66)</x:f>
        <x:v>90.52099999999973</x:v>
      </x:c>
      <x:c r="H67" s="18" t="n">
        <x:f>SUM(H59:H66)</x:f>
        <x:v>-20</x:v>
      </x:c>
    </x:row>
    <x:row r="68">
      <x:c r="B68" s="3" t="s">
        <x:v>363</x:v>
      </x:c>
      <x:c r="C68" s="13" t="n">
        <x:f>C20-C67</x:f>
        <x:v>0</x:v>
      </x:c>
      <x:c r="D68" s="13" t="n">
        <x:f>D20-D67</x:f>
        <x:v>0</x:v>
      </x:c>
      <x:c r="E68" s="13" t="n">
        <x:f>E20-E67</x:f>
        <x:v>0</x:v>
      </x:c>
      <x:c r="F68" s="13" t="n">
        <x:f>F20-F67</x:f>
        <x:v>0</x:v>
      </x:c>
      <x:c r="G68" s="13" t="n">
        <x:f>G20-G67</x:f>
        <x:v>0</x:v>
      </x:c>
      <x:c r="H68" s="14" t="n">
        <x:f>H20-H67</x:f>
        <x:v>0</x:v>
      </x:c>
    </x:row>
    <x:row r="69">
      <x:c r="B69" s="2"/>
      <x:c r="C69" s="13"/>
      <x:c r="D69" s="13"/>
      <x:c r="E69" s="13"/>
      <x:c r="F69" s="13"/>
      <x:c r="G69" s="13"/>
      <x:c r="H69" s="14"/>
    </x:row>
    <x:row r="70">
      <x:c r="B70" s="2"/>
      <x:c r="C70" s="13"/>
      <x:c r="D70" s="13"/>
      <x:c r="E70" s="13"/>
      <x:c r="F70" s="13"/>
      <x:c r="G70" s="13"/>
      <x:c r="H70" s="14"/>
    </x:row>
    <x:row r="71">
      <x:c r="B71" s="2"/>
      <x:c r="C71" s="13"/>
      <x:c r="D71" s="13"/>
      <x:c r="E71" s="13"/>
      <x:c r="F71" s="13"/>
      <x:c r="G71" s="13"/>
      <x:c r="H71" s="14"/>
    </x:row>
    <x:row r="72">
      <x:c r="B72" s="2"/>
      <x:c r="C72" s="13"/>
      <x:c r="D72" s="13"/>
      <x:c r="E72" s="13"/>
      <x:c r="F72" s="13"/>
      <x:c r="G72" s="13"/>
      <x:c r="H72" s="14"/>
    </x:row>
    <x:row r="73">
      <x:c r="B73" s="2"/>
      <x:c r="C73" s="13"/>
      <x:c r="D73" s="13"/>
      <x:c r="E73" s="13"/>
      <x:c r="F73" s="13"/>
      <x:c r="G73" s="13"/>
      <x:c r="H73" s="14"/>
    </x:row>
    <x:row r="74">
      <x:c r="B74" s="2"/>
      <x:c r="C74" s="13"/>
      <x:c r="D74" s="13"/>
      <x:c r="E74" s="13"/>
      <x:c r="F74" s="13"/>
      <x:c r="G74" s="13"/>
      <x:c r="H74" s="14"/>
    </x:row>
    <x:row r="75">
      <x:c r="B75" s="2"/>
      <x:c r="C75" s="13"/>
      <x:c r="D75" s="13"/>
      <x:c r="E75" s="13"/>
      <x:c r="F75" s="13"/>
      <x:c r="G75" s="13"/>
      <x:c r="H75" s="14"/>
    </x:row>
    <x:row r="76">
      <x:c r="B76" s="2"/>
      <x:c r="C76" s="13"/>
      <x:c r="D76" s="13"/>
      <x:c r="E76" s="13"/>
      <x:c r="F76" s="13"/>
      <x:c r="G76" s="13"/>
      <x:c r="H76" s="14"/>
    </x:row>
    <x:row r="77">
      <x:c r="B77" s="2"/>
      <x:c r="C77" s="13"/>
      <x:c r="D77" s="13"/>
      <x:c r="E77" s="13"/>
      <x:c r="F77" s="13"/>
      <x:c r="G77" s="13"/>
      <x:c r="H77" s="14"/>
    </x:row>
    <x:row r="78">
      <x:c r="B78" s="2"/>
      <x:c r="C78" s="13"/>
      <x:c r="D78" s="13"/>
      <x:c r="E78" s="13"/>
      <x:c r="F78" s="13"/>
      <x:c r="G78" s="13"/>
      <x:c r="H78" s="14"/>
    </x:row>
    <x:row r="79">
      <x:c r="B79" s="2"/>
      <x:c r="C79" s="13"/>
      <x:c r="D79" s="13"/>
      <x:c r="E79" s="13"/>
      <x:c r="F79" s="13"/>
      <x:c r="G79" s="13"/>
      <x:c r="H79" s="14"/>
    </x:row>
    <x:row r="80">
      <x:c r="B80" s="2"/>
      <x:c r="C80" s="13"/>
      <x:c r="D80" s="13"/>
      <x:c r="E80" s="13"/>
      <x:c r="F80" s="13"/>
      <x:c r="G80" s="13"/>
      <x:c r="H80" s="14"/>
    </x:row>
    <x:row r="81">
      <x:c r="B81" s="2"/>
      <x:c r="C81" s="13"/>
      <x:c r="D81" s="13"/>
      <x:c r="E81" s="13"/>
      <x:c r="F81" s="13"/>
      <x:c r="G81" s="13"/>
      <x:c r="H81" s="14"/>
    </x:row>
    <x:row r="82">
      <x:c r="B82" s="2"/>
      <x:c r="C82" s="13"/>
      <x:c r="D82" s="13"/>
      <x:c r="E82" s="13"/>
      <x:c r="F82" s="13"/>
      <x:c r="G82" s="13"/>
      <x:c r="H82" s="14"/>
    </x:row>
    <x:row r="83">
      <x:c r="B83" s="2"/>
      <x:c r="C83" s="13"/>
      <x:c r="D83" s="13"/>
      <x:c r="E83" s="13"/>
      <x:c r="F83" s="13"/>
      <x:c r="G83" s="13"/>
      <x:c r="H83" s="14"/>
    </x:row>
    <x:row r="84">
      <x:c r="B84" s="2"/>
      <x:c r="C84" s="13"/>
      <x:c r="D84" s="13"/>
      <x:c r="E84" s="13"/>
      <x:c r="F84" s="13"/>
      <x:c r="G84" s="13"/>
      <x:c r="H84" s="14"/>
    </x:row>
    <x:row r="85">
      <x:c r="B85" s="2"/>
      <x:c r="C85" s="13"/>
      <x:c r="D85" s="13"/>
      <x:c r="E85" s="13"/>
      <x:c r="F85" s="13"/>
      <x:c r="G85" s="13"/>
      <x:c r="H85" s="14"/>
    </x:row>
    <x:row r="86">
      <x:c r="B86" s="2"/>
      <x:c r="C86" s="13"/>
      <x:c r="D86" s="13"/>
      <x:c r="E86" s="13"/>
      <x:c r="F86" s="13"/>
      <x:c r="G86" s="13"/>
      <x:c r="H86" s="14"/>
    </x:row>
    <x:row r="87">
      <x:c r="B87" s="2"/>
      <x:c r="C87" s="13"/>
      <x:c r="D87" s="13"/>
      <x:c r="E87" s="13"/>
      <x:c r="F87" s="13"/>
      <x:c r="G87" s="13"/>
      <x:c r="H87" s="14"/>
    </x:row>
    <x:row r="88">
      <x:c r="B88" s="2"/>
      <x:c r="C88" s="13"/>
      <x:c r="D88" s="13"/>
      <x:c r="E88" s="13"/>
      <x:c r="F88" s="13"/>
      <x:c r="G88" s="13"/>
      <x:c r="H88" s="14"/>
    </x:row>
    <x:row r="89">
      <x:c r="B89" s="2"/>
      <x:c r="C89" s="13"/>
      <x:c r="D89" s="13"/>
      <x:c r="E89" s="13"/>
      <x:c r="F89" s="13"/>
      <x:c r="G89" s="13"/>
      <x:c r="H89" s="14"/>
    </x:row>
    <x:row r="90">
      <x:c r="B90" s="2"/>
      <x:c r="C90" s="13"/>
      <x:c r="D90" s="13"/>
      <x:c r="E90" s="13"/>
      <x:c r="F90" s="13"/>
      <x:c r="G90" s="13"/>
      <x:c r="H90" s="14"/>
    </x:row>
    <x:row r="91">
      <x:c r="B91" s="2"/>
      <x:c r="C91" s="13"/>
      <x:c r="D91" s="13"/>
      <x:c r="E91" s="13"/>
      <x:c r="F91" s="13"/>
      <x:c r="G91" s="13"/>
      <x:c r="H91" s="14"/>
    </x:row>
    <x:row r="92">
      <x:c r="B92" s="2"/>
      <x:c r="C92" s="13"/>
      <x:c r="D92" s="13"/>
      <x:c r="E92" s="13"/>
      <x:c r="F92" s="13"/>
      <x:c r="G92" s="13"/>
      <x:c r="H92" s="14"/>
    </x:row>
    <x:row r="93">
      <x:c r="B93" s="2"/>
      <x:c r="C93" s="13"/>
      <x:c r="D93" s="13"/>
      <x:c r="E93" s="13"/>
      <x:c r="F93" s="13"/>
      <x:c r="G93" s="13"/>
      <x:c r="H93" s="14"/>
    </x:row>
    <x:row r="94">
      <x:c r="B94" s="2"/>
      <x:c r="C94" s="13"/>
      <x:c r="D94" s="13"/>
      <x:c r="E94" s="13"/>
      <x:c r="F94" s="13"/>
      <x:c r="G94" s="13"/>
      <x:c r="H94" s="14"/>
    </x:row>
    <x:row r="95">
      <x:c r="B95" s="2"/>
      <x:c r="C95" s="13"/>
      <x:c r="D95" s="13"/>
      <x:c r="E95" s="13"/>
      <x:c r="F95" s="13"/>
      <x:c r="G95" s="13"/>
      <x:c r="H95" s="14"/>
    </x:row>
    <x:row r="96">
      <x:c r="B96" s="2"/>
      <x:c r="C96" s="13"/>
      <x:c r="D96" s="13"/>
      <x:c r="E96" s="13"/>
      <x:c r="F96" s="13"/>
      <x:c r="G96" s="13"/>
      <x:c r="H96" s="14"/>
    </x:row>
    <x:row r="97">
      <x:c r="B97" s="2"/>
      <x:c r="C97" s="13"/>
      <x:c r="D97" s="13"/>
      <x:c r="E97" s="13"/>
      <x:c r="F97" s="13"/>
      <x:c r="G97" s="13"/>
      <x:c r="H97" s="14"/>
    </x:row>
    <x:row r="98">
      <x:c r="B98" s="2"/>
      <x:c r="C98" s="13"/>
      <x:c r="D98" s="13"/>
      <x:c r="E98" s="13"/>
      <x:c r="F98" s="13"/>
      <x:c r="G98" s="13"/>
      <x:c r="H98" s="14"/>
    </x:row>
    <x:row r="99">
      <x:c r="B99" s="2"/>
      <x:c r="C99" s="13"/>
      <x:c r="D99" s="13"/>
      <x:c r="E99" s="13"/>
      <x:c r="F99" s="13"/>
      <x:c r="G99" s="13"/>
      <x:c r="H99" s="14"/>
    </x:row>
    <x:row r="100">
      <x:c r="B100" s="2"/>
      <x:c r="C100" s="13"/>
      <x:c r="D100" s="13"/>
      <x:c r="E100" s="13"/>
      <x:c r="F100" s="13"/>
      <x:c r="G100" s="13"/>
      <x:c r="H100" s="14"/>
    </x:row>
    <x:row r="101">
      <x:c r="B101" s="2"/>
      <x:c r="C101" s="13"/>
      <x:c r="D101" s="13"/>
      <x:c r="E101" s="13"/>
      <x:c r="F101" s="13"/>
      <x:c r="G101" s="13"/>
      <x:c r="H101" s="14"/>
    </x:row>
    <x:row r="102">
      <x:c r="B102" s="2"/>
      <x:c r="C102" s="13"/>
      <x:c r="D102" s="13"/>
      <x:c r="E102" s="13"/>
      <x:c r="F102" s="13"/>
      <x:c r="G102" s="13"/>
      <x:c r="H102" s="14"/>
    </x:row>
    <x:row r="103">
      <x:c r="B103" s="2"/>
      <x:c r="C103" s="13"/>
      <x:c r="D103" s="13"/>
      <x:c r="E103" s="13"/>
      <x:c r="F103" s="13"/>
      <x:c r="G103" s="13"/>
      <x:c r="H103" s="14"/>
    </x:row>
    <x:row r="104">
      <x:c r="B104" s="2"/>
      <x:c r="C104" s="13"/>
      <x:c r="D104" s="13"/>
      <x:c r="E104" s="13"/>
      <x:c r="F104" s="13"/>
      <x:c r="G104" s="13"/>
      <x:c r="H104" s="14"/>
    </x:row>
    <x:row r="105">
      <x:c r="B105" s="2"/>
      <x:c r="C105" s="13"/>
      <x:c r="D105" s="13"/>
      <x:c r="E105" s="13"/>
      <x:c r="F105" s="13"/>
      <x:c r="G105" s="13"/>
      <x:c r="H105" s="14"/>
    </x:row>
    <x:row r="106">
      <x:c r="H106" s="1"/>
    </x:row>
    <x:row r="107">
      <x:c r="H107" s="1"/>
    </x:row>
    <x:row r="108">
      <x:c r="H108" s="1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75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364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3" t="s">
        <x:v>365</x:v>
      </x:c>
      <x:c r="C9" s="13"/>
      <x:c r="D9" s="13"/>
      <x:c r="E9" s="13"/>
      <x:c r="F9" s="13"/>
      <x:c r="G9" s="13"/>
      <x:c r="H9" s="14"/>
    </x:row>
    <x:row r="10" ht="26.25">
      <x:c r="B10" s="3" t="s">
        <x:v>257</x:v>
      </x:c>
      <x:c r="C10" s="17" t="n">
        <x:f>Inputs!C42</x:f>
        <x:v>149.291</x:v>
      </x:c>
      <x:c r="D10" s="17" t="n">
        <x:f>Inputs!D42</x:f>
        <x:v>145.548</x:v>
      </x:c>
      <x:c r="E10" s="17" t="n">
        <x:f>Inputs!E42</x:f>
        <x:v>141.923</x:v>
      </x:c>
      <x:c r="F10" s="17" t="n">
        <x:f>Inputs!F42</x:f>
        <x:v>147.258</x:v>
      </x:c>
      <x:c r="G10" s="17" t="n">
        <x:f>Inputs!G42</x:f>
        <x:v>141.847</x:v>
      </x:c>
      <x:c r="H10" s="24" t="n">
        <x:f>Inputs!H42</x:f>
        <x:v>141.85</x:v>
      </x:c>
    </x:row>
    <x:row r="11" ht="26.25">
      <x:c r="B11" s="3" t="s">
        <x:v>366</x:v>
      </x:c>
      <x:c r="C11" s="13" t="n">
        <x:f>C12-C10</x:f>
        <x:v>0.34600000000000364</x:v>
      </x:c>
      <x:c r="D11" s="13" t="n">
        <x:f>D12-D10</x:f>
        <x:v>0.3160000000000025</x:v>
      </x:c>
      <x:c r="E11" s="13" t="n">
        <x:f>E12-E10</x:f>
        <x:v>0</x:v>
      </x:c>
      <x:c r="F11" s="13" t="n">
        <x:f>F12-F10</x:f>
        <x:v>0.35499999999998977</x:v>
      </x:c>
      <x:c r="G11" s="13" t="n">
        <x:f>G12-G10</x:f>
        <x:v>0.3009999999999877</x:v>
      </x:c>
      <x:c r="H11" s="14" t="n">
        <x:f>H12-H10</x:f>
        <x:v>0.25</x:v>
      </x:c>
    </x:row>
    <x:row r="12" ht="26.25">
      <x:c r="B12" s="15" t="s">
        <x:v>367</x:v>
      </x:c>
      <x:c r="C12" s="20" t="n">
        <x:f>Inputs!C43</x:f>
        <x:v>149.637</x:v>
      </x:c>
      <x:c r="D12" s="20" t="n">
        <x:f>Inputs!D43</x:f>
        <x:v>145.864</x:v>
      </x:c>
      <x:c r="E12" s="20" t="n">
        <x:f>Inputs!E43</x:f>
        <x:v>141.923</x:v>
      </x:c>
      <x:c r="F12" s="20" t="n">
        <x:f>Inputs!F43</x:f>
        <x:v>147.613</x:v>
      </x:c>
      <x:c r="G12" s="20" t="n">
        <x:f>Inputs!G43</x:f>
        <x:v>142.148</x:v>
      </x:c>
      <x:c r="H12" s="25" t="n">
        <x:f>Inputs!H43</x:f>
        <x:v>142.1</x:v>
      </x:c>
    </x:row>
    <x:row r="13">
      <x:c r="B13" s="15" t="s">
        <x:v>368</x:v>
      </x:c>
      <x:c r="C13" s="23" t="n">
        <x:f>C12</x:f>
        <x:v>149.637</x:v>
      </x:c>
      <x:c r="D13" s="23" t="n">
        <x:f>D12</x:f>
        <x:v>145.864</x:v>
      </x:c>
      <x:c r="E13" s="23" t="n">
        <x:f>E12</x:f>
        <x:v>141.923</x:v>
      </x:c>
      <x:c r="F13" s="23" t="n">
        <x:f>F12</x:f>
        <x:v>147.613</x:v>
      </x:c>
      <x:c r="G13" s="23" t="n">
        <x:f>G12</x:f>
        <x:v>142.148</x:v>
      </x:c>
      <x:c r="H13" s="18" t="n">
        <x:f>H12</x:f>
        <x:v>142.1</x:v>
      </x:c>
    </x:row>
    <x:row r="14" ht="26.25">
      <x:c r="B14" s="3" t="s">
        <x:v>369</x:v>
      </x:c>
      <x:c r="C14" s="28">
        <x:v>180</x:v>
      </x:c>
      <x:c r="D14" s="28">
        <x:v>201.6</x:v>
      </x:c>
      <x:c r="E14" s="28">
        <x:v>50.4</x:v>
      </x:c>
      <x:c r="F14" s="28">
        <x:v>631.8</x:v>
      </x:c>
      <x:c r="G14" s="28">
        <x:v>0</x:v>
      </x:c>
      <x:c r="H14" s="14" t="n">
        <x:f>G14</x:f>
        <x:v>0</x:v>
      </x:c>
    </x:row>
    <x:row r="15" ht="26.25">
      <x:c r="B15" s="3" t="s">
        <x:v>370</x:v>
      </x:c>
      <x:c r="C15" s="28">
        <x:v>2.9</x:v>
      </x:c>
      <x:c r="D15" s="28">
        <x:v>4.6</x:v>
      </x:c>
      <x:c r="E15" s="28">
        <x:v>1.3</x:v>
      </x:c>
      <x:c r="F15" s="28">
        <x:v>11.8</x:v>
      </x:c>
      <x:c r="G15" s="28">
        <x:v>0</x:v>
      </x:c>
      <x:c r="H15" s="14" t="n">
        <x:f>G15</x:f>
        <x:v>0</x:v>
      </x:c>
    </x:row>
    <x:row r="16" ht="26.25">
      <x:c r="B16" s="3" t="s">
        <x:v>371</x:v>
      </x:c>
      <x:c r="C16" s="13"/>
      <x:c r="D16" s="13"/>
      <x:c r="E16" s="13"/>
      <x:c r="F16" s="13"/>
      <x:c r="G16" s="28" t="n">
        <x:f>G17-E17+G15</x:f>
        <x:v>0.11002899999999727</x:v>
      </x:c>
      <x:c r="H16" s="14" t="n">
        <x:f>G16</x:f>
        <x:v>0.11002899999999727</x:v>
      </x:c>
    </x:row>
    <x:row r="17" ht="26.25">
      <x:c r="B17" s="15" t="s">
        <x:v>372</x:v>
      </x:c>
      <x:c r="C17" s="31">
        <x:v>147.673338</x:v>
      </x:c>
      <x:c r="D17" s="31">
        <x:v>143.062439</x:v>
      </x:c>
      <x:c r="E17" s="31">
        <x:v>141.79907</x:v>
      </x:c>
      <x:c r="F17" s="23" t="n">
        <x:f>E17</x:f>
        <x:v>141.79907</x:v>
      </x:c>
      <x:c r="G17" s="31">
        <x:v>141.909099</x:v>
      </x:c>
      <x:c r="H17" s="18" t="n">
        <x:f>G17+H16-H15</x:f>
        <x:v>142.019128</x:v>
      </x:c>
    </x:row>
    <x:row r="18">
      <x:c r="B18" s="3" t="s">
        <x:v>170</x:v>
      </x:c>
      <x:c r="C18" s="13"/>
      <x:c r="D18" s="13"/>
      <x:c r="E18" s="13"/>
      <x:c r="F18" s="13"/>
      <x:c r="G18" s="13"/>
      <x:c r="H18" s="14" t="n">
        <x:f>H17-C17</x:f>
        <x:v>-5.654210000000006</x:v>
      </x:c>
    </x:row>
    <x:row r="19">
      <x:c r="B19" s="3" t="s">
        <x:v>171</x:v>
      </x:c>
      <x:c r="C19" s="13"/>
      <x:c r="D19" s="13"/>
      <x:c r="E19" s="13"/>
      <x:c r="F19" s="13"/>
      <x:c r="G19" s="13"/>
      <x:c r="H19" s="14" t="n">
        <x:f>H17-G17</x:f>
        <x:v>0.11002899999999727</x:v>
      </x:c>
    </x:row>
    <x:row r="20">
      <x:c r="B20" s="3" t="s">
        <x:v>373</x:v>
      </x:c>
      <x:c r="C20" s="51" t="s">
        <x:v>374</x:v>
      </x:c>
      <x:c r="D20" s="51" t="s">
        <x:v>374</x:v>
      </x:c>
      <x:c r="E20" s="51" t="s">
        <x:v>374</x:v>
      </x:c>
      <x:c r="F20" s="51" t="s">
        <x:v>374</x:v>
      </x:c>
      <x:c r="G20" s="51" t="s">
        <x:v>375</x:v>
      </x:c>
      <x:c r="H20" s="57" t="str">
        <x:f>G20</x:f>
        <x:v>Paused</x:v>
      </x:c>
      <x:c r="J20" s="2" t="s">
        <x:v>376</x:v>
      </x:c>
    </x:row>
    <x:row r="21">
      <x:c r="B21" s="15" t="s">
        <x:v>377</x:v>
      </x:c>
      <x:c r="C21" s="23" t="n">
        <x:f>C13-C12</x:f>
        <x:v>0</x:v>
      </x:c>
      <x:c r="D21" s="23" t="n">
        <x:f>D13-D12</x:f>
        <x:v>0</x:v>
      </x:c>
      <x:c r="E21" s="23" t="n">
        <x:f>E13-E12</x:f>
        <x:v>0</x:v>
      </x:c>
      <x:c r="F21" s="23" t="n">
        <x:f>F13-F12</x:f>
        <x:v>0</x:v>
      </x:c>
      <x:c r="G21" s="23" t="n">
        <x:f>G13-G12</x:f>
        <x:v>0</x:v>
      </x:c>
      <x:c r="H21" s="18" t="n">
        <x:f>H13-H12</x:f>
        <x:v>0</x:v>
      </x:c>
    </x:row>
    <x:row r="22">
      <x:c r="B22" s="3"/>
      <x:c r="C22" s="13"/>
      <x:c r="D22" s="13"/>
      <x:c r="E22" s="13"/>
      <x:c r="F22" s="13"/>
      <x:c r="G22" s="13"/>
      <x:c r="H22" s="14"/>
    </x:row>
    <x:row r="23">
      <x:c r="B23" s="3"/>
      <x:c r="C23" s="13"/>
      <x:c r="D23" s="13"/>
      <x:c r="E23" s="13"/>
      <x:c r="F23" s="13"/>
      <x:c r="G23" s="13"/>
      <x:c r="H23" s="14"/>
    </x:row>
    <x:row r="24">
      <x:c r="B24" s="3"/>
      <x:c r="C24" s="13"/>
      <x:c r="D24" s="13"/>
      <x:c r="E24" s="13"/>
      <x:c r="F24" s="13"/>
      <x:c r="G24" s="13"/>
      <x:c r="H24" s="14"/>
    </x:row>
    <x:row r="25">
      <x:c r="B25" s="3"/>
      <x:c r="C25" s="13"/>
      <x:c r="D25" s="13"/>
      <x:c r="E25" s="13"/>
      <x:c r="F25" s="13"/>
      <x:c r="G25" s="13"/>
      <x:c r="H25" s="14"/>
    </x:row>
    <x:row r="26">
      <x:c r="B26" s="3"/>
      <x:c r="C26" s="13"/>
      <x:c r="D26" s="13"/>
      <x:c r="E26" s="13"/>
      <x:c r="F26" s="13"/>
      <x:c r="G26" s="13"/>
      <x:c r="H26" s="14"/>
    </x:row>
    <x:row r="27">
      <x:c r="B27" s="3"/>
      <x:c r="C27" s="13"/>
      <x:c r="D27" s="13"/>
      <x:c r="E27" s="13"/>
      <x:c r="F27" s="13"/>
      <x:c r="G27" s="13"/>
      <x:c r="H27" s="14"/>
    </x:row>
    <x:row r="28">
      <x:c r="B28" s="3"/>
      <x:c r="C28" s="13"/>
      <x:c r="D28" s="13"/>
      <x:c r="E28" s="13"/>
      <x:c r="F28" s="13"/>
      <x:c r="G28" s="13"/>
      <x:c r="H28" s="14"/>
    </x:row>
    <x:row r="29">
      <x:c r="B29" s="3"/>
      <x:c r="C29" s="13"/>
      <x:c r="D29" s="13"/>
      <x:c r="E29" s="13"/>
      <x:c r="F29" s="13"/>
      <x:c r="G29" s="13"/>
      <x:c r="H29" s="14"/>
    </x:row>
    <x:row r="30">
      <x:c r="B30" s="3"/>
      <x:c r="C30" s="13"/>
      <x:c r="D30" s="13"/>
      <x:c r="E30" s="13"/>
      <x:c r="F30" s="13"/>
      <x:c r="G30" s="13"/>
      <x:c r="H30" s="14"/>
    </x:row>
    <x:row r="31">
      <x:c r="B31" s="3"/>
      <x:c r="C31" s="13"/>
      <x:c r="D31" s="13"/>
      <x:c r="E31" s="13"/>
      <x:c r="F31" s="13"/>
      <x:c r="G31" s="13"/>
      <x:c r="H31" s="14"/>
    </x:row>
    <x:row r="32">
      <x:c r="B32" s="2"/>
      <x:c r="C32" s="13"/>
      <x:c r="D32" s="13"/>
      <x:c r="E32" s="13"/>
      <x:c r="F32" s="13"/>
      <x:c r="G32" s="13"/>
      <x:c r="H32" s="14"/>
    </x:row>
    <x:row r="33">
      <x:c r="B33" s="2"/>
      <x:c r="C33" s="13"/>
      <x:c r="D33" s="13"/>
      <x:c r="E33" s="13"/>
      <x:c r="F33" s="13"/>
      <x:c r="G33" s="13"/>
      <x:c r="H33" s="14"/>
    </x:row>
    <x:row r="34">
      <x:c r="B34" s="2"/>
      <x:c r="C34" s="13"/>
      <x:c r="D34" s="13"/>
      <x:c r="E34" s="13"/>
      <x:c r="F34" s="13"/>
      <x:c r="G34" s="13"/>
      <x:c r="H34" s="14"/>
    </x:row>
    <x:row r="35">
      <x:c r="B35" s="2"/>
      <x:c r="C35" s="13"/>
      <x:c r="D35" s="13"/>
      <x:c r="E35" s="13"/>
      <x:c r="F35" s="13"/>
      <x:c r="G35" s="13"/>
      <x:c r="H35" s="14"/>
    </x:row>
    <x:row r="36">
      <x:c r="B36" s="2"/>
      <x:c r="C36" s="13"/>
      <x:c r="D36" s="13"/>
      <x:c r="E36" s="13"/>
      <x:c r="F36" s="13"/>
      <x:c r="G36" s="13"/>
      <x:c r="H36" s="14"/>
    </x:row>
    <x:row r="37">
      <x:c r="B37" s="2"/>
      <x:c r="C37" s="13"/>
      <x:c r="D37" s="13"/>
      <x:c r="E37" s="13"/>
      <x:c r="F37" s="13"/>
      <x:c r="G37" s="13"/>
      <x:c r="H37" s="14"/>
    </x:row>
    <x:row r="38">
      <x:c r="B38" s="2"/>
      <x:c r="C38" s="13"/>
      <x:c r="D38" s="13"/>
      <x:c r="E38" s="13"/>
      <x:c r="F38" s="13"/>
      <x:c r="G38" s="13"/>
      <x:c r="H38" s="14"/>
    </x:row>
    <x:row r="39">
      <x:c r="B39" s="2"/>
      <x:c r="C39" s="13"/>
      <x:c r="D39" s="13"/>
      <x:c r="E39" s="13"/>
      <x:c r="F39" s="13"/>
      <x:c r="G39" s="13"/>
      <x:c r="H39" s="14"/>
    </x:row>
    <x:row r="40">
      <x:c r="B40" s="2"/>
      <x:c r="C40" s="13"/>
      <x:c r="D40" s="13"/>
      <x:c r="E40" s="13"/>
      <x:c r="F40" s="13"/>
      <x:c r="G40" s="13"/>
      <x:c r="H40" s="14"/>
    </x:row>
    <x:row r="41">
      <x:c r="B41" s="2"/>
      <x:c r="C41" s="13"/>
      <x:c r="D41" s="13"/>
      <x:c r="E41" s="13"/>
      <x:c r="F41" s="13"/>
      <x:c r="G41" s="13"/>
      <x:c r="H41" s="14"/>
    </x:row>
    <x:row r="42">
      <x:c r="B42" s="2"/>
      <x:c r="C42" s="13"/>
      <x:c r="D42" s="13"/>
      <x:c r="E42" s="13"/>
      <x:c r="F42" s="13"/>
      <x:c r="G42" s="13"/>
      <x:c r="H42" s="14"/>
    </x:row>
    <x:row r="43">
      <x:c r="B43" s="2"/>
      <x:c r="C43" s="13"/>
      <x:c r="D43" s="13"/>
      <x:c r="E43" s="13"/>
      <x:c r="F43" s="13"/>
      <x:c r="G43" s="13"/>
      <x:c r="H43" s="14"/>
    </x:row>
    <x:row r="44">
      <x:c r="B44" s="2"/>
      <x:c r="C44" s="13"/>
      <x:c r="D44" s="13"/>
      <x:c r="E44" s="13"/>
      <x:c r="F44" s="13"/>
      <x:c r="G44" s="13"/>
      <x:c r="H44" s="14"/>
    </x:row>
    <x:row r="45">
      <x:c r="B45" s="2"/>
      <x:c r="C45" s="13"/>
      <x:c r="D45" s="13"/>
      <x:c r="E45" s="13"/>
      <x:c r="F45" s="13"/>
      <x:c r="G45" s="13"/>
      <x:c r="H45" s="14"/>
    </x:row>
    <x:row r="46">
      <x:c r="B46" s="2"/>
      <x:c r="C46" s="13"/>
      <x:c r="D46" s="13"/>
      <x:c r="E46" s="13"/>
      <x:c r="F46" s="13"/>
      <x:c r="G46" s="13"/>
      <x:c r="H46" s="14"/>
    </x:row>
    <x:row r="47">
      <x:c r="B47" s="2"/>
      <x:c r="C47" s="13"/>
      <x:c r="D47" s="13"/>
      <x:c r="E47" s="13"/>
      <x:c r="F47" s="13"/>
      <x:c r="G47" s="13"/>
      <x:c r="H47" s="14"/>
    </x:row>
    <x:row r="48">
      <x:c r="B48" s="2"/>
      <x:c r="C48" s="13"/>
      <x:c r="D48" s="13"/>
      <x:c r="E48" s="13"/>
      <x:c r="F48" s="13"/>
      <x:c r="G48" s="13"/>
      <x:c r="H48" s="14"/>
    </x:row>
    <x:row r="49">
      <x:c r="B49" s="2"/>
      <x:c r="C49" s="13"/>
      <x:c r="D49" s="13"/>
      <x:c r="E49" s="13"/>
      <x:c r="F49" s="13"/>
      <x:c r="G49" s="13"/>
      <x:c r="H49" s="14"/>
    </x:row>
    <x:row r="50">
      <x:c r="B50" s="2"/>
      <x:c r="C50" s="13"/>
      <x:c r="D50" s="13"/>
      <x:c r="E50" s="13"/>
      <x:c r="F50" s="13"/>
      <x:c r="G50" s="13"/>
      <x:c r="H50" s="14"/>
    </x:row>
    <x:row r="51">
      <x:c r="B51" s="2"/>
      <x:c r="C51" s="13"/>
      <x:c r="D51" s="13"/>
      <x:c r="E51" s="13"/>
      <x:c r="F51" s="13"/>
      <x:c r="G51" s="13"/>
      <x:c r="H51" s="14"/>
    </x:row>
    <x:row r="52">
      <x:c r="B52" s="2"/>
      <x:c r="C52" s="13"/>
      <x:c r="D52" s="13"/>
      <x:c r="E52" s="13"/>
      <x:c r="F52" s="13"/>
      <x:c r="G52" s="13"/>
      <x:c r="H52" s="14"/>
    </x:row>
    <x:row r="53">
      <x:c r="B53" s="2"/>
      <x:c r="C53" s="13"/>
      <x:c r="D53" s="13"/>
      <x:c r="E53" s="13"/>
      <x:c r="F53" s="13"/>
      <x:c r="G53" s="13"/>
      <x:c r="H53" s="14"/>
    </x:row>
    <x:row r="54">
      <x:c r="B54" s="2"/>
      <x:c r="C54" s="13"/>
      <x:c r="D54" s="13"/>
      <x:c r="E54" s="13"/>
      <x:c r="F54" s="13"/>
      <x:c r="G54" s="13"/>
      <x:c r="H54" s="14"/>
    </x:row>
    <x:row r="55">
      <x:c r="B55" s="2"/>
      <x:c r="C55" s="13"/>
      <x:c r="D55" s="13"/>
      <x:c r="E55" s="13"/>
      <x:c r="F55" s="13"/>
      <x:c r="G55" s="13"/>
      <x:c r="H55" s="14"/>
    </x:row>
    <x:row r="56">
      <x:c r="B56" s="2"/>
      <x:c r="C56" s="13"/>
      <x:c r="D56" s="13"/>
      <x:c r="E56" s="13"/>
      <x:c r="F56" s="13"/>
      <x:c r="G56" s="13"/>
      <x:c r="H56" s="14"/>
    </x:row>
    <x:row r="57">
      <x:c r="B57" s="2"/>
      <x:c r="C57" s="13"/>
      <x:c r="D57" s="13"/>
      <x:c r="E57" s="13"/>
      <x:c r="F57" s="13"/>
      <x:c r="G57" s="13"/>
      <x:c r="H57" s="14"/>
    </x:row>
    <x:row r="58">
      <x:c r="B58" s="2"/>
      <x:c r="C58" s="13"/>
      <x:c r="D58" s="13"/>
      <x:c r="E58" s="13"/>
      <x:c r="F58" s="13"/>
      <x:c r="G58" s="13"/>
      <x:c r="H58" s="14"/>
    </x:row>
    <x:row r="59">
      <x:c r="B59" s="2"/>
      <x:c r="C59" s="13"/>
      <x:c r="D59" s="13"/>
      <x:c r="E59" s="13"/>
      <x:c r="F59" s="13"/>
      <x:c r="G59" s="13"/>
      <x:c r="H59" s="14"/>
    </x:row>
    <x:row r="60">
      <x:c r="B60" s="2"/>
      <x:c r="C60" s="13"/>
      <x:c r="D60" s="13"/>
      <x:c r="E60" s="13"/>
      <x:c r="F60" s="13"/>
      <x:c r="G60" s="13"/>
      <x:c r="H60" s="14"/>
    </x:row>
    <x:row r="61">
      <x:c r="B61" s="2"/>
      <x:c r="C61" s="13"/>
      <x:c r="D61" s="13"/>
      <x:c r="E61" s="13"/>
      <x:c r="F61" s="13"/>
      <x:c r="G61" s="13"/>
      <x:c r="H61" s="14"/>
    </x:row>
    <x:row r="62">
      <x:c r="B62" s="2"/>
      <x:c r="C62" s="13"/>
      <x:c r="D62" s="13"/>
      <x:c r="E62" s="13"/>
      <x:c r="F62" s="13"/>
      <x:c r="G62" s="13"/>
      <x:c r="H62" s="14"/>
    </x:row>
    <x:row r="63">
      <x:c r="B63" s="2"/>
      <x:c r="C63" s="13"/>
      <x:c r="D63" s="13"/>
      <x:c r="E63" s="13"/>
      <x:c r="F63" s="13"/>
      <x:c r="G63" s="13"/>
      <x:c r="H63" s="14"/>
    </x:row>
    <x:row r="64">
      <x:c r="B64" s="2"/>
      <x:c r="C64" s="13"/>
      <x:c r="D64" s="13"/>
      <x:c r="E64" s="13"/>
      <x:c r="F64" s="13"/>
      <x:c r="G64" s="13"/>
      <x:c r="H64" s="14"/>
    </x:row>
    <x:row r="65">
      <x:c r="B65" s="2"/>
      <x:c r="C65" s="13"/>
      <x:c r="D65" s="13"/>
      <x:c r="E65" s="13"/>
      <x:c r="F65" s="13"/>
      <x:c r="G65" s="13"/>
      <x:c r="H65" s="14"/>
    </x:row>
    <x:row r="66">
      <x:c r="B66" s="2"/>
      <x:c r="C66" s="13"/>
      <x:c r="D66" s="13"/>
      <x:c r="E66" s="13"/>
      <x:c r="F66" s="13"/>
      <x:c r="G66" s="13"/>
      <x:c r="H66" s="14"/>
    </x:row>
    <x:row r="67">
      <x:c r="B67" s="2"/>
      <x:c r="C67" s="13"/>
      <x:c r="D67" s="13"/>
      <x:c r="E67" s="13"/>
      <x:c r="F67" s="13"/>
      <x:c r="G67" s="13"/>
      <x:c r="H67" s="14"/>
    </x:row>
    <x:row r="68">
      <x:c r="B68" s="2"/>
      <x:c r="C68" s="13"/>
      <x:c r="D68" s="13"/>
      <x:c r="E68" s="13"/>
      <x:c r="F68" s="13"/>
      <x:c r="G68" s="13"/>
      <x:c r="H68" s="14"/>
    </x:row>
    <x:row r="69">
      <x:c r="B69" s="2"/>
      <x:c r="C69" s="13"/>
      <x:c r="D69" s="13"/>
      <x:c r="E69" s="13"/>
      <x:c r="F69" s="13"/>
      <x:c r="G69" s="13"/>
      <x:c r="H69" s="14"/>
    </x:row>
    <x:row r="70">
      <x:c r="B70" s="2"/>
      <x:c r="C70" s="13"/>
      <x:c r="D70" s="13"/>
      <x:c r="E70" s="13"/>
      <x:c r="F70" s="13"/>
      <x:c r="G70" s="13"/>
      <x:c r="H70" s="14"/>
    </x:row>
    <x:row r="71">
      <x:c r="B71" s="2"/>
      <x:c r="C71" s="13"/>
      <x:c r="D71" s="13"/>
      <x:c r="E71" s="13"/>
      <x:c r="F71" s="13"/>
      <x:c r="G71" s="13"/>
      <x:c r="H71" s="14"/>
    </x:row>
    <x:row r="72">
      <x:c r="B72" s="2"/>
      <x:c r="C72" s="13"/>
      <x:c r="D72" s="13"/>
      <x:c r="E72" s="13"/>
      <x:c r="F72" s="13"/>
      <x:c r="G72" s="13"/>
      <x:c r="H72" s="14"/>
    </x:row>
    <x:row r="73">
      <x:c r="B73" s="2"/>
      <x:c r="C73" s="13"/>
      <x:c r="D73" s="13"/>
      <x:c r="E73" s="13"/>
      <x:c r="F73" s="13"/>
      <x:c r="G73" s="13"/>
      <x:c r="H73" s="14"/>
    </x:row>
    <x:row r="74">
      <x:c r="B74" s="2"/>
      <x:c r="C74" s="13"/>
      <x:c r="D74" s="13"/>
      <x:c r="E74" s="13"/>
      <x:c r="F74" s="13"/>
      <x:c r="G74" s="13"/>
      <x:c r="H74" s="14"/>
    </x:row>
    <x:row r="75">
      <x:c r="B75" s="2"/>
      <x:c r="C75" s="13"/>
      <x:c r="D75" s="13"/>
      <x:c r="E75" s="13"/>
      <x:c r="F75" s="13"/>
      <x:c r="G75" s="13"/>
      <x:c r="H75" s="14"/>
    </x:row>
    <x:row r="76">
      <x:c r="B76" s="2"/>
      <x:c r="C76" s="13"/>
      <x:c r="D76" s="13"/>
      <x:c r="E76" s="13"/>
      <x:c r="F76" s="13"/>
      <x:c r="G76" s="13"/>
      <x:c r="H76" s="14"/>
    </x:row>
    <x:row r="77">
      <x:c r="B77" s="2"/>
      <x:c r="C77" s="13"/>
      <x:c r="D77" s="13"/>
      <x:c r="E77" s="13"/>
      <x:c r="F77" s="13"/>
      <x:c r="G77" s="13"/>
      <x:c r="H77" s="14"/>
    </x:row>
    <x:row r="78">
      <x:c r="B78" s="2"/>
      <x:c r="C78" s="13"/>
      <x:c r="D78" s="13"/>
      <x:c r="E78" s="13"/>
      <x:c r="F78" s="13"/>
      <x:c r="G78" s="13"/>
      <x:c r="H78" s="14"/>
    </x:row>
    <x:row r="79">
      <x:c r="B79" s="2"/>
      <x:c r="C79" s="13"/>
      <x:c r="D79" s="13"/>
      <x:c r="E79" s="13"/>
      <x:c r="F79" s="13"/>
      <x:c r="G79" s="13"/>
      <x:c r="H79" s="14"/>
    </x:row>
    <x:row r="80">
      <x:c r="B80" s="2"/>
      <x:c r="C80" s="13"/>
      <x:c r="D80" s="13"/>
      <x:c r="E80" s="13"/>
      <x:c r="F80" s="13"/>
      <x:c r="G80" s="13"/>
      <x:c r="H80" s="14"/>
    </x:row>
    <x:row r="81">
      <x:c r="B81" s="2"/>
      <x:c r="C81" s="13"/>
      <x:c r="D81" s="13"/>
      <x:c r="E81" s="13"/>
      <x:c r="F81" s="13"/>
      <x:c r="G81" s="13"/>
      <x:c r="H81" s="14"/>
    </x:row>
    <x:row r="82">
      <x:c r="B82" s="2"/>
      <x:c r="C82" s="13"/>
      <x:c r="D82" s="13"/>
      <x:c r="E82" s="13"/>
      <x:c r="F82" s="13"/>
      <x:c r="G82" s="13"/>
      <x:c r="H82" s="14"/>
    </x:row>
    <x:row r="83">
      <x:c r="B83" s="2"/>
      <x:c r="C83" s="13"/>
      <x:c r="D83" s="13"/>
      <x:c r="E83" s="13"/>
      <x:c r="F83" s="13"/>
      <x:c r="G83" s="13"/>
      <x:c r="H83" s="14"/>
    </x:row>
    <x:row r="84">
      <x:c r="B84" s="2"/>
      <x:c r="C84" s="13"/>
      <x:c r="D84" s="13"/>
      <x:c r="E84" s="13"/>
      <x:c r="F84" s="13"/>
      <x:c r="G84" s="13"/>
      <x:c r="H84" s="14"/>
    </x:row>
    <x:row r="85">
      <x:c r="B85" s="2"/>
      <x:c r="C85" s="13"/>
      <x:c r="D85" s="13"/>
      <x:c r="E85" s="13"/>
      <x:c r="F85" s="13"/>
      <x:c r="G85" s="13"/>
      <x:c r="H85" s="14"/>
    </x:row>
    <x:row r="86">
      <x:c r="B86" s="2"/>
      <x:c r="C86" s="13"/>
      <x:c r="D86" s="13"/>
      <x:c r="E86" s="13"/>
      <x:c r="F86" s="13"/>
      <x:c r="G86" s="13"/>
      <x:c r="H86" s="14"/>
    </x:row>
    <x:row r="87">
      <x:c r="B87" s="2"/>
      <x:c r="C87" s="13"/>
      <x:c r="D87" s="13"/>
      <x:c r="E87" s="13"/>
      <x:c r="F87" s="13"/>
      <x:c r="G87" s="13"/>
      <x:c r="H87" s="14"/>
    </x:row>
    <x:row r="88">
      <x:c r="B88" s="2"/>
      <x:c r="C88" s="13"/>
      <x:c r="D88" s="13"/>
      <x:c r="E88" s="13"/>
      <x:c r="F88" s="13"/>
      <x:c r="G88" s="13"/>
      <x:c r="H88" s="14"/>
    </x:row>
    <x:row r="89">
      <x:c r="B89" s="2"/>
      <x:c r="C89" s="13"/>
      <x:c r="D89" s="13"/>
      <x:c r="E89" s="13"/>
      <x:c r="F89" s="13"/>
      <x:c r="G89" s="13"/>
      <x:c r="H89" s="14"/>
    </x:row>
    <x:row r="90">
      <x:c r="B90" s="2"/>
      <x:c r="C90" s="13"/>
      <x:c r="D90" s="13"/>
      <x:c r="E90" s="13"/>
      <x:c r="F90" s="13"/>
      <x:c r="G90" s="13"/>
      <x:c r="H90" s="14"/>
    </x:row>
    <x:row r="91">
      <x:c r="B91" s="2"/>
      <x:c r="C91" s="13"/>
      <x:c r="D91" s="13"/>
      <x:c r="E91" s="13"/>
      <x:c r="F91" s="13"/>
      <x:c r="G91" s="13"/>
      <x:c r="H91" s="14"/>
    </x:row>
    <x:row r="92">
      <x:c r="B92" s="2"/>
      <x:c r="C92" s="13"/>
      <x:c r="D92" s="13"/>
      <x:c r="E92" s="13"/>
      <x:c r="F92" s="13"/>
      <x:c r="G92" s="13"/>
      <x:c r="H92" s="14"/>
    </x:row>
    <x:row r="93">
      <x:c r="B93" s="2"/>
      <x:c r="C93" s="13"/>
      <x:c r="D93" s="13"/>
      <x:c r="E93" s="13"/>
      <x:c r="F93" s="13"/>
      <x:c r="G93" s="13"/>
      <x:c r="H93" s="14"/>
    </x:row>
    <x:row r="94">
      <x:c r="B94" s="2"/>
      <x:c r="C94" s="13"/>
      <x:c r="D94" s="13"/>
      <x:c r="E94" s="13"/>
      <x:c r="F94" s="13"/>
      <x:c r="G94" s="13"/>
      <x:c r="H94" s="14"/>
    </x:row>
    <x:row r="95">
      <x:c r="B95" s="2"/>
      <x:c r="C95" s="13"/>
      <x:c r="D95" s="13"/>
      <x:c r="E95" s="13"/>
      <x:c r="F95" s="13"/>
      <x:c r="G95" s="13"/>
      <x:c r="H95" s="14"/>
    </x:row>
    <x:row r="96">
      <x:c r="B96" s="2"/>
      <x:c r="C96" s="13"/>
      <x:c r="D96" s="13"/>
      <x:c r="E96" s="13"/>
      <x:c r="F96" s="13"/>
      <x:c r="G96" s="13"/>
      <x:c r="H96" s="14"/>
    </x:row>
    <x:row r="97">
      <x:c r="B97" s="2"/>
      <x:c r="C97" s="13"/>
      <x:c r="D97" s="13"/>
      <x:c r="E97" s="13"/>
      <x:c r="F97" s="13"/>
      <x:c r="G97" s="13"/>
      <x:c r="H97" s="14"/>
    </x:row>
    <x:row r="98">
      <x:c r="B98" s="2"/>
      <x:c r="C98" s="13"/>
      <x:c r="D98" s="13"/>
      <x:c r="E98" s="13"/>
      <x:c r="F98" s="13"/>
      <x:c r="G98" s="13"/>
      <x:c r="H98" s="14"/>
    </x:row>
    <x:row r="99">
      <x:c r="B99" s="2"/>
      <x:c r="C99" s="13"/>
      <x:c r="D99" s="13"/>
      <x:c r="E99" s="13"/>
      <x:c r="F99" s="13"/>
      <x:c r="G99" s="13"/>
      <x:c r="H99" s="14"/>
    </x:row>
    <x:row r="100">
      <x:c r="B100" s="2"/>
      <x:c r="C100" s="13"/>
      <x:c r="D100" s="13"/>
      <x:c r="E100" s="13"/>
      <x:c r="F100" s="13"/>
      <x:c r="G100" s="13"/>
      <x:c r="H100" s="14"/>
    </x:row>
    <x:row r="101">
      <x:c r="B101" s="2"/>
      <x:c r="C101" s="13"/>
      <x:c r="D101" s="13"/>
      <x:c r="E101" s="13"/>
      <x:c r="F101" s="13"/>
      <x:c r="G101" s="13"/>
      <x:c r="H101" s="14"/>
    </x:row>
    <x:row r="102">
      <x:c r="B102" s="2"/>
      <x:c r="C102" s="13"/>
      <x:c r="D102" s="13"/>
      <x:c r="E102" s="13"/>
      <x:c r="F102" s="13"/>
      <x:c r="G102" s="13"/>
      <x:c r="H102" s="14"/>
    </x:row>
    <x:row r="103">
      <x:c r="B103" s="2"/>
      <x:c r="C103" s="13"/>
      <x:c r="D103" s="13"/>
      <x:c r="E103" s="13"/>
      <x:c r="F103" s="13"/>
      <x:c r="G103" s="13"/>
      <x:c r="H103" s="14"/>
    </x:row>
    <x:row r="104">
      <x:c r="B104" s="2"/>
      <x:c r="C104" s="13"/>
      <x:c r="D104" s="13"/>
      <x:c r="E104" s="13"/>
      <x:c r="F104" s="13"/>
      <x:c r="G104" s="13"/>
      <x:c r="H104" s="14"/>
    </x:row>
    <x:row r="105">
      <x:c r="B105" s="2"/>
      <x:c r="C105" s="13"/>
      <x:c r="D105" s="13"/>
      <x:c r="E105" s="13"/>
      <x:c r="F105" s="13"/>
      <x:c r="G105" s="13"/>
      <x:c r="H105" s="14"/>
    </x:row>
    <x:row r="106">
      <x:c r="H106" s="1"/>
    </x:row>
    <x:row r="107">
      <x:c r="H107" s="1"/>
    </x:row>
    <x:row r="108">
      <x:c r="H108" s="1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378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2" t="s">
        <x:v>379</x:v>
      </x:c>
      <x:c r="C9" s="2" t="s">
        <x:v>380</x:v>
      </x:c>
      <x:c r="D9" s="2" t="s">
        <x:v>24</x:v>
      </x:c>
      <x:c r="E9" s="53" t="s">
        <x:v>381</x:v>
      </x:c>
      <x:c r="F9" s="53" t="s">
        <x:v>382</x:v>
      </x:c>
      <x:c r="G9" s="53" t="s">
        <x:v>383</x:v>
      </x:c>
      <x:c r="H9" s="59" t="s">
        <x:v>384</x:v>
      </x:c>
      <x:c r="I9" s="2" t="s">
        <x:v>385</x:v>
      </x:c>
      <x:c r="J9" s="2" t="s">
        <x:v>386</x:v>
      </x:c>
    </x:row>
    <x:row r="10">
      <x:c r="B10" s="60">
        <x:v>46126</x:v>
      </x:c>
      <x:c r="C10" s="2" t="s">
        <x:v>387</x:v>
      </x:c>
      <x:c r="D10" s="2" t="s">
        <x:v>388</x:v>
      </x:c>
      <x:c r="E10" s="28">
        <x:v>400</x:v>
      </x:c>
      <x:c r="F10" s="28">
        <x:v>400</x:v>
      </x:c>
      <x:c r="G10" s="13" t="n">
        <x:f>AVERAGE(E10:F10)</x:f>
        <x:v>400</x:v>
      </x:c>
      <x:c r="H10" s="14"/>
      <x:c r="I10" s="2"/>
      <x:c r="J10" s="2" t="s">
        <x:v>389</x:v>
      </x:c>
    </x:row>
    <x:row r="11">
      <x:c r="B11" s="60">
        <x:v>46126</x:v>
      </x:c>
      <x:c r="C11" s="2" t="s">
        <x:v>387</x:v>
      </x:c>
      <x:c r="D11" s="2" t="s">
        <x:v>390</x:v>
      </x:c>
      <x:c r="E11" s="28">
        <x:v>4</x:v>
      </x:c>
      <x:c r="F11" s="28">
        <x:v>4</x:v>
      </x:c>
      <x:c r="G11" s="13" t="n">
        <x:f>AVERAGE(E11:F11)</x:f>
        <x:v>4</x:v>
      </x:c>
      <x:c r="H11" s="14"/>
      <x:c r="I11" s="2"/>
      <x:c r="J11" s="2" t="s">
        <x:v>389</x:v>
      </x:c>
    </x:row>
    <x:row r="12">
      <x:c r="B12" s="60">
        <x:v>46126</x:v>
      </x:c>
      <x:c r="C12" s="2" t="s">
        <x:v>387</x:v>
      </x:c>
      <x:c r="D12" s="2" t="s">
        <x:v>391</x:v>
      </x:c>
      <x:c r="E12" s="28">
        <x:v>2</x:v>
      </x:c>
      <x:c r="F12" s="28">
        <x:v>2</x:v>
      </x:c>
      <x:c r="G12" s="13" t="n">
        <x:f>AVERAGE(E12:F12)</x:f>
        <x:v>2</x:v>
      </x:c>
      <x:c r="H12" s="14"/>
      <x:c r="I12" s="2"/>
      <x:c r="J12" s="2" t="s">
        <x:v>389</x:v>
      </x:c>
    </x:row>
    <x:row r="13">
      <x:c r="B13" s="60">
        <x:v>46126</x:v>
      </x:c>
      <x:c r="C13" s="2" t="s">
        <x:v>387</x:v>
      </x:c>
      <x:c r="D13" s="2" t="s">
        <x:v>392</x:v>
      </x:c>
      <x:c r="E13" s="28">
        <x:v>2</x:v>
      </x:c>
      <x:c r="F13" s="28">
        <x:v>2</x:v>
      </x:c>
      <x:c r="G13" s="13" t="n">
        <x:f>AVERAGE(E13:F13)</x:f>
        <x:v>2</x:v>
      </x:c>
      <x:c r="H13" s="14"/>
      <x:c r="I13" s="2"/>
      <x:c r="J13" s="2" t="s">
        <x:v>389</x:v>
      </x:c>
    </x:row>
    <x:row r="14">
      <x:c r="B14" s="60">
        <x:v>46190</x:v>
      </x:c>
      <x:c r="C14" s="2" t="s">
        <x:v>393</x:v>
      </x:c>
      <x:c r="D14" s="2" t="s">
        <x:v>394</x:v>
      </x:c>
      <x:c r="E14" s="28">
        <x:v>200</x:v>
      </x:c>
      <x:c r="F14" s="28">
        <x:v>200</x:v>
      </x:c>
      <x:c r="G14" s="13" t="n">
        <x:f>AVERAGE(E14:F14)</x:f>
        <x:v>200</x:v>
      </x:c>
      <x:c r="H14" s="14"/>
      <x:c r="I14" s="2"/>
      <x:c r="J14" s="2" t="s">
        <x:v>395</x:v>
      </x:c>
    </x:row>
    <x:row r="15">
      <x:c r="B15" s="60">
        <x:v>46126</x:v>
      </x:c>
      <x:c r="C15" s="2" t="s">
        <x:v>396</x:v>
      </x:c>
      <x:c r="D15" s="2" t="s">
        <x:v>397</x:v>
      </x:c>
      <x:c r="E15" s="13"/>
      <x:c r="F15" s="28">
        <x:v>300</x:v>
      </x:c>
      <x:c r="G15" s="28">
        <x:v>300</x:v>
      </x:c>
      <x:c r="H15" s="34">
        <x:v>230</x:v>
      </x:c>
      <x:c r="I15" s="2" t="str">
        <x:f>IF(H15&lt;G15,"BEAT","MISS")</x:f>
        <x:v>BEAT</x:v>
      </x:c>
      <x:c r="J15" s="2" t="s">
        <x:v>389</x:v>
      </x:c>
    </x:row>
    <x:row r="16">
      <x:c r="B16" s="60">
        <x:v>46190</x:v>
      </x:c>
      <x:c r="C16" s="2" t="s">
        <x:v>398</x:v>
      </x:c>
      <x:c r="D16" s="2" t="s">
        <x:v>399</x:v>
      </x:c>
      <x:c r="E16" s="2"/>
      <x:c r="F16" s="2"/>
      <x:c r="G16" s="2" t="s">
        <x:v>31</x:v>
      </x:c>
      <x:c r="H16" s="4"/>
      <x:c r="I16" s="2" t="s">
        <x:v>400</x:v>
      </x:c>
      <x:c r="J16" s="2" t="s">
        <x:v>395</x:v>
      </x:c>
    </x:row>
    <x:row r="17">
      <x:c r="B17" s="60">
        <x:v>46190</x:v>
      </x:c>
      <x:c r="C17" s="2" t="s">
        <x:v>398</x:v>
      </x:c>
      <x:c r="D17" s="2" t="s">
        <x:v>401</x:v>
      </x:c>
      <x:c r="E17" s="2"/>
      <x:c r="F17" s="2"/>
      <x:c r="G17" s="2" t="s">
        <x:v>31</x:v>
      </x:c>
      <x:c r="H17" s="4"/>
      <x:c r="I17" s="2" t="s">
        <x:v>400</x:v>
      </x:c>
      <x:c r="J17" s="2" t="s">
        <x:v>395</x:v>
      </x:c>
    </x:row>
    <x:row r="18">
      <x:c r="B18" s="2"/>
      <x:c r="C18" s="2"/>
      <x:c r="D18" s="2"/>
      <x:c r="E18" s="2"/>
      <x:c r="F18" s="2"/>
      <x:c r="G18" s="2"/>
      <x:c r="H18" s="4"/>
      <x:c r="I18" s="2"/>
      <x:c r="J18" s="2"/>
    </x:row>
    <x:row r="19">
      <x:c r="B19" s="2"/>
      <x:c r="C19" s="2"/>
      <x:c r="D19" s="2"/>
      <x:c r="E19" s="2"/>
      <x:c r="F19" s="2"/>
      <x:c r="G19" s="2"/>
      <x:c r="H19" s="4"/>
      <x:c r="I19" s="2"/>
      <x:c r="J19" s="2"/>
    </x:row>
    <x:row r="20">
      <x:c r="B20" s="2"/>
      <x:c r="C20" s="2"/>
      <x:c r="D20" s="2"/>
      <x:c r="E20" s="2"/>
      <x:c r="F20" s="2"/>
      <x:c r="G20" s="2"/>
      <x:c r="H20" s="4"/>
      <x:c r="I20" s="2"/>
      <x:c r="J20" s="2"/>
    </x:row>
    <x:row r="21">
      <x:c r="B21" s="2"/>
      <x:c r="C21" s="2"/>
      <x:c r="D21" s="2"/>
      <x:c r="E21" s="2"/>
      <x:c r="F21" s="2"/>
      <x:c r="G21" s="2"/>
      <x:c r="H21" s="4"/>
      <x:c r="I21" s="2"/>
      <x:c r="J21" s="2"/>
    </x:row>
    <x:row r="22">
      <x:c r="B22" s="2"/>
      <x:c r="C22" s="2"/>
      <x:c r="D22" s="2"/>
      <x:c r="E22" s="2"/>
      <x:c r="F22" s="2"/>
      <x:c r="G22" s="2"/>
      <x:c r="H22" s="4"/>
      <x:c r="I22" s="2"/>
      <x:c r="J22" s="2"/>
    </x:row>
    <x:row r="23">
      <x:c r="B23" s="2"/>
      <x:c r="C23" s="2"/>
      <x:c r="D23" s="2"/>
      <x:c r="E23" s="2"/>
      <x:c r="F23" s="2"/>
      <x:c r="G23" s="2"/>
      <x:c r="H23" s="4"/>
      <x:c r="I23" s="2"/>
      <x:c r="J23" s="2"/>
    </x:row>
    <x:row r="24">
      <x:c r="B24" s="2"/>
      <x:c r="C24" s="2"/>
      <x:c r="D24" s="2"/>
      <x:c r="E24" s="2"/>
      <x:c r="F24" s="2"/>
      <x:c r="G24" s="2"/>
      <x:c r="H24" s="4"/>
      <x:c r="I24" s="2"/>
      <x:c r="J24" s="2"/>
    </x:row>
    <x:row r="25">
      <x:c r="B25" s="2"/>
      <x:c r="C25" s="2"/>
      <x:c r="D25" s="2"/>
      <x:c r="E25" s="2"/>
      <x:c r="F25" s="2"/>
      <x:c r="G25" s="2"/>
      <x:c r="H25" s="4"/>
      <x:c r="I25" s="2"/>
      <x:c r="J25" s="2"/>
    </x:row>
    <x:row r="26">
      <x:c r="B26" s="2"/>
      <x:c r="C26" s="2"/>
      <x:c r="D26" s="2"/>
      <x:c r="E26" s="2"/>
      <x:c r="F26" s="2"/>
      <x:c r="G26" s="2"/>
      <x:c r="H26" s="4"/>
      <x:c r="I26" s="2"/>
      <x:c r="J26" s="2"/>
    </x:row>
    <x:row r="27">
      <x:c r="B27" s="2"/>
      <x:c r="C27" s="2"/>
      <x:c r="D27" s="2"/>
      <x:c r="E27" s="2"/>
      <x:c r="F27" s="2"/>
      <x:c r="G27" s="2"/>
      <x:c r="H27" s="4"/>
      <x:c r="I27" s="2"/>
      <x:c r="J27" s="2"/>
    </x:row>
    <x:row r="28">
      <x:c r="B28" s="2"/>
      <x:c r="C28" s="2"/>
      <x:c r="D28" s="2"/>
      <x:c r="E28" s="2"/>
      <x:c r="F28" s="2"/>
      <x:c r="G28" s="2"/>
      <x:c r="H28" s="4"/>
      <x:c r="I28" s="2"/>
      <x:c r="J28" s="2"/>
    </x:row>
    <x:row r="29">
      <x:c r="B29" s="2"/>
      <x:c r="C29" s="2"/>
      <x:c r="D29" s="2"/>
      <x:c r="E29" s="2"/>
      <x:c r="F29" s="2"/>
      <x:c r="G29" s="2"/>
      <x:c r="H29" s="4"/>
      <x:c r="I29" s="2"/>
      <x:c r="J29" s="2"/>
    </x:row>
    <x:row r="30">
      <x:c r="B30" s="2"/>
      <x:c r="C30" s="2"/>
      <x:c r="D30" s="2"/>
      <x:c r="E30" s="2"/>
      <x:c r="F30" s="2"/>
      <x:c r="G30" s="2"/>
      <x:c r="H30" s="4"/>
      <x:c r="I30" s="2"/>
      <x:c r="J30" s="2"/>
    </x:row>
    <x:row r="31">
      <x:c r="B31" s="2"/>
      <x:c r="C31" s="2"/>
      <x:c r="D31" s="2"/>
      <x:c r="E31" s="2"/>
      <x:c r="F31" s="2"/>
      <x:c r="G31" s="2"/>
      <x:c r="H31" s="4"/>
      <x:c r="I31" s="2"/>
      <x:c r="J31" s="2"/>
    </x:row>
    <x:row r="32">
      <x:c r="B32" s="2"/>
      <x:c r="C32" s="2"/>
      <x:c r="D32" s="2"/>
      <x:c r="E32" s="2"/>
      <x:c r="F32" s="2"/>
      <x:c r="G32" s="2"/>
      <x:c r="H32" s="4"/>
      <x:c r="I32" s="2"/>
      <x:c r="J32" s="2"/>
    </x:row>
    <x:row r="33">
      <x:c r="B33" s="2"/>
      <x:c r="C33" s="2"/>
      <x:c r="D33" s="2"/>
      <x:c r="E33" s="2"/>
      <x:c r="F33" s="2"/>
      <x:c r="G33" s="2"/>
      <x:c r="H33" s="4"/>
      <x:c r="I33" s="2"/>
      <x:c r="J33" s="2"/>
    </x:row>
    <x:row r="34">
      <x:c r="B34" s="2"/>
      <x:c r="C34" s="2"/>
      <x:c r="D34" s="2"/>
      <x:c r="E34" s="2"/>
      <x:c r="F34" s="2"/>
      <x:c r="G34" s="2"/>
      <x:c r="H34" s="4"/>
      <x:c r="I34" s="2"/>
      <x:c r="J34" s="2"/>
    </x:row>
    <x:row r="35">
      <x:c r="B35" s="2"/>
      <x:c r="C35" s="2"/>
      <x:c r="D35" s="2"/>
      <x:c r="E35" s="2"/>
      <x:c r="F35" s="2"/>
      <x:c r="G35" s="2"/>
      <x:c r="H35" s="4"/>
      <x:c r="I35" s="2"/>
      <x:c r="J35" s="2"/>
    </x:row>
    <x:row r="36">
      <x:c r="B36" s="2"/>
      <x:c r="C36" s="2"/>
      <x:c r="D36" s="2"/>
      <x:c r="E36" s="2"/>
      <x:c r="F36" s="2"/>
      <x:c r="G36" s="2"/>
      <x:c r="H36" s="4"/>
      <x:c r="I36" s="2"/>
      <x:c r="J36" s="2"/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  <x:row r="91">
      <x:c r="H91" s="1"/>
    </x:row>
    <x:row r="92">
      <x:c r="H92" s="1"/>
    </x:row>
    <x:row r="93">
      <x:c r="H93" s="1"/>
    </x:row>
    <x:row r="94">
      <x:c r="H94" s="1"/>
    </x:row>
    <x:row r="95">
      <x:c r="H95" s="1"/>
    </x:row>
    <x:row r="96">
      <x:c r="H96" s="1"/>
    </x:row>
    <x:row r="97">
      <x:c r="H97" s="1"/>
    </x:row>
    <x:row r="98">
      <x:c r="H98" s="1"/>
    </x:row>
    <x:row r="99">
      <x:c r="H99" s="1"/>
    </x:row>
    <x:row r="100">
      <x:c r="H100" s="1"/>
    </x:row>
    <x:row r="101">
      <x:c r="H101" s="1"/>
    </x:row>
    <x:row r="102">
      <x:c r="H102" s="1"/>
    </x:row>
    <x:row r="103">
      <x:c r="H103" s="1"/>
    </x:row>
    <x:row r="104">
      <x:c r="H104" s="1"/>
    </x:row>
    <x:row r="105">
      <x:c r="H105" s="1"/>
    </x:row>
    <x:row r="106">
      <x:c r="H106" s="1"/>
    </x:row>
    <x:row r="107">
      <x:c r="H107" s="1"/>
    </x:row>
    <x:row r="108">
      <x:c r="H108" s="1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98" customWidth="1"/>
    <x:col min="11" max="11" width="66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402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2" t="s">
        <x:v>403</x:v>
      </x:c>
      <x:c r="C9" s="53" t="s">
        <x:v>404</x:v>
      </x:c>
      <x:c r="D9" s="2" t="s">
        <x:v>405</x:v>
      </x:c>
      <x:c r="E9" s="2" t="s">
        <x:v>406</x:v>
      </x:c>
      <x:c r="F9" s="2" t="s">
        <x:v>407</x:v>
      </x:c>
      <x:c r="G9" s="2"/>
      <x:c r="H9" s="4"/>
      <x:c r="I9" s="2"/>
      <x:c r="J9" s="2" t="s">
        <x:v>408</x:v>
      </x:c>
      <x:c r="K9" s="2" t="s">
        <x:v>409</x:v>
      </x:c>
    </x:row>
    <x:row r="10">
      <x:c r="B10" s="2" t="s">
        <x:v>410</x:v>
      </x:c>
      <x:c r="C10" s="26">
        <x:v>45925</x:v>
      </x:c>
      <x:c r="D10" s="2" t="s">
        <x:v>411</x:v>
      </x:c>
      <x:c r="E10" s="2" t="s">
        <x:v>412</x:v>
      </x:c>
      <x:c r="F10" s="2" t="s">
        <x:v>413</x:v>
      </x:c>
      <x:c r="G10" s="2"/>
      <x:c r="H10" s="4"/>
      <x:c r="I10" s="2"/>
      <x:c r="J10" s="2" t="s">
        <x:v>414</x:v>
      </x:c>
      <x:c r="K10" s="2" t="s">
        <x:v>415</x:v>
      </x:c>
    </x:row>
    <x:row r="11">
      <x:c r="B11" s="2" t="s">
        <x:v>416</x:v>
      </x:c>
      <x:c r="C11" s="26">
        <x:v>46009</x:v>
      </x:c>
      <x:c r="D11" s="2" t="s">
        <x:v>411</x:v>
      </x:c>
      <x:c r="E11" s="2" t="s">
        <x:v>417</x:v>
      </x:c>
      <x:c r="F11" s="2" t="s">
        <x:v>418</x:v>
      </x:c>
      <x:c r="G11" s="2"/>
      <x:c r="H11" s="4"/>
      <x:c r="I11" s="2"/>
      <x:c r="J11" s="2" t="s">
        <x:v>419</x:v>
      </x:c>
      <x:c r="K11" s="2" t="s">
        <x:v>420</x:v>
      </x:c>
    </x:row>
    <x:row r="12">
      <x:c r="B12" s="2" t="s">
        <x:v>421</x:v>
      </x:c>
      <x:c r="C12" s="26">
        <x:v>46127</x:v>
      </x:c>
      <x:c r="D12" s="2" t="s">
        <x:v>411</x:v>
      </x:c>
      <x:c r="E12" s="2" t="s">
        <x:v>422</x:v>
      </x:c>
      <x:c r="F12" s="2" t="s">
        <x:v>423</x:v>
      </x:c>
      <x:c r="G12" s="2"/>
      <x:c r="H12" s="4"/>
      <x:c r="I12" s="2"/>
      <x:c r="J12" s="2" t="s">
        <x:v>424</x:v>
      </x:c>
      <x:c r="K12" s="2" t="s">
        <x:v>425</x:v>
      </x:c>
    </x:row>
    <x:row r="13">
      <x:c r="B13" s="2" t="s">
        <x:v>389</x:v>
      </x:c>
      <x:c r="C13" s="26">
        <x:v>46126</x:v>
      </x:c>
      <x:c r="D13" s="2" t="s">
        <x:v>411</x:v>
      </x:c>
      <x:c r="E13" s="2" t="s">
        <x:v>426</x:v>
      </x:c>
      <x:c r="F13" s="2" t="s">
        <x:v>427</x:v>
      </x:c>
      <x:c r="G13" s="2"/>
      <x:c r="H13" s="4"/>
      <x:c r="I13" s="2"/>
      <x:c r="J13" s="2" t="s">
        <x:v>428</x:v>
      </x:c>
      <x:c r="K13" s="2" t="s">
        <x:v>429</x:v>
      </x:c>
    </x:row>
    <x:row r="14">
      <x:c r="B14" s="2" t="s">
        <x:v>395</x:v>
      </x:c>
      <x:c r="C14" s="26">
        <x:v>46190</x:v>
      </x:c>
      <x:c r="D14" s="2" t="s">
        <x:v>411</x:v>
      </x:c>
      <x:c r="E14" s="2" t="s">
        <x:v>430</x:v>
      </x:c>
      <x:c r="F14" s="2" t="s">
        <x:v>431</x:v>
      </x:c>
      <x:c r="G14" s="2"/>
      <x:c r="H14" s="4"/>
      <x:c r="I14" s="2"/>
      <x:c r="J14" s="2" t="s">
        <x:v>432</x:v>
      </x:c>
      <x:c r="K14" s="2" t="s">
        <x:v>433</x:v>
      </x:c>
    </x:row>
    <x:row r="15">
      <x:c r="B15" s="2" t="s">
        <x:v>434</x:v>
      </x:c>
      <x:c r="C15" s="26">
        <x:v>46197</x:v>
      </x:c>
      <x:c r="D15" s="2" t="s">
        <x:v>411</x:v>
      </x:c>
      <x:c r="E15" s="2" t="s">
        <x:v>435</x:v>
      </x:c>
      <x:c r="F15" s="2" t="s">
        <x:v>436</x:v>
      </x:c>
      <x:c r="G15" s="2"/>
      <x:c r="H15" s="4"/>
      <x:c r="I15" s="2"/>
      <x:c r="J15" s="2" t="s">
        <x:v>437</x:v>
      </x:c>
      <x:c r="K15" s="2" t="s">
        <x:v>438</x:v>
      </x:c>
    </x:row>
    <x:row r="16">
      <x:c r="B16" s="2" t="s">
        <x:v>439</x:v>
      </x:c>
      <x:c r="C16" s="26">
        <x:v>45926</x:v>
      </x:c>
      <x:c r="D16" s="2" t="s">
        <x:v>411</x:v>
      </x:c>
      <x:c r="E16" s="2" t="s">
        <x:v>440</x:v>
      </x:c>
      <x:c r="F16" s="2" t="s">
        <x:v>441</x:v>
      </x:c>
      <x:c r="G16" s="2"/>
      <x:c r="H16" s="4"/>
      <x:c r="I16" s="2"/>
      <x:c r="J16" s="2" t="s">
        <x:v>442</x:v>
      </x:c>
      <x:c r="K16" s="2" t="s">
        <x:v>443</x:v>
      </x:c>
    </x:row>
    <x:row r="17">
      <x:c r="B17" s="2" t="s">
        <x:v>444</x:v>
      </x:c>
      <x:c r="C17" s="26">
        <x:v>46190</x:v>
      </x:c>
      <x:c r="D17" s="2" t="s">
        <x:v>445</x:v>
      </x:c>
      <x:c r="E17" s="2" t="s">
        <x:v>446</x:v>
      </x:c>
      <x:c r="F17" s="2" t="s">
        <x:v>447</x:v>
      </x:c>
      <x:c r="G17" s="2"/>
      <x:c r="H17" s="4"/>
      <x:c r="I17" s="2"/>
      <x:c r="J17" s="2" t="s">
        <x:v>448</x:v>
      </x:c>
      <x:c r="K17" s="2" t="s">
        <x:v>449</x:v>
      </x:c>
    </x:row>
    <x:row r="18">
      <x:c r="B18" s="2" t="s">
        <x:v>450</x:v>
      </x:c>
      <x:c r="C18" s="26">
        <x:v>46276</x:v>
      </x:c>
      <x:c r="D18" s="2" t="s">
        <x:v>451</x:v>
      </x:c>
      <x:c r="E18" s="2" t="s">
        <x:v>452</x:v>
      </x:c>
      <x:c r="F18" s="2" t="s">
        <x:v>453</x:v>
      </x:c>
      <x:c r="G18" s="2"/>
      <x:c r="H18" s="4"/>
      <x:c r="I18" s="2"/>
      <x:c r="J18" s="2" t="s">
        <x:v>454</x:v>
      </x:c>
      <x:c r="K18" s="2" t="s">
        <x:v>455</x:v>
      </x:c>
    </x:row>
    <x:row r="19">
      <x:c r="B19" s="2" t="s">
        <x:v>456</x:v>
      </x:c>
      <x:c r="C19" s="26">
        <x:v>46283</x:v>
      </x:c>
      <x:c r="D19" s="2" t="s">
        <x:v>457</x:v>
      </x:c>
      <x:c r="E19" s="2" t="s">
        <x:v>458</x:v>
      </x:c>
      <x:c r="F19" s="2" t="s">
        <x:v>459</x:v>
      </x:c>
      <x:c r="G19" s="2"/>
      <x:c r="H19" s="4"/>
      <x:c r="I19" s="2"/>
      <x:c r="J19" s="2" t="s">
        <x:v>460</x:v>
      </x:c>
      <x:c r="K19" s="2" t="s">
        <x:v>461</x:v>
      </x:c>
    </x:row>
    <x:row r="20">
      <x:c r="B20" s="2" t="s">
        <x:v>462</x:v>
      </x:c>
      <x:c r="C20" s="26">
        <x:v>46289</x:v>
      </x:c>
      <x:c r="D20" s="2" t="s">
        <x:v>463</x:v>
      </x:c>
      <x:c r="E20" s="2" t="s">
        <x:v>464</x:v>
      </x:c>
      <x:c r="F20" s="2" t="s">
        <x:v>465</x:v>
      </x:c>
      <x:c r="G20" s="2"/>
      <x:c r="H20" s="4"/>
      <x:c r="I20" s="2"/>
      <x:c r="J20" s="2" t="s">
        <x:v>466</x:v>
      </x:c>
      <x:c r="K20" s="2" t="s">
        <x:v>467</x:v>
      </x:c>
    </x:row>
    <x:row r="21">
      <x:c r="B21" s="2" t="s">
        <x:v>468</x:v>
      </x:c>
      <x:c r="C21" s="26">
        <x:v>46289</x:v>
      </x:c>
      <x:c r="D21" s="2" t="s">
        <x:v>463</x:v>
      </x:c>
      <x:c r="E21" s="2" t="s">
        <x:v>469</x:v>
      </x:c>
      <x:c r="F21" s="2" t="s">
        <x:v>470</x:v>
      </x:c>
      <x:c r="G21" s="2"/>
      <x:c r="H21" s="4"/>
      <x:c r="I21" s="2"/>
      <x:c r="J21" s="2" t="s">
        <x:v>471</x:v>
      </x:c>
      <x:c r="K21" s="2" t="s">
        <x:v>472</x:v>
      </x:c>
    </x:row>
    <x:row r="22">
      <x:c r="B22" s="2"/>
      <x:c r="C22" s="2"/>
      <x:c r="D22" s="2"/>
      <x:c r="E22" s="2"/>
      <x:c r="F22" s="2"/>
      <x:c r="G22" s="2"/>
      <x:c r="H22" s="4"/>
      <x:c r="I22" s="2"/>
      <x:c r="J22" s="2"/>
      <x:c r="K22" s="2"/>
    </x:row>
    <x:row r="23">
      <x:c r="B23" s="2" t="s">
        <x:v>473</x:v>
      </x:c>
      <x:c r="C23" s="2"/>
      <x:c r="D23" s="2"/>
      <x:c r="E23" s="2"/>
      <x:c r="F23" s="2"/>
      <x:c r="G23" s="2"/>
      <x:c r="H23" s="4"/>
      <x:c r="I23" s="2"/>
      <x:c r="J23" s="2"/>
      <x:c r="K23" s="2" t="s">
        <x:v>474</x:v>
      </x:c>
    </x:row>
    <x:row r="24">
      <x:c r="B24" s="2" t="s">
        <x:v>475</x:v>
      </x:c>
      <x:c r="C24" s="2"/>
      <x:c r="D24" s="2"/>
      <x:c r="E24" s="2"/>
      <x:c r="F24" s="2"/>
      <x:c r="G24" s="2"/>
      <x:c r="H24" s="4"/>
      <x:c r="I24" s="2"/>
      <x:c r="J24" s="2"/>
      <x:c r="K24" s="2" t="s">
        <x:v>476</x:v>
      </x:c>
    </x:row>
    <x:row r="25">
      <x:c r="B25" s="2" t="s">
        <x:v>477</x:v>
      </x:c>
      <x:c r="C25" s="2"/>
      <x:c r="D25" s="2"/>
      <x:c r="E25" s="2"/>
      <x:c r="F25" s="2"/>
      <x:c r="G25" s="2"/>
      <x:c r="H25" s="4"/>
      <x:c r="I25" s="2"/>
      <x:c r="J25" s="2"/>
      <x:c r="K25" s="2" t="s">
        <x:v>478</x:v>
      </x:c>
    </x:row>
    <x:row r="26">
      <x:c r="B26" s="2" t="s">
        <x:v>479</x:v>
      </x:c>
      <x:c r="C26" s="2"/>
      <x:c r="D26" s="2"/>
      <x:c r="E26" s="2"/>
      <x:c r="F26" s="2"/>
      <x:c r="G26" s="2"/>
      <x:c r="H26" s="4"/>
      <x:c r="I26" s="2"/>
      <x:c r="J26" s="2"/>
      <x:c r="K26" s="2" t="s">
        <x:v>480</x:v>
      </x:c>
    </x:row>
    <x:row r="27">
      <x:c r="B27" s="2" t="s">
        <x:v>481</x:v>
      </x:c>
      <x:c r="C27" s="2"/>
      <x:c r="D27" s="2"/>
      <x:c r="E27" s="2"/>
      <x:c r="F27" s="2"/>
      <x:c r="G27" s="2"/>
      <x:c r="H27" s="4"/>
      <x:c r="I27" s="2"/>
      <x:c r="J27" s="2"/>
      <x:c r="K27" s="2" t="s">
        <x:v>482</x:v>
      </x:c>
    </x:row>
    <x:row r="28">
      <x:c r="B28" s="2" t="s">
        <x:v>483</x:v>
      </x:c>
      <x:c r="C28" s="2" t="s">
        <x:v>484</x:v>
      </x:c>
      <x:c r="D28" s="2"/>
      <x:c r="E28" s="2"/>
      <x:c r="F28" s="2"/>
      <x:c r="G28" s="2"/>
      <x:c r="H28" s="4"/>
      <x:c r="I28" s="2"/>
      <x:c r="J28" s="2" t="s">
        <x:v>485</x:v>
      </x:c>
      <x:c r="K28" s="2"/>
    </x:row>
    <x:row r="29">
      <x:c r="B29" s="2" t="s">
        <x:v>486</x:v>
      </x:c>
      <x:c r="C29" s="2" t="s">
        <x:v>487</x:v>
      </x:c>
      <x:c r="D29" s="2"/>
      <x:c r="E29" s="2"/>
      <x:c r="F29" s="2"/>
      <x:c r="G29" s="2"/>
      <x:c r="H29" s="4"/>
      <x:c r="I29" s="2"/>
      <x:c r="J29" s="2" t="s">
        <x:v>488</x:v>
      </x:c>
      <x:c r="K29" s="2"/>
    </x:row>
    <x:row r="30">
      <x:c r="B30" s="2" t="s">
        <x:v>489</x:v>
      </x:c>
      <x:c r="C30" s="2" t="s">
        <x:v>40</x:v>
      </x:c>
      <x:c r="D30" s="2"/>
      <x:c r="E30" s="2"/>
      <x:c r="F30" s="2"/>
      <x:c r="G30" s="2"/>
      <x:c r="H30" s="4"/>
      <x:c r="I30" s="2"/>
      <x:c r="J30" s="2" t="s">
        <x:v>20</x:v>
      </x:c>
      <x:c r="K30" s="2"/>
    </x:row>
    <x:row r="31">
      <x:c r="B31" s="2"/>
      <x:c r="C31" s="2"/>
      <x:c r="D31" s="2"/>
      <x:c r="E31" s="2"/>
      <x:c r="F31" s="2"/>
      <x:c r="G31" s="2"/>
      <x:c r="H31" s="4"/>
      <x:c r="I31" s="2"/>
      <x:c r="J31" s="2"/>
      <x:c r="K31" s="2"/>
    </x:row>
    <x:row r="32">
      <x:c r="B32" s="2" t="s">
        <x:v>490</x:v>
      </x:c>
      <x:c r="C32" s="26">
        <x:v>46248</x:v>
      </x:c>
      <x:c r="D32" s="2" t="s">
        <x:v>451</x:v>
      </x:c>
      <x:c r="E32" s="2" t="s">
        <x:v>491</x:v>
      </x:c>
      <x:c r="F32" s="2" t="s">
        <x:v>492</x:v>
      </x:c>
      <x:c r="G32" s="2"/>
      <x:c r="H32" s="4"/>
      <x:c r="I32" s="2"/>
      <x:c r="J32" s="2" t="s">
        <x:v>493</x:v>
      </x:c>
      <x:c r="K32" s="2" t="s">
        <x:v>494</x:v>
      </x:c>
    </x:row>
    <x:row r="33">
      <x:c r="B33" s="2" t="s">
        <x:v>495</x:v>
      </x:c>
      <x:c r="C33" s="26">
        <x:v>46232</x:v>
      </x:c>
      <x:c r="D33" s="2" t="s">
        <x:v>496</x:v>
      </x:c>
      <x:c r="E33" s="2" t="s">
        <x:v>497</x:v>
      </x:c>
      <x:c r="F33" s="2" t="s">
        <x:v>498</x:v>
      </x:c>
      <x:c r="G33" s="2"/>
      <x:c r="H33" s="4"/>
      <x:c r="I33" s="2"/>
      <x:c r="J33" s="2" t="s">
        <x:v>499</x:v>
      </x:c>
      <x:c r="K33" s="2" t="s">
        <x:v>500</x:v>
      </x:c>
    </x:row>
    <x:row r="34">
      <x:c r="B34" s="2" t="s">
        <x:v>501</x:v>
      </x:c>
      <x:c r="C34" s="26">
        <x:v>46232</x:v>
      </x:c>
      <x:c r="D34" s="2" t="s">
        <x:v>502</x:v>
      </x:c>
      <x:c r="E34" s="2" t="s">
        <x:v>503</x:v>
      </x:c>
      <x:c r="F34" s="2" t="s">
        <x:v>504</x:v>
      </x:c>
      <x:c r="G34" s="2"/>
      <x:c r="H34" s="4"/>
      <x:c r="I34" s="2"/>
      <x:c r="J34" s="2" t="s">
        <x:v>505</x:v>
      </x:c>
      <x:c r="K34" s="2" t="s">
        <x:v>506</x:v>
      </x:c>
    </x:row>
    <x:row r="35">
      <x:c r="B35" s="2"/>
      <x:c r="C35" s="2"/>
      <x:c r="D35" s="2"/>
      <x:c r="E35" s="2"/>
      <x:c r="F35" s="2"/>
      <x:c r="G35" s="2"/>
      <x:c r="H35" s="4"/>
      <x:c r="I35" s="2"/>
      <x:c r="J35" s="2"/>
    </x:row>
    <x:row r="36">
      <x:c r="B36" s="2"/>
      <x:c r="C36" s="2"/>
      <x:c r="D36" s="2"/>
      <x:c r="E36" s="2"/>
      <x:c r="F36" s="2"/>
      <x:c r="G36" s="2"/>
      <x:c r="H36" s="4"/>
      <x:c r="I36" s="2"/>
      <x:c r="J36" s="2"/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  <x:row r="91">
      <x:c r="H91" s="1"/>
    </x:row>
    <x:row r="92">
      <x:c r="H92" s="1"/>
    </x:row>
    <x:row r="93">
      <x:c r="H93" s="1"/>
    </x:row>
    <x:row r="94">
      <x:c r="H94" s="1"/>
    </x:row>
    <x:row r="95">
      <x:c r="H95" s="1"/>
    </x:row>
    <x:row r="96">
      <x:c r="H96" s="1"/>
    </x:row>
    <x:row r="97">
      <x:c r="H97" s="1"/>
    </x:row>
    <x:row r="98">
      <x:c r="H98" s="1"/>
    </x:row>
    <x:row r="99">
      <x:c r="H99" s="1"/>
    </x:row>
    <x:row r="100">
      <x:c r="H100" s="1"/>
    </x:row>
    <x:row r="101">
      <x:c r="H101" s="1"/>
    </x:row>
    <x:row r="102">
      <x:c r="H102" s="1"/>
    </x:row>
    <x:row r="103">
      <x:c r="H103" s="1"/>
    </x:row>
    <x:row r="104">
      <x:c r="H104" s="1"/>
    </x:row>
    <x:row r="105">
      <x:c r="H105" s="1"/>
    </x:row>
    <x:row r="106">
      <x:c r="H106" s="1"/>
    </x:row>
    <x:row r="107">
      <x:c r="H107" s="1"/>
    </x:row>
    <x:row r="108">
      <x:c r="H108" s="1"/>
    </x:row>
    <x:row r="109">
      <x:c r="H109" s="1"/>
    </x:row>
    <x:row r="110">
      <x:c r="H110" s="1"/>
    </x:row>
    <x:row r="111">
      <x:c r="H111" s="1"/>
    </x:row>
    <x:row r="112">
      <x:c r="H112" s="1"/>
    </x:row>
    <x:row r="113">
      <x:c r="H113" s="1"/>
    </x:row>
    <x:row r="114">
      <x:c r="H114" s="1"/>
    </x:row>
    <x:row r="115">
      <x:c r="H115" s="1"/>
    </x:row>
    <x:row r="116">
      <x:c r="H116" s="1"/>
    </x:row>
    <x:row r="117">
      <x:c r="H117" s="1"/>
    </x:row>
    <x:row r="118">
      <x:c r="H118" s="1"/>
    </x:row>
    <x:row r="119">
      <x:c r="H119" s="1"/>
    </x:row>
    <x:row r="120">
      <x:c r="H120" s="1"/>
    </x:row>
    <x:row r="121">
      <x:c r="H121" s="1"/>
    </x:row>
    <x:row r="122">
      <x:c r="H122" s="1"/>
    </x:row>
    <x:row r="123">
      <x:c r="H123" s="1"/>
    </x:row>
    <x:row r="124">
      <x:c r="H124" s="1"/>
    </x:row>
    <x:row r="125">
      <x:c r="H125" s="1"/>
    </x:row>
    <x:row r="126">
      <x:c r="H126" s="1"/>
    </x:row>
    <x:row r="127">
      <x:c r="H127" s="1"/>
    </x:row>
    <x:row r="128">
      <x:c r="H128" s="1"/>
    </x:row>
    <x:row r="129">
      <x:c r="H129" s="1"/>
    </x:row>
    <x:row r="130">
      <x:c r="H130" s="1"/>
    </x:row>
    <x:row r="131">
      <x:c r="H131" s="1"/>
    </x:row>
    <x:row r="132">
      <x:c r="H132" s="1"/>
    </x:row>
    <x:row r="133">
      <x:c r="H133" s="1"/>
    </x:row>
    <x:row r="134">
      <x:c r="H134" s="1"/>
    </x:row>
    <x:row r="135">
      <x:c r="H135" s="1"/>
    </x:row>
    <x:row r="136">
      <x:c r="H136" s="1"/>
    </x:row>
    <x:row r="137">
      <x:c r="H137" s="1"/>
    </x:row>
    <x:row r="138">
      <x:c r="H138" s="1"/>
    </x:row>
    <x:row r="139">
      <x:c r="H139" s="1"/>
    </x:row>
    <x:row r="140">
      <x:c r="H140" s="1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507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1"/>
      <x:c r="C5" s="49" t="s">
        <x:v>3</x:v>
      </x:c>
      <x:c r="D5" s="49" t="s">
        <x:v>4</x:v>
      </x:c>
      <x:c r="E5" s="49" t="s">
        <x:v>5</x:v>
      </x:c>
      <x:c r="F5" s="49" t="s">
        <x:v>6</x:v>
      </x:c>
      <x:c r="G5" s="49" t="s">
        <x:v>7</x:v>
      </x:c>
      <x:c r="H5" s="49" t="s">
        <x:v>8</x:v>
      </x:c>
    </x:row>
    <x:row r="6">
      <x:c r="B6" s="11"/>
      <x:c r="C6" s="6">
        <x:v>45900</x:v>
      </x:c>
      <x:c r="D6" s="6">
        <x:v>45991</x:v>
      </x:c>
      <x:c r="E6" s="6">
        <x:v>46081</x:v>
      </x:c>
      <x:c r="F6" s="6">
        <x:v>46081</x:v>
      </x:c>
      <x:c r="G6" s="6">
        <x:v>46173</x:v>
      </x:c>
      <x:c r="H6" s="6">
        <x:v>46265</x:v>
      </x:c>
    </x:row>
    <x:row r="7">
      <x:c r="B7" s="11"/>
      <x:c r="C7" s="11">
        <x:v>92</x:v>
      </x:c>
      <x:c r="D7" s="11">
        <x:v>91</x:v>
      </x:c>
      <x:c r="E7" s="11">
        <x:v>90</x:v>
      </x:c>
      <x:c r="F7" s="11">
        <x:v>365</x:v>
      </x:c>
      <x:c r="G7" s="11">
        <x:v>92</x:v>
      </x:c>
      <x:c r="H7" s="11">
        <x:v>92</x:v>
      </x:c>
    </x:row>
    <x:row r="8">
      <x:c r="B8" s="2"/>
      <x:c r="C8" s="2"/>
      <x:c r="D8" s="2"/>
      <x:c r="E8" s="2"/>
      <x:c r="F8" s="2"/>
      <x:c r="G8" s="2"/>
      <x:c r="H8" s="4"/>
    </x:row>
    <x:row r="9">
      <x:c r="B9" s="3"/>
      <x:c r="C9" s="2"/>
      <x:c r="D9" s="2"/>
      <x:c r="E9" s="2"/>
      <x:c r="F9" s="2"/>
      <x:c r="G9" s="2"/>
      <x:c r="H9" s="4"/>
      <x:c r="I9" s="2"/>
    </x:row>
    <x:row r="10">
      <x:c r="B10" s="3" t="s">
        <x:v>508</x:v>
      </x:c>
      <x:c r="C10" s="28">
        <x:v>5270.7</x:v>
      </x:c>
      <x:c r="D10" s="28">
        <x:v>4548.2</x:v>
      </x:c>
      <x:c r="E10" s="28">
        <x:v>4780</x:v>
      </x:c>
      <x:c r="F10" s="28">
        <x:v>20702.4</x:v>
      </x:c>
      <x:c r="G10" s="28">
        <x:v>6391.3</x:v>
      </x:c>
      <x:c r="H10" s="14"/>
      <x:c r="I10" s="2"/>
    </x:row>
    <x:row r="11">
      <x:c r="B11" s="3" t="s">
        <x:v>509</x:v>
      </x:c>
      <x:c r="C11" s="28">
        <x:v>1149.6</x:v>
      </x:c>
      <x:c r="D11" s="28">
        <x:v>1095.1</x:v>
      </x:c>
      <x:c r="E11" s="28">
        <x:v>1007.1</x:v>
      </x:c>
      <x:c r="F11" s="28">
        <x:v>4504.6</x:v>
      </x:c>
      <x:c r="G11" s="28">
        <x:v>1427.6</x:v>
      </x:c>
      <x:c r="H11" s="14"/>
      <x:c r="I11" s="2"/>
    </x:row>
    <x:row r="12">
      <x:c r="B12" s="3" t="s">
        <x:v>510</x:v>
      </x:c>
      <x:c r="C12" s="28">
        <x:v>115.1</x:v>
      </x:c>
      <x:c r="D12" s="28">
        <x:v>96.6</x:v>
      </x:c>
      <x:c r="E12" s="28">
        <x:v>105.3</x:v>
      </x:c>
      <x:c r="F12" s="28">
        <x:v>448.7</x:v>
      </x:c>
      <x:c r="G12" s="28">
        <x:v>133.5</x:v>
      </x:c>
      <x:c r="H12" s="14" t="n">
        <x:f>H109*H16/1000000</x:f>
        <x:v>114.99999999999999</x:v>
      </x:c>
      <x:c r="I12" s="2"/>
    </x:row>
    <x:row r="13">
      <x:c r="B13" s="3" t="s">
        <x:v>511</x:v>
      </x:c>
      <x:c r="C13" s="28">
        <x:v>-0.8</x:v>
      </x:c>
      <x:c r="D13" s="28">
        <x:v>-3</x:v>
      </x:c>
      <x:c r="E13" s="28">
        <x:v>-4.1</x:v>
      </x:c>
      <x:c r="F13" s="28">
        <x:v>-8.7</x:v>
      </x:c>
      <x:c r="G13" s="28">
        <x:v>-4.5</x:v>
      </x:c>
      <x:c r="H13" s="14" t="n">
        <x:f>H180*H16/1000000</x:f>
        <x:v>-2</x:v>
      </x:c>
      <x:c r="I13" s="2"/>
    </x:row>
    <x:row r="14">
      <x:c r="B14" s="3" t="s">
        <x:v>512</x:v>
      </x:c>
      <x:c r="C14" s="28">
        <x:v>37.9</x:v>
      </x:c>
      <x:c r="D14" s="28">
        <x:v>35.1</x:v>
      </x:c>
      <x:c r="E14" s="28">
        <x:v>34.9</x:v>
      </x:c>
      <x:c r="F14" s="28">
        <x:v>144.5</x:v>
      </x:c>
      <x:c r="G14" s="28">
        <x:v>36.7</x:v>
      </x:c>
      <x:c r="H14" s="14" t="n">
        <x:f>H181*(H16+H17)/1000000</x:f>
        <x:v>36</x:v>
      </x:c>
      <x:c r="I14" s="2"/>
    </x:row>
    <x:row r="15">
      <x:c r="B15" s="3" t="s">
        <x:v>513</x:v>
      </x:c>
      <x:c r="C15" s="28">
        <x:v>22.2</x:v>
      </x:c>
      <x:c r="D15" s="28">
        <x:v>21.9</x:v>
      </x:c>
      <x:c r="E15" s="28">
        <x:v>22.7</x:v>
      </x:c>
      <x:c r="F15" s="28">
        <x:v>89.7</x:v>
      </x:c>
      <x:c r="G15" s="28">
        <x:v>28.9</x:v>
      </x:c>
      <x:c r="H15" s="14" t="n">
        <x:f>H182*H16/1000000</x:f>
        <x:v>23</x:v>
      </x:c>
      <x:c r="I15" s="2"/>
    </x:row>
    <x:row r="16">
      <x:c r="B16" s="3" t="s">
        <x:v>514</x:v>
      </x:c>
      <x:c r="C16" s="28">
        <x:v>199729</x:v>
      </x:c>
      <x:c r="D16" s="28">
        <x:v>169557</x:v>
      </x:c>
      <x:c r="E16" s="28">
        <x:v>181188</x:v>
      </x:c>
      <x:c r="F16" s="28">
        <x:v>780684</x:v>
      </x:c>
      <x:c r="G16" s="28">
        <x:v>230293</x:v>
      </x:c>
      <x:c r="H16" s="34">
        <x:v>199500</x:v>
      </x:c>
      <x:c r="I16" s="2"/>
    </x:row>
    <x:row r="17">
      <x:c r="B17" s="3" t="s">
        <x:v>515</x:v>
      </x:c>
      <x:c r="C17" s="28">
        <x:v>138302</x:v>
      </x:c>
      <x:c r="D17" s="28">
        <x:v>127603</x:v>
      </x:c>
      <x:c r="E17" s="28">
        <x:v>122781</x:v>
      </x:c>
      <x:c r="F17" s="28">
        <x:v>538203</x:v>
      </x:c>
      <x:c r="G17" s="28">
        <x:v>162064</x:v>
      </x:c>
      <x:c r="H17" s="34">
        <x:v>138500</x:v>
      </x:c>
      <x:c r="I17" s="2"/>
    </x:row>
    <x:row r="18">
      <x:c r="B18" s="3" t="s">
        <x:v>516</x:v>
      </x:c>
      <x:c r="C18" s="28">
        <x:v>25993</x:v>
      </x:c>
      <x:c r="D18" s="28">
        <x:v>26383</x:v>
      </x:c>
      <x:c r="E18" s="28">
        <x:v>26019</x:v>
      </x:c>
      <x:c r="F18" s="28">
        <x:v>26121</x:v>
      </x:c>
      <x:c r="G18" s="28">
        <x:v>27288</x:v>
      </x:c>
      <x:c r="H18" s="34">
        <x:v>27000</x:v>
      </x:c>
      <x:c r="I18" s="2"/>
    </x:row>
    <x:row r="19">
      <x:c r="B19" s="3" t="s">
        <x:v>517</x:v>
      </x:c>
      <x:c r="C19" s="28">
        <x:v>7891</x:v>
      </x:c>
      <x:c r="D19" s="28">
        <x:v>8137</x:v>
      </x:c>
      <x:c r="E19" s="28">
        <x:v>7776</x:v>
      </x:c>
      <x:c r="F19" s="28">
        <x:v>7942</x:v>
      </x:c>
      <x:c r="G19" s="28">
        <x:v>8364</x:v>
      </x:c>
      <x:c r="H19" s="34">
        <x:v>8000</x:v>
      </x:c>
      <x:c r="I19" s="2"/>
    </x:row>
    <x:row r="20">
      <x:c r="B20" s="3" t="s">
        <x:v>518</x:v>
      </x:c>
      <x:c r="C20" s="28">
        <x:v>442.6</x:v>
      </x:c>
      <x:c r="D20" s="28">
        <x:v>378.9</x:v>
      </x:c>
      <x:c r="E20" s="28">
        <x:v>383.2</x:v>
      </x:c>
      <x:c r="F20" s="28">
        <x:v>1759</x:v>
      </x:c>
      <x:c r="G20" s="28">
        <x:v>501.4</x:v>
      </x:c>
      <x:c r="H20" s="34"/>
      <x:c r="I20" s="2"/>
    </x:row>
    <x:row r="21">
      <x:c r="B21" s="3" t="s">
        <x:v>519</x:v>
      </x:c>
      <x:c r="C21" s="28">
        <x:v>137.3</x:v>
      </x:c>
      <x:c r="D21" s="28">
        <x:v>114.8</x:v>
      </x:c>
      <x:c r="E21" s="28">
        <x:v>115.4</x:v>
      </x:c>
      <x:c r="F21" s="28">
        <x:v>524.1</x:v>
      </x:c>
      <x:c r="G21" s="28">
        <x:v>169.5</x:v>
      </x:c>
      <x:c r="H21" s="34"/>
      <x:c r="I21" s="2"/>
    </x:row>
    <x:row r="22">
      <x:c r="B22" s="3" t="s">
        <x:v>520</x:v>
      </x:c>
      <x:c r="C22" s="28">
        <x:v>137.8</x:v>
      </x:c>
      <x:c r="D22" s="28">
        <x:v>96.3</x:v>
      </x:c>
      <x:c r="E22" s="28">
        <x:v>106.7</x:v>
      </x:c>
      <x:c r="F22" s="28">
        <x:v>523.5</x:v>
      </x:c>
      <x:c r="G22" s="28">
        <x:v>183.5</x:v>
      </x:c>
      <x:c r="H22" s="34">
        <x:v>145</x:v>
      </x:c>
      <x:c r="I22" s="2"/>
    </x:row>
    <x:row r="23">
      <x:c r="B23" s="3" t="s">
        <x:v>521</x:v>
      </x:c>
      <x:c r="C23" s="28">
        <x:v>323.4</x:v>
      </x:c>
      <x:c r="D23" s="28">
        <x:v>307.3</x:v>
      </x:c>
      <x:c r="E23" s="28">
        <x:v>312.7</x:v>
      </x:c>
      <x:c r="F23" s="28">
        <x:v>1292.4</x:v>
      </x:c>
      <x:c r="G23" s="28">
        <x:v>329.6</x:v>
      </x:c>
      <x:c r="H23" s="34">
        <x:v>315</x:v>
      </x:c>
      <x:c r="I23" s="2"/>
    </x:row>
    <x:row r="24">
      <x:c r="B24" s="3" t="s">
        <x:v>522</x:v>
      </x:c>
      <x:c r="C24" s="28">
        <x:v>22.4</x:v>
      </x:c>
      <x:c r="D24" s="28">
        <x:v>14.7</x:v>
      </x:c>
      <x:c r="E24" s="28">
        <x:v>10.7</x:v>
      </x:c>
      <x:c r="F24" s="28">
        <x:v>93.4</x:v>
      </x:c>
      <x:c r="G24" s="28">
        <x:v>39.7</x:v>
      </x:c>
      <x:c r="H24" s="34">
        <x:v>22</x:v>
      </x:c>
      <x:c r="I24" s="2"/>
    </x:row>
    <x:row r="25">
      <x:c r="B25" s="3" t="s">
        <x:v>523</x:v>
      </x:c>
      <x:c r="C25" s="28">
        <x:v>74.1</x:v>
      </x:c>
      <x:c r="D25" s="28">
        <x:v>68.6</x:v>
      </x:c>
      <x:c r="E25" s="28">
        <x:v>93.8</x:v>
      </x:c>
      <x:c r="F25" s="28">
        <x:v>305.5</x:v>
      </x:c>
      <x:c r="G25" s="28">
        <x:v>66.8</x:v>
      </x:c>
      <x:c r="H25" s="34">
        <x:v>72</x:v>
      </x:c>
      <x:c r="I25" s="2"/>
    </x:row>
    <x:row r="26">
      <x:c r="B26" s="3" t="s">
        <x:v>524</x:v>
      </x:c>
      <x:c r="C26" s="28">
        <x:v>63.7</x:v>
      </x:c>
      <x:c r="D26" s="28">
        <x:v>73.4</x:v>
      </x:c>
      <x:c r="E26" s="28">
        <x:v>77.9</x:v>
      </x:c>
      <x:c r="F26" s="28">
        <x:v>283</x:v>
      </x:c>
      <x:c r="G26" s="28">
        <x:v>75.9</x:v>
      </x:c>
      <x:c r="H26" s="34">
        <x:v>72</x:v>
      </x:c>
      <x:c r="I26" s="2"/>
    </x:row>
    <x:row r="27">
      <x:c r="B27" s="3" t="s">
        <x:v>525</x:v>
      </x:c>
      <x:c r="C27" s="28">
        <x:v>117.5</x:v>
      </x:c>
      <x:c r="D27" s="28">
        <x:v>117.4</x:v>
      </x:c>
      <x:c r="E27" s="28">
        <x:v>116.2</x:v>
      </x:c>
      <x:c r="F27" s="28">
        <x:v>479.1</x:v>
      </x:c>
      <x:c r="G27" s="28">
        <x:v>123.2</x:v>
      </x:c>
      <x:c r="H27" s="34">
        <x:v>116</x:v>
      </x:c>
      <x:c r="I27" s="2"/>
    </x:row>
    <x:row r="28">
      <x:c r="B28" s="3" t="s">
        <x:v>526</x:v>
      </x:c>
      <x:c r="C28" s="28">
        <x:v>489.8</x:v>
      </x:c>
      <x:c r="D28" s="28">
        <x:v>448</x:v>
      </x:c>
      <x:c r="E28" s="28">
        <x:v>441</x:v>
      </x:c>
      <x:c r="F28" s="28">
        <x:v>1864.2</x:v>
      </x:c>
      <x:c r="G28" s="28">
        <x:v>460.9</x:v>
      </x:c>
      <x:c r="H28" s="34">
        <x:v>457</x:v>
      </x:c>
      <x:c r="I28" s="2"/>
    </x:row>
    <x:row r="29">
      <x:c r="B29" s="3" t="s">
        <x:v>527</x:v>
      </x:c>
      <x:c r="C29" s="28">
        <x:v>-199.2</x:v>
      </x:c>
      <x:c r="D29" s="28">
        <x:v>-188.3</x:v>
      </x:c>
      <x:c r="E29" s="28">
        <x:v>-184.2</x:v>
      </x:c>
      <x:c r="F29" s="28">
        <x:v>-769.2</x:v>
      </x:c>
      <x:c r="G29" s="28">
        <x:v>-184.2</x:v>
      </x:c>
      <x:c r="H29" s="34">
        <x:v>-190</x:v>
      </x:c>
      <x:c r="I29" s="2"/>
    </x:row>
    <x:row r="30">
      <x:c r="B30" s="3" t="s">
        <x:v>528</x:v>
      </x:c>
      <x:c r="C30" s="28">
        <x:v>-142.2</x:v>
      </x:c>
      <x:c r="D30" s="28">
        <x:v>-73.4</x:v>
      </x:c>
      <x:c r="E30" s="28">
        <x:v>-73.9</x:v>
      </x:c>
      <x:c r="F30" s="28">
        <x:v>-391.2</x:v>
      </x:c>
      <x:c r="G30" s="28">
        <x:v>-95.6</x:v>
      </x:c>
      <x:c r="H30" s="34">
        <x:v>-120</x:v>
      </x:c>
      <x:c r="I30" s="2"/>
    </x:row>
    <x:row r="31">
      <x:c r="B31" s="3" t="s">
        <x:v>529</x:v>
      </x:c>
      <x:c r="C31" s="28">
        <x:v>0</x:v>
      </x:c>
      <x:c r="D31" s="28">
        <x:v>5</x:v>
      </x:c>
      <x:c r="E31" s="28">
        <x:v>4.7</x:v>
      </x:c>
      <x:c r="F31" s="28">
        <x:v>9.7</x:v>
      </x:c>
      <x:c r="G31" s="28">
        <x:v>4.2</x:v>
      </x:c>
      <x:c r="H31" s="34">
        <x:v>5</x:v>
      </x:c>
      <x:c r="I31" s="2"/>
    </x:row>
    <x:row r="32">
      <x:c r="B32" s="3" t="s">
        <x:v>530</x:v>
      </x:c>
      <x:c r="C32" s="28">
        <x:v>-45.8</x:v>
      </x:c>
      <x:c r="D32" s="28">
        <x:v>-43.6</x:v>
      </x:c>
      <x:c r="E32" s="28">
        <x:v>-44</x:v>
      </x:c>
      <x:c r="F32" s="28">
        <x:v>-177.9</x:v>
      </x:c>
      <x:c r="G32" s="28">
        <x:v>-45.1</x:v>
      </x:c>
      <x:c r="H32" s="34">
        <x:v>-46</x:v>
      </x:c>
      <x:c r="I32" s="2"/>
    </x:row>
    <x:row r="33">
      <x:c r="B33" s="3" t="s">
        <x:v>531</x:v>
      </x:c>
      <x:c r="C33" s="28">
        <x:v>0</x:v>
      </x:c>
      <x:c r="D33" s="28">
        <x:v>27</x:v>
      </x:c>
      <x:c r="E33" s="28">
        <x:v>-0.1</x:v>
      </x:c>
      <x:c r="F33" s="28">
        <x:v>26.9</x:v>
      </x:c>
      <x:c r="G33" s="28">
        <x:v>0</x:v>
      </x:c>
      <x:c r="H33" s="34">
        <x:v>0</x:v>
      </x:c>
      <x:c r="I33" s="2"/>
    </x:row>
    <x:row r="34">
      <x:c r="B34" s="3" t="s">
        <x:v>532</x:v>
      </x:c>
      <x:c r="C34" s="28">
        <x:v>0</x:v>
      </x:c>
      <x:c r="D34" s="28">
        <x:v>0</x:v>
      </x:c>
      <x:c r="E34" s="28">
        <x:v>0.2</x:v>
      </x:c>
      <x:c r="F34" s="28">
        <x:v>0.2</x:v>
      </x:c>
      <x:c r="G34" s="28">
        <x:v>0</x:v>
      </x:c>
      <x:c r="H34" s="34">
        <x:v>0</x:v>
      </x:c>
      <x:c r="I34" s="2"/>
    </x:row>
    <x:row r="35">
      <x:c r="B35" s="3" t="s">
        <x:v>533</x:v>
      </x:c>
      <x:c r="C35" s="28">
        <x:v>17734.5</x:v>
      </x:c>
      <x:c r="D35" s="28">
        <x:v>16805.2</x:v>
      </x:c>
      <x:c r="E35" s="28">
        <x:v>16403.5</x:v>
      </x:c>
      <x:c r="F35" s="28">
        <x:v>17165.8</x:v>
      </x:c>
      <x:c r="G35" s="28">
        <x:v>16533.7</x:v>
      </x:c>
      <x:c r="H35" s="14"/>
      <x:c r="I35" s="2"/>
    </x:row>
    <x:row r="36">
      <x:c r="B36" s="3" t="s">
        <x:v>534</x:v>
      </x:c>
      <x:c r="C36" s="28">
        <x:v>2039.6</x:v>
      </x:c>
      <x:c r="D36" s="28">
        <x:v>1761.4</x:v>
      </x:c>
      <x:c r="E36" s="28">
        <x:v>1858.1</x:v>
      </x:c>
      <x:c r="F36" s="28">
        <x:v>7992.7</x:v>
      </x:c>
      <x:c r="G36" s="28">
        <x:v>2445.1</x:v>
      </x:c>
      <x:c r="H36" s="14"/>
      <x:c r="I36" s="2"/>
    </x:row>
    <x:row r="37">
      <x:c r="B37" s="3" t="s">
        <x:v>535</x:v>
      </x:c>
      <x:c r="C37" s="28">
        <x:v>42.6</x:v>
      </x:c>
      <x:c r="D37" s="28">
        <x:v>42.6</x:v>
      </x:c>
      <x:c r="E37" s="28">
        <x:v>42.8</x:v>
      </x:c>
      <x:c r="F37" s="28">
        <x:v>42.4</x:v>
      </x:c>
      <x:c r="G37" s="28">
        <x:v>43.3</x:v>
      </x:c>
      <x:c r="H37" s="14"/>
      <x:c r="I37" s="2"/>
    </x:row>
    <x:row r="38">
      <x:c r="B38" s="3" t="s">
        <x:v>536</x:v>
      </x:c>
      <x:c r="C38" s="28">
        <x:v>11.2</x:v>
      </x:c>
      <x:c r="D38" s="28">
        <x:v>11</x:v>
      </x:c>
      <x:c r="E38" s="28">
        <x:v>11.1</x:v>
      </x:c>
      <x:c r="F38" s="28">
        <x:v>11.2</x:v>
      </x:c>
      <x:c r="G38" s="28">
        <x:v>11.3</x:v>
      </x:c>
      <x:c r="H38" s="14"/>
      <x:c r="I38" s="2"/>
    </x:row>
    <x:row r="39">
      <x:c r="B39" s="3" t="s">
        <x:v>537</x:v>
      </x:c>
      <x:c r="C39" s="28">
        <x:v>507.3</x:v>
      </x:c>
      <x:c r="D39" s="28">
        <x:v>474.8</x:v>
      </x:c>
      <x:c r="E39" s="28">
        <x:v>453</x:v>
      </x:c>
      <x:c r="F39" s="28">
        <x:v>453</x:v>
      </x:c>
      <x:c r="G39" s="28">
        <x:v>475</x:v>
      </x:c>
      <x:c r="H39" s="14"/>
      <x:c r="I39" s="2"/>
    </x:row>
    <x:row r="40">
      <x:c r="B40" s="3" t="s">
        <x:v>538</x:v>
      </x:c>
      <x:c r="C40" s="28">
        <x:v>-6.3</x:v>
      </x:c>
      <x:c r="D40" s="28">
        <x:v>-9</x:v>
      </x:c>
      <x:c r="E40" s="28">
        <x:v>-1.9</x:v>
      </x:c>
      <x:c r="F40" s="28">
        <x:v>-2</x:v>
      </x:c>
      <x:c r="G40" s="28">
        <x:v>-0.8</x:v>
      </x:c>
      <x:c r="H40" s="14"/>
      <x:c r="I40" s="2"/>
    </x:row>
    <x:row r="41">
      <x:c r="B41" s="3" t="s">
        <x:v>539</x:v>
      </x:c>
      <x:c r="C41" s="28">
        <x:v>95.378</x:v>
      </x:c>
      <x:c r="D41" s="28">
        <x:v>62.215</x:v>
      </x:c>
      <x:c r="E41" s="28">
        <x:v>-120.684</x:v>
      </x:c>
      <x:c r="F41" s="28">
        <x:v>247.29</x:v>
      </x:c>
      <x:c r="G41" s="28">
        <x:v>185.627</x:v>
      </x:c>
      <x:c r="H41" s="14"/>
      <x:c r="I41" s="2"/>
    </x:row>
    <x:row r="42">
      <x:c r="B42" s="3" t="s">
        <x:v>540</x:v>
      </x:c>
      <x:c r="C42" s="28">
        <x:v>149.291</x:v>
      </x:c>
      <x:c r="D42" s="28">
        <x:v>145.548</x:v>
      </x:c>
      <x:c r="E42" s="28">
        <x:v>141.923</x:v>
      </x:c>
      <x:c r="F42" s="28">
        <x:v>147.258</x:v>
      </x:c>
      <x:c r="G42" s="28">
        <x:v>141.847</x:v>
      </x:c>
      <x:c r="H42" s="34">
        <x:v>141.85</x:v>
      </x:c>
      <x:c r="I42" s="2"/>
    </x:row>
    <x:row r="43">
      <x:c r="B43" s="3" t="s">
        <x:v>541</x:v>
      </x:c>
      <x:c r="C43" s="28">
        <x:v>149.637</x:v>
      </x:c>
      <x:c r="D43" s="28">
        <x:v>145.864</x:v>
      </x:c>
      <x:c r="E43" s="28">
        <x:v>141.923</x:v>
      </x:c>
      <x:c r="F43" s="28">
        <x:v>147.613</x:v>
      </x:c>
      <x:c r="G43" s="28">
        <x:v>142.148</x:v>
      </x:c>
      <x:c r="H43" s="34">
        <x:v>142.1</x:v>
      </x:c>
      <x:c r="I43" s="2"/>
    </x:row>
    <x:row r="44">
      <x:c r="B44" s="3" t="s">
        <x:v>542</x:v>
      </x:c>
      <x:c r="C44" s="28">
        <x:v>601.093</x:v>
      </x:c>
      <x:c r="D44" s="28">
        <x:v>581.4</x:v>
      </x:c>
      <x:c r="E44" s="28">
        <x:v>611.308</x:v>
      </x:c>
      <x:c r="F44" s="28">
        <x:v>2453.4</x:v>
      </x:c>
      <x:c r="G44" s="28">
        <x:v>635.1750000000001</x:v>
      </x:c>
      <x:c r="H44" s="14"/>
      <x:c r="I44" s="2"/>
    </x:row>
    <x:row r="45">
      <x:c r="B45" s="3" t="s">
        <x:v>543</x:v>
      </x:c>
      <x:c r="C45" s="28">
        <x:v>67.285</x:v>
      </x:c>
      <x:c r="D45" s="28">
        <x:v>68.943</x:v>
      </x:c>
      <x:c r="E45" s="28">
        <x:v>71.783</x:v>
      </x:c>
      <x:c r="F45" s="28">
        <x:v>273.75</x:v>
      </x:c>
      <x:c r="G45" s="28">
        <x:v>69.21300000000001</x:v>
      </x:c>
      <x:c r="H45" s="34">
        <x:v>69</x:v>
      </x:c>
      <x:c r="I45" s="2"/>
    </x:row>
    <x:row r="46">
      <x:c r="B46" s="3" t="s">
        <x:v>544</x:v>
      </x:c>
      <x:c r="C46" s="28">
        <x:v>28.453</x:v>
      </x:c>
      <x:c r="D46" s="28">
        <x:v>26.12</x:v>
      </x:c>
      <x:c r="E46" s="28">
        <x:v>28.751</x:v>
      </x:c>
      <x:c r="F46" s="28">
        <x:v>110.4</x:v>
      </x:c>
      <x:c r="G46" s="28">
        <x:v>33.811</x:v>
      </x:c>
      <x:c r="H46" s="34">
        <x:v>32</x:v>
      </x:c>
      <x:c r="I46" s="2"/>
    </x:row>
    <x:row r="47">
      <x:c r="B47" s="3" t="s">
        <x:v>545</x:v>
      </x:c>
      <x:c r="C47" s="28">
        <x:v>31.719</x:v>
      </x:c>
      <x:c r="D47" s="28">
        <x:v>21.672</x:v>
      </x:c>
      <x:c r="E47" s="28">
        <x:v>10.003</x:v>
      </x:c>
      <x:c r="F47" s="28">
        <x:v>136.143</x:v>
      </x:c>
      <x:c r="G47" s="28">
        <x:v>72.93</x:v>
      </x:c>
      <x:c r="H47" s="14"/>
      <x:c r="I47" s="2"/>
    </x:row>
    <x:row r="48">
      <x:c r="B48" s="3" t="s">
        <x:v>546</x:v>
      </x:c>
      <x:c r="C48" s="28">
        <x:v>540.374</x:v>
      </x:c>
      <x:c r="D48" s="28">
        <x:v>204.938</x:v>
      </x:c>
      <x:c r="E48" s="28">
        <x:v>122.826</x:v>
      </x:c>
      <x:c r="F48" s="28">
        <x:v>122.826</x:v>
      </x:c>
      <x:c r="G48" s="28">
        <x:v>132.223</x:v>
      </x:c>
      <x:c r="H48" s="14"/>
      <x:c r="I48" s="2"/>
    </x:row>
    <x:row r="49">
      <x:c r="B49" s="3" t="s">
        <x:v>547</x:v>
      </x:c>
      <x:c r="C49" s="28">
        <x:v>618.792</x:v>
      </x:c>
      <x:c r="D49" s="28">
        <x:v>567.398</x:v>
      </x:c>
      <x:c r="E49" s="28">
        <x:v>592.033</x:v>
      </x:c>
      <x:c r="F49" s="28">
        <x:v>592.033</x:v>
      </x:c>
      <x:c r="G49" s="28">
        <x:v>595.1030000000001</x:v>
      </x:c>
      <x:c r="H49" s="14"/>
      <x:c r="I49" s="2"/>
    </x:row>
    <x:row r="50">
      <x:c r="B50" s="3" t="s">
        <x:v>548</x:v>
      </x:c>
      <x:c r="C50" s="28">
        <x:v>173.556</x:v>
      </x:c>
      <x:c r="D50" s="28">
        <x:v>151.102</x:v>
      </x:c>
      <x:c r="E50" s="28">
        <x:v>204.453</x:v>
      </x:c>
      <x:c r="F50" s="28">
        <x:v>204.453</x:v>
      </x:c>
      <x:c r="G50" s="28">
        <x:v>263.919</x:v>
      </x:c>
      <x:c r="H50" s="14"/>
      <x:c r="I50" s="2"/>
    </x:row>
    <x:row r="51">
      <x:c r="B51" s="3" t="s">
        <x:v>549</x:v>
      </x:c>
      <x:c r="C51" s="28">
        <x:v>921.928</x:v>
      </x:c>
      <x:c r="D51" s="28">
        <x:v>0</x:v>
      </x:c>
      <x:c r="E51" s="28">
        <x:v>100.491</x:v>
      </x:c>
      <x:c r="F51" s="28">
        <x:v>100.491</x:v>
      </x:c>
      <x:c r="G51" s="28">
        <x:v>618.979</x:v>
      </x:c>
      <x:c r="H51" s="14"/>
      <x:c r="I51" s="2"/>
    </x:row>
    <x:row r="52">
      <x:c r="B52" s="3" t="s">
        <x:v>550</x:v>
      </x:c>
      <x:c r="C52" s="28">
        <x:v>3149.57</x:v>
      </x:c>
      <x:c r="D52" s="28">
        <x:v>3127.948</x:v>
      </x:c>
      <x:c r="E52" s="28">
        <x:v>4137.005</x:v>
      </x:c>
      <x:c r="F52" s="28">
        <x:v>4137.005</x:v>
      </x:c>
      <x:c r="G52" s="28">
        <x:v>4062.765</x:v>
      </x:c>
      <x:c r="H52" s="14"/>
      <x:c r="I52" s="2"/>
    </x:row>
    <x:row r="53">
      <x:c r="B53" s="3" t="s">
        <x:v>551</x:v>
      </x:c>
      <x:c r="C53" s="28">
        <x:v>137.798</x:v>
      </x:c>
      <x:c r="D53" s="28">
        <x:v>146.81900000000002</x:v>
      </x:c>
      <x:c r="E53" s="28">
        <x:v>153.594</x:v>
      </x:c>
      <x:c r="F53" s="28">
        <x:v>153.594</x:v>
      </x:c>
      <x:c r="G53" s="28">
        <x:v>161.34</x:v>
      </x:c>
      <x:c r="H53" s="14"/>
      <x:c r="I53" s="2"/>
    </x:row>
    <x:row r="54">
      <x:c r="B54" s="3" t="s">
        <x:v>552</x:v>
      </x:c>
      <x:c r="C54" s="28">
        <x:v>16386.236</x:v>
      </x:c>
      <x:c r="D54" s="28">
        <x:v>16151.162</x:v>
      </x:c>
      <x:c r="E54" s="28">
        <x:v>15952.291</x:v>
      </x:c>
      <x:c r="F54" s="28">
        <x:v>15952.291</x:v>
      </x:c>
      <x:c r="G54" s="28">
        <x:v>15689.952</x:v>
      </x:c>
      <x:c r="H54" s="14"/>
      <x:c r="I54" s="2"/>
    </x:row>
    <x:row r="55">
      <x:c r="B55" s="3" t="s">
        <x:v>553</x:v>
      </x:c>
      <x:c r="C55" s="28">
        <x:v>3969.003</x:v>
      </x:c>
      <x:c r="D55" s="28">
        <x:v>4023.465</x:v>
      </x:c>
      <x:c r="E55" s="28">
        <x:v>4070.293</x:v>
      </x:c>
      <x:c r="F55" s="28">
        <x:v>4070.293</x:v>
      </x:c>
      <x:c r="G55" s="28">
        <x:v>4079.993</x:v>
      </x:c>
      <x:c r="H55" s="14"/>
      <x:c r="I55" s="2"/>
    </x:row>
    <x:row r="56">
      <x:c r="B56" s="3" t="s">
        <x:v>554</x:v>
      </x:c>
      <x:c r="C56" s="28">
        <x:v>105.729</x:v>
      </x:c>
      <x:c r="D56" s="28">
        <x:v>73.45100000000001</x:v>
      </x:c>
      <x:c r="E56" s="28">
        <x:v>78.479</x:v>
      </x:c>
      <x:c r="F56" s="28">
        <x:v>78.479</x:v>
      </x:c>
      <x:c r="G56" s="28">
        <x:v>72.917</x:v>
      </x:c>
      <x:c r="H56" s="14"/>
      <x:c r="I56" s="2"/>
    </x:row>
    <x:row r="57">
      <x:c r="B57" s="3" t="s">
        <x:v>555</x:v>
      </x:c>
      <x:c r="C57" s="28">
        <x:v>476.367</x:v>
      </x:c>
      <x:c r="D57" s="28">
        <x:v>475.078</x:v>
      </x:c>
      <x:c r="E57" s="28">
        <x:v>459.514</x:v>
      </x:c>
      <x:c r="F57" s="28">
        <x:v>459.514</x:v>
      </x:c>
      <x:c r="G57" s="28">
        <x:v>451.441</x:v>
      </x:c>
      <x:c r="H57" s="14"/>
      <x:c r="I57" s="2"/>
    </x:row>
    <x:row r="58">
      <x:c r="B58" s="3" t="s">
        <x:v>556</x:v>
      </x:c>
      <x:c r="C58" s="28">
        <x:v>141.258</x:v>
      </x:c>
      <x:c r="D58" s="28">
        <x:v>141.258</x:v>
      </x:c>
      <x:c r="E58" s="28">
        <x:v>0</x:v>
      </x:c>
      <x:c r="F58" s="28">
        <x:v>0</x:v>
      </x:c>
      <x:c r="G58" s="28">
        <x:v>0</x:v>
      </x:c>
      <x:c r="H58" s="14"/>
      <x:c r="I58" s="2"/>
    </x:row>
    <x:row r="59">
      <x:c r="B59" s="3" t="s">
        <x:v>557</x:v>
      </x:c>
      <x:c r="C59" s="28">
        <x:v>459.033</x:v>
      </x:c>
      <x:c r="D59" s="28">
        <x:v>499.736</x:v>
      </x:c>
      <x:c r="E59" s="28">
        <x:v>496.924</x:v>
      </x:c>
      <x:c r="F59" s="28">
        <x:v>496.924</x:v>
      </x:c>
      <x:c r="G59" s="28">
        <x:v>498.266</x:v>
      </x:c>
      <x:c r="H59" s="14"/>
      <x:c r="I59" s="2"/>
    </x:row>
    <x:row r="60">
      <x:c r="B60" s="3" t="s">
        <x:v>558</x:v>
      </x:c>
      <x:c r="C60" s="28">
        <x:v>20879.122</x:v>
      </x:c>
      <x:c r="D60" s="28">
        <x:v>19497.821</x:v>
      </x:c>
      <x:c r="E60" s="28">
        <x:v>20479.047</x:v>
      </x:c>
      <x:c r="F60" s="28">
        <x:v>20479.047</x:v>
      </x:c>
      <x:c r="G60" s="28">
        <x:v>20508.313</x:v>
      </x:c>
      <x:c r="H60" s="14"/>
      <x:c r="I60" s="2"/>
    </x:row>
    <x:row r="61">
      <x:c r="B61" s="3" t="s">
        <x:v>559</x:v>
      </x:c>
      <x:c r="C61" s="28">
        <x:v>6200.522</x:v>
      </x:c>
      <x:c r="D61" s="28">
        <x:v>6064.534000000001</x:v>
      </x:c>
      <x:c r="E61" s="28">
        <x:v>5888.856</x:v>
      </x:c>
      <x:c r="F61" s="28">
        <x:v>5888.856</x:v>
      </x:c>
      <x:c r="G61" s="28">
        <x:v>6118.585</x:v>
      </x:c>
      <x:c r="H61" s="14"/>
      <x:c r="I61" s="2"/>
    </x:row>
    <x:row r="62">
      <x:c r="B62" s="3" t="s">
        <x:v>560</x:v>
      </x:c>
      <x:c r="C62" s="28">
        <x:v>146.009</x:v>
      </x:c>
      <x:c r="D62" s="28">
        <x:v>140.467</x:v>
      </x:c>
      <x:c r="E62" s="28">
        <x:v>147.991</x:v>
      </x:c>
      <x:c r="F62" s="28">
        <x:v>147.991</x:v>
      </x:c>
      <x:c r="G62" s="28">
        <x:v>144.008</x:v>
      </x:c>
      <x:c r="H62" s="14"/>
      <x:c r="I62" s="2"/>
    </x:row>
    <x:row r="63">
      <x:c r="B63" s="3" t="s">
        <x:v>561</x:v>
      </x:c>
      <x:c r="C63" s="28">
        <x:v>785.494</x:v>
      </x:c>
      <x:c r="D63" s="28">
        <x:v>1253.077</x:v>
      </x:c>
      <x:c r="E63" s="28">
        <x:v>-554.267</x:v>
      </x:c>
      <x:c r="F63" s="28">
        <x:v>1783.847</x:v>
      </x:c>
      <x:c r="G63" s="28">
        <x:v>17.589</x:v>
      </x:c>
      <x:c r="H63" s="14"/>
      <x:c r="I63" s="2"/>
    </x:row>
    <x:row r="64">
      <x:c r="B64" s="3" t="s">
        <x:v>562</x:v>
      </x:c>
      <x:c r="C64" s="28">
        <x:v>-131.277</x:v>
      </x:c>
      <x:c r="D64" s="28">
        <x:v>-138.811</x:v>
      </x:c>
      <x:c r="E64" s="28">
        <x:v>-128.768</x:v>
      </x:c>
      <x:c r="F64" s="28">
        <x:v>-540.045</x:v>
      </x:c>
      <x:c r="G64" s="28">
        <x:v>-99.626</x:v>
      </x:c>
      <x:c r="H64" s="14"/>
      <x:c r="I64" s="2"/>
    </x:row>
    <x:row r="65">
      <x:c r="B65" s="3" t="s">
        <x:v>563</x:v>
      </x:c>
      <x:c r="C65" s="28">
        <x:v>-338.281</x:v>
      </x:c>
      <x:c r="D65" s="28">
        <x:v>-1506.638</x:v>
      </x:c>
      <x:c r="E65" s="28">
        <x:v>633.082</x:v>
      </x:c>
      <x:c r="F65" s="28">
        <x:v>-1341.262</x:v>
      </x:c>
      <x:c r="G65" s="28">
        <x:v>90.521</x:v>
      </x:c>
      <x:c r="H65" s="14"/>
      <x:c r="I65" s="2"/>
    </x:row>
    <x:row r="66">
      <x:c r="B66" s="3" t="s">
        <x:v>564</x:v>
      </x:c>
      <x:c r="C66" s="28">
        <x:v>989.239</x:v>
      </x:c>
      <x:c r="D66" s="28">
        <x:v>1305.175</x:v>
      </x:c>
      <x:c r="E66" s="28">
        <x:v>912.803</x:v>
      </x:c>
      <x:c r="F66" s="28">
        <x:v>960.31</x:v>
      </x:c>
      <x:c r="G66" s="28">
        <x:v>862.85</x:v>
      </x:c>
      <x:c r="H66" s="14"/>
      <x:c r="I66" s="2"/>
    </x:row>
    <x:row r="67">
      <x:c r="B67" s="3" t="s">
        <x:v>565</x:v>
      </x:c>
      <x:c r="C67" s="28">
        <x:v>1305.175</x:v>
      </x:c>
      <x:c r="D67" s="28">
        <x:v>912.803</x:v>
      </x:c>
      <x:c r="E67" s="28">
        <x:v>862.85</x:v>
      </x:c>
      <x:c r="F67" s="28">
        <x:v>862.85</x:v>
      </x:c>
      <x:c r="G67" s="28">
        <x:v>871.334</x:v>
      </x:c>
      <x:c r="H67" s="14"/>
      <x:c r="I67" s="2"/>
    </x:row>
    <x:row r="68">
      <x:c r="B68" s="3" t="s">
        <x:v>566</x:v>
      </x:c>
      <x:c r="C68" s="13" t="n">
        <x:f>H118</x:f>
        <x:v>6594.68</x:v>
      </x:c>
      <x:c r="D68" s="13" t="n">
        <x:f>H119</x:f>
        <x:v>5793.95</x:v>
      </x:c>
      <x:c r="E68" s="13" t="n">
        <x:f>H120</x:f>
        <x:v>5945.96</x:v>
      </x:c>
      <x:c r="F68" s="28">
        <x:v>25881.131</x:v>
      </x:c>
      <x:c r="G68" s="13" t="n">
        <x:f>H121</x:f>
        <x:v>8013.52</x:v>
      </x:c>
      <x:c r="H68" s="14"/>
      <x:c r="I68" s="2"/>
    </x:row>
    <x:row r="69">
      <x:c r="B69" s="3" t="s">
        <x:v>567</x:v>
      </x:c>
      <x:c r="C69" s="13"/>
      <x:c r="D69" s="13"/>
      <x:c r="E69" s="13"/>
      <x:c r="F69" s="13"/>
      <x:c r="G69" s="13"/>
      <x:c r="H69" s="34">
        <x:v>0</x:v>
      </x:c>
      <x:c r="I69" s="2"/>
    </x:row>
    <x:row r="70">
      <x:c r="B70" s="3" t="s">
        <x:v>568</x:v>
      </x:c>
      <x:c r="C70" s="13"/>
      <x:c r="D70" s="13"/>
      <x:c r="E70" s="13"/>
      <x:c r="F70" s="13"/>
      <x:c r="G70" s="13"/>
      <x:c r="H70" s="34">
        <x:v>0</x:v>
      </x:c>
      <x:c r="I70" s="2"/>
    </x:row>
    <x:row r="71">
      <x:c r="B71" s="3" t="s">
        <x:v>569</x:v>
      </x:c>
      <x:c r="C71" s="13"/>
      <x:c r="D71" s="13"/>
      <x:c r="E71" s="13"/>
      <x:c r="F71" s="13"/>
      <x:c r="G71" s="13"/>
      <x:c r="H71" s="34">
        <x:v>0</x:v>
      </x:c>
      <x:c r="I71" s="2"/>
    </x:row>
    <x:row r="72">
      <x:c r="B72" s="3" t="s">
        <x:v>570</x:v>
      </x:c>
      <x:c r="C72" s="13"/>
      <x:c r="D72" s="13"/>
      <x:c r="E72" s="13"/>
      <x:c r="F72" s="13"/>
      <x:c r="G72" s="13"/>
      <x:c r="H72" s="24" t="n">
        <x:f>'Cash Flow Statement'!H12</x:f>
        <x:v>-84</x:v>
      </x:c>
      <x:c r="I72" s="2"/>
    </x:row>
    <x:row r="73">
      <x:c r="B73" s="3" t="s">
        <x:v>571</x:v>
      </x:c>
      <x:c r="C73" s="13"/>
      <x:c r="D73" s="13"/>
      <x:c r="E73" s="13"/>
      <x:c r="F73" s="13"/>
      <x:c r="G73" s="13"/>
      <x:c r="H73" s="34">
        <x:v>-100</x:v>
      </x:c>
      <x:c r="I73" s="2"/>
    </x:row>
    <x:row r="74">
      <x:c r="B74" s="3" t="s">
        <x:v>572</x:v>
      </x:c>
      <x:c r="C74" s="13"/>
      <x:c r="D74" s="13"/>
      <x:c r="E74" s="13"/>
      <x:c r="F74" s="13"/>
      <x:c r="G74" s="13"/>
      <x:c r="H74" s="34">
        <x:v>-20</x:v>
      </x:c>
      <x:c r="I74" s="2"/>
    </x:row>
    <x:row r="75">
      <x:c r="B75" s="3" t="s">
        <x:v>573</x:v>
      </x:c>
      <x:c r="C75" s="13"/>
      <x:c r="D75" s="13"/>
      <x:c r="E75" s="13"/>
      <x:c r="F75" s="13"/>
      <x:c r="G75" s="13"/>
      <x:c r="H75" s="34">
        <x:v>2</x:v>
      </x:c>
      <x:c r="I75" s="2"/>
    </x:row>
    <x:row r="76">
      <x:c r="B76" s="22" t="s">
        <x:v>574</x:v>
      </x:c>
      <x:c r="C76" s="32"/>
      <x:c r="D76" s="32"/>
      <x:c r="E76" s="32"/>
      <x:c r="F76" s="32"/>
      <x:c r="G76" s="32"/>
      <x:c r="H76" s="42">
        <x:v>0.25</x:v>
      </x:c>
      <x:c r="I76" s="2"/>
    </x:row>
    <x:row r="77">
      <x:c r="B77" s="22" t="s">
        <x:v>575</x:v>
      </x:c>
      <x:c r="C77" s="32"/>
      <x:c r="D77" s="32"/>
      <x:c r="E77" s="32"/>
      <x:c r="F77" s="32"/>
      <x:c r="G77" s="32"/>
      <x:c r="H77" s="42">
        <x:v>0</x:v>
      </x:c>
      <x:c r="I77" s="2"/>
    </x:row>
    <x:row r="78">
      <x:c r="B78" s="22" t="s">
        <x:v>576</x:v>
      </x:c>
      <x:c r="C78" s="32"/>
      <x:c r="D78" s="32"/>
      <x:c r="E78" s="32"/>
      <x:c r="F78" s="32"/>
      <x:c r="G78" s="32"/>
      <x:c r="H78" s="42">
        <x:v>0</x:v>
      </x:c>
      <x:c r="I78" s="2"/>
    </x:row>
    <x:row r="79">
      <x:c r="B79" s="22" t="s">
        <x:v>577</x:v>
      </x:c>
      <x:c r="C79" s="32"/>
      <x:c r="D79" s="32"/>
      <x:c r="E79" s="32"/>
      <x:c r="F79" s="32"/>
      <x:c r="G79" s="32"/>
      <x:c r="H79" s="42">
        <x:v>-0.013</x:v>
      </x:c>
      <x:c r="I79" s="2"/>
    </x:row>
    <x:row r="80" ht="26.25">
      <x:c r="B80" s="3" t="s">
        <x:v>578</x:v>
      </x:c>
      <x:c r="C80" s="28">
        <x:v>3.624</x:v>
      </x:c>
      <x:c r="D80" s="28">
        <x:v>-4.468</x:v>
      </x:c>
      <x:c r="E80" s="28">
        <x:v>-6.532</x:v>
      </x:c>
      <x:c r="F80" s="28">
        <x:v>-7.067</x:v>
      </x:c>
      <x:c r="G80" s="28">
        <x:v>2.101</x:v>
      </x:c>
      <x:c r="H80" s="14"/>
      <x:c r="I80" s="2"/>
    </x:row>
    <x:row r="81">
      <x:c r="B81" s="3" t="s">
        <x:v>579</x:v>
      </x:c>
      <x:c r="C81" s="28">
        <x:v>0</x:v>
      </x:c>
      <x:c r="D81" s="28">
        <x:v>0</x:v>
      </x:c>
      <x:c r="E81" s="28">
        <x:v>141.258</x:v>
      </x:c>
      <x:c r="F81" s="28">
        <x:v>141.258</x:v>
      </x:c>
      <x:c r="G81" s="28">
        <x:v>0</x:v>
      </x:c>
      <x:c r="H81" s="14"/>
      <x:c r="I81" s="2"/>
    </x:row>
    <x:row r="82">
      <x:c r="B82" s="3" t="s">
        <x:v>580</x:v>
      </x:c>
      <x:c r="C82" s="28">
        <x:v>127.097</x:v>
      </x:c>
      <x:c r="D82" s="28">
        <x:v>83.887</x:v>
      </x:c>
      <x:c r="E82" s="28">
        <x:v>-110.681</x:v>
      </x:c>
      <x:c r="F82" s="28">
        <x:v>383.433</x:v>
      </x:c>
      <x:c r="G82" s="28">
        <x:v>258.557</x:v>
      </x:c>
      <x:c r="H82" s="14"/>
      <x:c r="I82" s="2"/>
    </x:row>
    <x:row r="83">
      <x:c r="B83" s="3"/>
      <x:c r="C83" s="28">
        <x:v>0</x:v>
      </x:c>
      <x:c r="D83" s="28">
        <x:v>0</x:v>
      </x:c>
      <x:c r="E83" s="28">
        <x:v>0.99</x:v>
      </x:c>
      <x:c r="F83" s="28">
        <x:v>0.96</x:v>
      </x:c>
      <x:c r="G83" s="28">
        <x:v>0</x:v>
      </x:c>
      <x:c r="H83" s="14"/>
      <x:c r="I83" s="2"/>
    </x:row>
    <x:row r="84">
      <x:c r="B84" s="3"/>
      <x:c r="C84" s="28">
        <x:v>0</x:v>
      </x:c>
      <x:c r="D84" s="28">
        <x:v>0.08</x:v>
      </x:c>
      <x:c r="E84" s="28">
        <x:v>0.26</x:v>
      </x:c>
      <x:c r="F84" s="28">
        <x:v>0.35</x:v>
      </x:c>
      <x:c r="G84" s="28">
        <x:v>0</x:v>
      </x:c>
      <x:c r="H84" s="14"/>
      <x:c r="I84" s="2"/>
    </x:row>
    <x:row r="85">
      <x:c r="B85" s="3"/>
      <x:c r="C85" s="28">
        <x:v>0</x:v>
      </x:c>
      <x:c r="D85" s="28">
        <x:v>0</x:v>
      </x:c>
      <x:c r="E85" s="28">
        <x:v>-0.06</x:v>
      </x:c>
      <x:c r="F85" s="28">
        <x:v>-0.08</x:v>
      </x:c>
      <x:c r="G85" s="28">
        <x:v>0</x:v>
      </x:c>
      <x:c r="H85" s="14"/>
      <x:c r="I85" s="2"/>
    </x:row>
    <x:row r="86">
      <x:c r="B86" s="3" t="s">
        <x:v>581</x:v>
      </x:c>
      <x:c r="C86" s="28">
        <x:v>913.35</x:v>
      </x:c>
      <x:c r="D86" s="28">
        <x:v>887.496</x:v>
      </x:c>
      <x:c r="E86" s="28">
        <x:v>1117.976</x:v>
      </x:c>
      <x:c r="F86" s="28">
        <x:v>1117.976</x:v>
      </x:c>
      <x:c r="G86" s="28">
        <x:v>1056.719</x:v>
      </x:c>
      <x:c r="H86" s="14"/>
      <x:c r="I86" s="2"/>
    </x:row>
    <x:row r="87">
      <x:c r="B87" s="3" t="s">
        <x:v>582</x:v>
      </x:c>
      <x:c r="C87" s="28">
        <x:v>477.994</x:v>
      </x:c>
      <x:c r="D87" s="28">
        <x:v>418.021</x:v>
      </x:c>
      <x:c r="E87" s="28">
        <x:v>475.495</x:v>
      </x:c>
      <x:c r="F87" s="28">
        <x:v>475.495</x:v>
      </x:c>
      <x:c r="G87" s="28">
        <x:v>417.841</x:v>
      </x:c>
      <x:c r="H87" s="14"/>
      <x:c r="I87" s="2"/>
    </x:row>
    <x:row r="88">
      <x:c r="B88" s="3" t="s">
        <x:v>583</x:v>
      </x:c>
      <x:c r="C88" s="28">
        <x:v>4.871</x:v>
      </x:c>
      <x:c r="D88" s="28">
        <x:v>4.079</x:v>
      </x:c>
      <x:c r="E88" s="28">
        <x:v>2.019</x:v>
      </x:c>
      <x:c r="F88" s="28">
        <x:v>2.019</x:v>
      </x:c>
      <x:c r="G88" s="28">
        <x:v>54.191</x:v>
      </x:c>
      <x:c r="H88" s="14"/>
      <x:c r="I88" s="2"/>
    </x:row>
    <x:row r="89">
      <x:c r="B89" s="3" t="s">
        <x:v>584</x:v>
      </x:c>
      <x:c r="C89" s="28">
        <x:v>57.948</x:v>
      </x:c>
      <x:c r="D89" s="28">
        <x:v>57.173</x:v>
      </x:c>
      <x:c r="E89" s="28">
        <x:v>57.341</x:v>
      </x:c>
      <x:c r="F89" s="28">
        <x:v>57.341</x:v>
      </x:c>
      <x:c r="G89" s="28">
        <x:v>56.988</x:v>
      </x:c>
      <x:c r="H89" s="14"/>
      <x:c r="I89" s="2"/>
    </x:row>
    <x:row r="90">
      <x:c r="B90" s="3" t="s">
        <x:v>585</x:v>
      </x:c>
      <x:c r="C90" s="28">
        <x:v>216.855</x:v>
      </x:c>
      <x:c r="D90" s="28">
        <x:v>216.901</x:v>
      </x:c>
      <x:c r="E90" s="28">
        <x:v>217.323</x:v>
      </x:c>
      <x:c r="F90" s="28">
        <x:v>217.323</x:v>
      </x:c>
      <x:c r="G90" s="28">
        <x:v>17.234</x:v>
      </x:c>
      <x:c r="H90" s="14"/>
      <x:c r="I90" s="2"/>
    </x:row>
    <x:row r="91">
      <x:c r="B91" s="3" t="s">
        <x:v>586</x:v>
      </x:c>
      <x:c r="C91" s="28">
        <x:v>581.018</x:v>
      </x:c>
      <x:c r="D91" s="28">
        <x:v>522.571</x:v>
      </x:c>
      <x:c r="E91" s="28">
        <x:v>544.651</x:v>
      </x:c>
      <x:c r="F91" s="28">
        <x:v>544.651</x:v>
      </x:c>
      <x:c r="G91" s="28">
        <x:v>554.081</x:v>
      </x:c>
      <x:c r="H91" s="14"/>
      <x:c r="I91" s="2"/>
    </x:row>
    <x:row r="92">
      <x:c r="B92" s="3" t="s">
        <x:v>587</x:v>
      </x:c>
      <x:c r="C92" s="28">
        <x:v>1369.764</x:v>
      </x:c>
      <x:c r="D92" s="28">
        <x:v>1169.768</x:v>
      </x:c>
      <x:c r="E92" s="28">
        <x:v>2006.217</x:v>
      </x:c>
      <x:c r="F92" s="28">
        <x:v>2006.217</x:v>
      </x:c>
      <x:c r="G92" s="28">
        <x:v>2061.271</x:v>
      </x:c>
      <x:c r="H92" s="14"/>
      <x:c r="I92" s="2"/>
    </x:row>
    <x:row r="93">
      <x:c r="B93" s="3" t="s">
        <x:v>588</x:v>
      </x:c>
      <x:c r="C93" s="28">
        <x:v>16447.623</x:v>
      </x:c>
      <x:c r="D93" s="28">
        <x:v>15417.006</x:v>
      </x:c>
      <x:c r="E93" s="28">
        <x:v>15254.33</x:v>
      </x:c>
      <x:c r="F93" s="28">
        <x:v>15254.33</x:v>
      </x:c>
      <x:c r="G93" s="28">
        <x:v>15499.705</x:v>
      </x:c>
      <x:c r="H93" s="14"/>
      <x:c r="I93" s="2"/>
    </x:row>
    <x:row r="94">
      <x:c r="B94" s="3" t="s">
        <x:v>589</x:v>
      </x:c>
      <x:c r="C94" s="28">
        <x:v>463.844</x:v>
      </x:c>
      <x:c r="D94" s="28">
        <x:v>462.391</x:v>
      </x:c>
      <x:c r="E94" s="28">
        <x:v>464.696</x:v>
      </x:c>
      <x:c r="F94" s="28">
        <x:v>464.696</x:v>
      </x:c>
      <x:c r="G94" s="28">
        <x:v>453.352</x:v>
      </x:c>
      <x:c r="H94" s="14"/>
      <x:c r="I94" s="2"/>
    </x:row>
    <x:row r="95">
      <x:c r="B95" s="3" t="s">
        <x:v>590</x:v>
      </x:c>
      <x:c r="C95" s="28">
        <x:v>345.855</x:v>
      </x:c>
      <x:c r="D95" s="28">
        <x:v>342.415</x:v>
      </x:c>
      <x:c r="E95" s="28">
        <x:v>338.999</x:v>
      </x:c>
      <x:c r="F95" s="28">
        <x:v>338.999</x:v>
      </x:c>
      <x:c r="G95" s="28">
        <x:v>336.931</x:v>
      </x:c>
      <x:c r="H95" s="14"/>
      <x:c r="I95" s="2"/>
    </x:row>
    <x:row r="96">
      <x:c r="B96" s="3" t="s">
        <x:v>591</x:v>
      </x:c>
      <x:c r="C96" s="28">
        <x:v>73.837</x:v>
      </x:c>
      <x:c r="D96" s="28">
        <x:v>71.531</x:v>
      </x:c>
      <x:c r="E96" s="28">
        <x:v>70.9</x:v>
      </x:c>
      <x:c r="F96" s="28">
        <x:v>70.9</x:v>
      </x:c>
      <x:c r="G96" s="28">
        <x:v>70.955</x:v>
      </x:c>
      <x:c r="H96" s="14"/>
      <x:c r="I96" s="2"/>
    </x:row>
    <x:row r="97">
      <x:c r="B97" s="3" t="s">
        <x:v>592</x:v>
      </x:c>
      <x:c r="C97" s="28">
        <x:v>1873.377</x:v>
      </x:c>
      <x:c r="D97" s="28">
        <x:v>1824.142</x:v>
      </x:c>
      <x:c r="E97" s="28">
        <x:v>1810.223</x:v>
      </x:c>
      <x:c r="F97" s="28">
        <x:v>1810.223</x:v>
      </x:c>
      <x:c r="G97" s="28">
        <x:v>1834.058</x:v>
      </x:c>
      <x:c r="H97" s="14"/>
      <x:c r="I97" s="2"/>
    </x:row>
    <x:row r="98">
      <x:c r="B98" s="3" t="s">
        <x:v>593</x:v>
      </x:c>
      <x:c r="C98" s="28">
        <x:v>-21.306</x:v>
      </x:c>
      <x:c r="D98" s="28">
        <x:v>-27.28</x:v>
      </x:c>
      <x:c r="E98" s="28">
        <x:v>-34.126</x:v>
      </x:c>
      <x:c r="F98" s="28">
        <x:v>-34.126</x:v>
      </x:c>
      <x:c r="G98" s="28">
        <x:v>-13.914</x:v>
      </x:c>
      <x:c r="H98" s="14"/>
      <x:c r="I98" s="2"/>
    </x:row>
    <x:row r="99">
      <x:c r="B99" s="3" t="s">
        <x:v>594</x:v>
      </x:c>
      <x:c r="C99" s="28">
        <x:v>4274.614</x:v>
      </x:c>
      <x:c r="D99" s="28">
        <x:v>4196.141</x:v>
      </x:c>
      <x:c r="E99" s="28">
        <x:v>4041.859</x:v>
      </x:c>
      <x:c r="F99" s="28">
        <x:v>4041.859</x:v>
      </x:c>
      <x:c r="G99" s="28">
        <x:v>4227.486</x:v>
      </x:c>
      <x:c r="H99" s="14"/>
      <x:c r="I99" s="2"/>
    </x:row>
    <x:row r="100" ht="26.25">
      <x:c r="B100" s="3" t="s">
        <x:v>595</x:v>
      </x:c>
      <x:c r="C100" s="13"/>
      <x:c r="D100" s="13"/>
      <x:c r="E100" s="13"/>
      <x:c r="F100" s="13"/>
      <x:c r="G100" s="28">
        <x:v>1100</x:v>
      </x:c>
      <x:c r="H100" s="14"/>
      <x:c r="I100" s="2"/>
    </x:row>
    <x:row r="101" ht="26.25">
      <x:c r="B101" s="3" t="s">
        <x:v>596</x:v>
      </x:c>
      <x:c r="C101" s="2"/>
      <x:c r="D101" s="2"/>
      <x:c r="E101" s="2"/>
      <x:c r="F101" s="2"/>
      <x:c r="G101" s="2"/>
      <x:c r="H101" s="24" t="n">
        <x:f>'Segment - Auto Finance'!H37-'Segment - Auto Finance'!G37</x:f>
        <x:v>-6</x:v>
      </x:c>
      <x:c r="I101" s="2"/>
    </x:row>
    <x:row r="102">
      <x:c r="B102" s="3" t="s">
        <x:v>597</x:v>
      </x:c>
      <x:c r="C102" s="2"/>
      <x:c r="D102" s="2"/>
      <x:c r="E102" s="2"/>
      <x:c r="F102" s="2"/>
      <x:c r="G102" s="2"/>
      <x:c r="H102" s="14"/>
      <x:c r="I102" s="2"/>
    </x:row>
    <x:row r="103" ht="26.25">
      <x:c r="B103" s="3" t="s">
        <x:v>598</x:v>
      </x:c>
      <x:c r="C103" s="43">
        <x:v>80</x:v>
      </x:c>
      <x:c r="D103" s="43">
        <x:v>81</x:v>
      </x:c>
      <x:c r="E103" s="43">
        <x:v>83</x:v>
      </x:c>
      <x:c r="F103" s="2"/>
      <x:c r="G103" s="43">
        <x:v>84</x:v>
      </x:c>
      <x:c r="H103" s="14"/>
      <x:c r="I103" s="2"/>
    </x:row>
    <x:row r="104">
      <x:c r="B104" s="3" t="s">
        <x:v>599</x:v>
      </x:c>
      <x:c r="C104" s="43">
        <x:v>68</x:v>
      </x:c>
      <x:c r="D104" s="43">
        <x:v>69</x:v>
      </x:c>
      <x:c r="E104" s="43">
        <x:v>70</x:v>
      </x:c>
      <x:c r="F104" s="2"/>
      <x:c r="G104" s="43">
        <x:v>70</x:v>
      </x:c>
      <x:c r="H104" s="14"/>
      <x:c r="I104" s="2"/>
    </x:row>
    <x:row r="105">
      <x:c r="B105" s="3" t="s">
        <x:v>600</x:v>
      </x:c>
      <x:c r="C105" s="43">
        <x:v>12</x:v>
      </x:c>
      <x:c r="D105" s="43">
        <x:v>12</x:v>
      </x:c>
      <x:c r="E105" s="43">
        <x:v>13</x:v>
      </x:c>
      <x:c r="F105" s="2"/>
      <x:c r="G105" s="43">
        <x:v>14</x:v>
      </x:c>
      <x:c r="H105" s="14"/>
      <x:c r="I105" s="2"/>
    </x:row>
    <x:row r="106" ht="26.25">
      <x:c r="B106" s="3" t="s">
        <x:v>601</x:v>
      </x:c>
      <x:c r="C106" s="43">
        <x:v>262</x:v>
      </x:c>
      <x:c r="D106" s="43">
        <x:v>208</x:v>
      </x:c>
      <x:c r="E106" s="43">
        <x:v>229</x:v>
      </x:c>
      <x:c r="F106" s="2"/>
      <x:c r="G106" s="43">
        <x:v>281</x:v>
      </x:c>
      <x:c r="H106" s="14"/>
      <x:c r="I106" s="2"/>
    </x:row>
    <x:row r="107" ht="26.25">
      <x:c r="B107" s="3" t="s">
        <x:v>602</x:v>
      </x:c>
      <x:c r="C107" s="43">
        <x:v>31</x:v>
      </x:c>
      <x:c r="D107" s="43">
        <x:v>30</x:v>
      </x:c>
      <x:c r="E107" s="43">
        <x:v>41</x:v>
      </x:c>
      <x:c r="F107" s="2"/>
      <x:c r="G107" s="43">
        <x:v>41</x:v>
      </x:c>
      <x:c r="H107" s="14"/>
      <x:c r="I107" s="2"/>
    </x:row>
    <x:row r="108">
      <x:c r="B108" s="3" t="s">
        <x:v>603</x:v>
      </x:c>
      <x:c r="C108" s="2"/>
      <x:c r="D108" s="2"/>
      <x:c r="E108" s="2"/>
      <x:c r="F108" s="2"/>
      <x:c r="G108" s="2"/>
      <x:c r="H108" s="14"/>
      <x:c r="I108" s="2"/>
    </x:row>
    <x:row r="109" ht="26.25">
      <x:c r="B109" s="3" t="s">
        <x:v>604</x:v>
      </x:c>
      <x:c r="C109" s="2"/>
      <x:c r="D109" s="2"/>
      <x:c r="E109" s="2"/>
      <x:c r="F109" s="2"/>
      <x:c r="G109" s="2"/>
      <x:c r="H109" s="34">
        <x:v>576.4411027568922</x:v>
      </x:c>
      <x:c r="I109" s="2"/>
    </x:row>
    <x:row r="110" ht="26.25">
      <x:c r="B110" s="22" t="s">
        <x:v>605</x:v>
      </x:c>
      <x:c r="C110" s="46"/>
      <x:c r="D110" s="46"/>
      <x:c r="E110" s="46"/>
      <x:c r="F110" s="46"/>
      <x:c r="G110" s="46"/>
      <x:c r="H110" s="42">
        <x:v>0.1096607429726532</x:v>
      </x:c>
      <x:c r="I110" s="2"/>
    </x:row>
    <x:row r="111">
      <x:c r="B111" s="22" t="s">
        <x:v>606</x:v>
      </x:c>
      <x:c r="C111" s="46"/>
      <x:c r="D111" s="46"/>
      <x:c r="E111" s="46"/>
      <x:c r="F111" s="46"/>
      <x:c r="G111" s="46"/>
      <x:c r="H111" s="42">
        <x:v>-0.032</x:v>
      </x:c>
      <x:c r="I111" s="2"/>
    </x:row>
    <x:row r="112">
      <x:c r="B112" s="22" t="s">
        <x:v>607</x:v>
      </x:c>
      <x:c r="C112" s="46"/>
      <x:c r="D112" s="46"/>
      <x:c r="E112" s="46"/>
      <x:c r="F112" s="46"/>
      <x:c r="G112" s="46"/>
      <x:c r="H112" s="42">
        <x:v>0.07</x:v>
      </x:c>
      <x:c r="I112" s="2"/>
    </x:row>
    <x:row r="113">
      <x:c r="B113" s="3"/>
      <x:c r="C113" s="2"/>
      <x:c r="D113" s="2"/>
      <x:c r="E113" s="2"/>
      <x:c r="F113" s="2"/>
      <x:c r="G113" s="2"/>
      <x:c r="H113" s="4"/>
      <x:c r="I113" s="2"/>
    </x:row>
    <x:row r="114">
      <x:c r="B114" s="3"/>
      <x:c r="C114" s="2"/>
      <x:c r="D114" s="2"/>
      <x:c r="E114" s="2"/>
      <x:c r="F114" s="2"/>
      <x:c r="G114" s="2"/>
      <x:c r="H114" s="4"/>
      <x:c r="I114" s="2"/>
    </x:row>
    <x:row r="115">
      <x:c r="B115" s="3" t="s">
        <x:v>608</x:v>
      </x:c>
      <x:c r="C115" s="53" t="s">
        <x:v>609</x:v>
      </x:c>
      <x:c r="D115" s="53" t="s">
        <x:v>610</x:v>
      </x:c>
      <x:c r="E115" s="53" t="s">
        <x:v>611</x:v>
      </x:c>
      <x:c r="F115" s="53" t="s">
        <x:v>612</x:v>
      </x:c>
      <x:c r="G115" s="53" t="s">
        <x:v>613</x:v>
      </x:c>
      <x:c r="H115" s="59" t="s">
        <x:v>614</x:v>
      </x:c>
      <x:c r="I115" s="53" t="s">
        <x:v>615</x:v>
      </x:c>
    </x:row>
    <x:row r="116">
      <x:c r="B116" s="61">
        <x:v>45716</x:v>
      </x:c>
      <x:c r="C116" s="43">
        <x:v>0.66</x:v>
      </x:c>
      <x:c r="D116" s="43">
        <x:v>0.58</x:v>
      </x:c>
      <x:c r="E116" s="43">
        <x:v>0.66</x:v>
      </x:c>
      <x:c r="F116" s="43">
        <x:v>0.58</x:v>
      </x:c>
      <x:c r="G116" s="43">
        <x:v>5980.45</x:v>
      </x:c>
      <x:c r="H116" s="45">
        <x:v>6003.12</x:v>
      </x:c>
      <x:c r="I116" s="26">
        <x:v>45757</x:v>
      </x:c>
    </x:row>
    <x:row r="117">
      <x:c r="B117" s="61">
        <x:v>45808</x:v>
      </x:c>
      <x:c r="C117" s="43">
        <x:v>1.17</x:v>
      </x:c>
      <x:c r="D117" s="43">
        <x:v>1.38</x:v>
      </x:c>
      <x:c r="E117" s="43">
        <x:v>1.17</x:v>
      </x:c>
      <x:c r="F117" s="43">
        <x:v>1.38</x:v>
      </x:c>
      <x:c r="G117" s="43">
        <x:v>7531.15</x:v>
      </x:c>
      <x:c r="H117" s="45">
        <x:v>7546.54</x:v>
      </x:c>
      <x:c r="I117" s="26">
        <x:v>45828</x:v>
      </x:c>
    </x:row>
    <x:row r="118">
      <x:c r="B118" s="61">
        <x:v>45900</x:v>
      </x:c>
      <x:c r="C118" s="43">
        <x:v>1.05</x:v>
      </x:c>
      <x:c r="D118" s="43">
        <x:v>0.64</x:v>
      </x:c>
      <x:c r="E118" s="43">
        <x:v>1.04</x:v>
      </x:c>
      <x:c r="F118" s="43">
        <x:v>0.64</x:v>
      </x:c>
      <x:c r="G118" s="43">
        <x:v>7020.5</x:v>
      </x:c>
      <x:c r="H118" s="45">
        <x:v>6594.68</x:v>
      </x:c>
      <x:c r="I118" s="26">
        <x:v>45925</x:v>
      </x:c>
    </x:row>
    <x:row r="119">
      <x:c r="B119" s="61">
        <x:v>45991</x:v>
      </x:c>
      <x:c r="C119" s="43">
        <x:v>0.31</x:v>
      </x:c>
      <x:c r="D119" s="43">
        <x:v>0.51</x:v>
      </x:c>
      <x:c r="E119" s="43">
        <x:v>0.32</x:v>
      </x:c>
      <x:c r="F119" s="43">
        <x:v>0.43</x:v>
      </x:c>
      <x:c r="G119" s="43">
        <x:v>5632.49</x:v>
      </x:c>
      <x:c r="H119" s="45">
        <x:v>5793.95</x:v>
      </x:c>
      <x:c r="I119" s="26">
        <x:v>46009</x:v>
      </x:c>
    </x:row>
    <x:row r="120">
      <x:c r="B120" s="61">
        <x:v>46081</x:v>
      </x:c>
      <x:c r="C120" s="43">
        <x:v>0.21</x:v>
      </x:c>
      <x:c r="D120" s="43">
        <x:v>0.34</x:v>
      </x:c>
      <x:c r="E120" s="43">
        <x:v>0.22</x:v>
      </x:c>
      <x:c r="F120" s="43">
        <x:v>-0.85</x:v>
      </x:c>
      <x:c r="G120" s="43">
        <x:v>5726.32</x:v>
      </x:c>
      <x:c r="H120" s="45">
        <x:v>5945.96</x:v>
      </x:c>
      <x:c r="I120" s="26">
        <x:v>46126</x:v>
      </x:c>
    </x:row>
    <x:row r="121">
      <x:c r="B121" s="61">
        <x:v>46173</x:v>
      </x:c>
      <x:c r="C121" s="43">
        <x:v>0.98</x:v>
      </x:c>
      <x:c r="D121" s="43">
        <x:v>1.31</x:v>
      </x:c>
      <x:c r="E121" s="43">
        <x:v>0.94</x:v>
      </x:c>
      <x:c r="F121" s="43">
        <x:v>1.31</x:v>
      </x:c>
      <x:c r="G121" s="43">
        <x:v>7434.55</x:v>
      </x:c>
      <x:c r="H121" s="45">
        <x:v>8013.52</x:v>
      </x:c>
      <x:c r="I121" s="26">
        <x:v>46190</x:v>
      </x:c>
    </x:row>
    <x:row r="122">
      <x:c r="B122" s="3"/>
      <x:c r="C122" s="2"/>
      <x:c r="D122" s="2"/>
      <x:c r="E122" s="2"/>
      <x:c r="F122" s="2"/>
      <x:c r="G122" s="2"/>
      <x:c r="H122" s="4"/>
      <x:c r="I122" s="2"/>
    </x:row>
    <x:row r="123" ht="26.25">
      <x:c r="B123" s="3" t="s">
        <x:v>616</x:v>
      </x:c>
      <x:c r="C123" s="2"/>
      <x:c r="D123" s="2"/>
      <x:c r="E123" s="2"/>
      <x:c r="F123" s="2" t="s">
        <x:v>617</x:v>
      </x:c>
      <x:c r="G123" s="2" t="n">
        <x:f>C138</x:f>
        <x:v>10</x:v>
      </x:c>
      <x:c r="H123" s="4"/>
      <x:c r="I123" s="2"/>
    </x:row>
    <x:row r="124">
      <x:c r="B124" s="3" t="s">
        <x:v>618</x:v>
      </x:c>
      <x:c r="C124" s="2" t="s">
        <x:v>619</x:v>
      </x:c>
      <x:c r="D124" s="2"/>
      <x:c r="E124" s="2"/>
      <x:c r="F124" s="2"/>
      <x:c r="G124" s="2"/>
      <x:c r="H124" s="4"/>
      <x:c r="I124" s="2"/>
    </x:row>
    <x:row r="125">
      <x:c r="B125" s="3" t="s">
        <x:v>620</x:v>
      </x:c>
      <x:c r="C125" s="2" t="s">
        <x:v>0</x:v>
      </x:c>
      <x:c r="D125" s="2"/>
      <x:c r="E125" s="2"/>
      <x:c r="F125" s="2"/>
      <x:c r="G125" s="2"/>
      <x:c r="H125" s="4"/>
      <x:c r="I125" s="2"/>
    </x:row>
    <x:row r="126">
      <x:c r="B126" s="3" t="s">
        <x:v>621</x:v>
      </x:c>
      <x:c r="C126" s="2" t="s">
        <x:v>622</x:v>
      </x:c>
      <x:c r="D126" s="2"/>
      <x:c r="E126" s="2"/>
      <x:c r="F126" s="2"/>
      <x:c r="G126" s="2"/>
      <x:c r="H126" s="4"/>
      <x:c r="I126" s="2"/>
    </x:row>
    <x:row r="127">
      <x:c r="B127" s="3" t="s">
        <x:v>623</x:v>
      </x:c>
      <x:c r="C127" s="43">
        <x:v>356805</x:v>
      </x:c>
      <x:c r="D127" s="2"/>
      <x:c r="E127" s="2"/>
      <x:c r="F127" s="2"/>
      <x:c r="G127" s="2"/>
      <x:c r="H127" s="4"/>
      <x:c r="I127" s="2"/>
    </x:row>
    <x:row r="128">
      <x:c r="B128" s="3" t="s">
        <x:v>624</x:v>
      </x:c>
      <x:c r="C128" s="43">
        <x:v>19</x:v>
      </x:c>
      <x:c r="D128" s="2"/>
      <x:c r="E128" s="2"/>
      <x:c r="F128" s="2"/>
      <x:c r="G128" s="2"/>
      <x:c r="H128" s="4"/>
      <x:c r="I128" s="2"/>
    </x:row>
    <x:row r="129">
      <x:c r="B129" s="3" t="s">
        <x:v>625</x:v>
      </x:c>
      <x:c r="C129" s="2" t="s">
        <x:v>626</x:v>
      </x:c>
      <x:c r="D129" s="2"/>
      <x:c r="E129" s="2"/>
      <x:c r="F129" s="2"/>
      <x:c r="G129" s="2"/>
      <x:c r="H129" s="4"/>
      <x:c r="I129" s="2"/>
    </x:row>
    <x:row r="130">
      <x:c r="B130" s="3" t="s">
        <x:v>627</x:v>
      </x:c>
      <x:c r="C130" s="2" t="s">
        <x:v>628</x:v>
      </x:c>
      <x:c r="D130" s="2"/>
      <x:c r="E130" s="2"/>
      <x:c r="F130" s="2"/>
      <x:c r="G130" s="2"/>
      <x:c r="H130" s="4"/>
      <x:c r="I130" s="2"/>
    </x:row>
    <x:row r="131">
      <x:c r="B131" s="3" t="s">
        <x:v>608</x:v>
      </x:c>
      <x:c r="C131" s="26">
        <x:v>46265</x:v>
      </x:c>
      <x:c r="D131" s="2"/>
      <x:c r="E131" s="2"/>
      <x:c r="F131" s="2"/>
      <x:c r="G131" s="2"/>
      <x:c r="H131" s="4"/>
      <x:c r="I131" s="2"/>
    </x:row>
    <x:row r="132">
      <x:c r="B132" s="3" t="s">
        <x:v>629</x:v>
      </x:c>
      <x:c r="C132" s="26">
        <x:v>46294</x:v>
      </x:c>
      <x:c r="D132" s="2"/>
      <x:c r="E132" s="2"/>
      <x:c r="F132" s="2"/>
      <x:c r="G132" s="2"/>
      <x:c r="H132" s="4"/>
      <x:c r="I132" s="2"/>
    </x:row>
    <x:row r="133">
      <x:c r="B133" s="3" t="s">
        <x:v>630</x:v>
      </x:c>
      <x:c r="C133" s="43">
        <x:v>0.72</x:v>
      </x:c>
      <x:c r="D133" s="2"/>
      <x:c r="E133" s="2"/>
      <x:c r="F133" s="2"/>
      <x:c r="G133" s="2"/>
      <x:c r="H133" s="4"/>
      <x:c r="I133" s="2"/>
    </x:row>
    <x:row r="134">
      <x:c r="B134" s="3" t="s">
        <x:v>631</x:v>
      </x:c>
      <x:c r="C134" s="43">
        <x:v>0.72</x:v>
      </x:c>
      <x:c r="D134" s="2"/>
      <x:c r="E134" s="2"/>
      <x:c r="F134" s="2"/>
      <x:c r="G134" s="2"/>
      <x:c r="H134" s="4"/>
      <x:c r="I134" s="2"/>
    </x:row>
    <x:row r="135">
      <x:c r="B135" s="3" t="s">
        <x:v>632</x:v>
      </x:c>
      <x:c r="C135" s="43">
        <x:v>0.85</x:v>
      </x:c>
      <x:c r="D135" s="2"/>
      <x:c r="E135" s="2"/>
      <x:c r="F135" s="2"/>
      <x:c r="G135" s="2"/>
      <x:c r="H135" s="4"/>
      <x:c r="I135" s="2"/>
    </x:row>
    <x:row r="136">
      <x:c r="B136" s="3" t="s">
        <x:v>633</x:v>
      </x:c>
      <x:c r="C136" s="43">
        <x:v>0.62</x:v>
      </x:c>
      <x:c r="D136" s="2"/>
      <x:c r="E136" s="2"/>
      <x:c r="F136" s="2"/>
      <x:c r="G136" s="2"/>
      <x:c r="H136" s="4"/>
      <x:c r="I136" s="2"/>
    </x:row>
    <x:row r="137">
      <x:c r="B137" s="3" t="s">
        <x:v>634</x:v>
      </x:c>
      <x:c r="C137" s="43">
        <x:v>0.06</x:v>
      </x:c>
      <x:c r="D137" s="2"/>
      <x:c r="E137" s="2"/>
      <x:c r="F137" s="2"/>
      <x:c r="G137" s="2"/>
      <x:c r="H137" s="4"/>
      <x:c r="I137" s="2"/>
    </x:row>
    <x:row r="138">
      <x:c r="B138" s="3" t="s">
        <x:v>635</x:v>
      </x:c>
      <x:c r="C138" s="43">
        <x:v>10</x:v>
      </x:c>
      <x:c r="D138" s="2"/>
      <x:c r="E138" s="2"/>
      <x:c r="F138" s="2"/>
      <x:c r="G138" s="2"/>
      <x:c r="H138" s="4"/>
      <x:c r="I138" s="2"/>
    </x:row>
    <x:row r="139">
      <x:c r="B139" s="3" t="s">
        <x:v>636</x:v>
      </x:c>
      <x:c r="C139" s="2"/>
      <x:c r="D139" s="2"/>
      <x:c r="E139" s="2"/>
      <x:c r="F139" s="2"/>
      <x:c r="G139" s="2"/>
      <x:c r="H139" s="4"/>
      <x:c r="I139" s="2"/>
    </x:row>
    <x:row r="140">
      <x:c r="B140" s="3" t="s">
        <x:v>637</x:v>
      </x:c>
      <x:c r="C140" s="2"/>
      <x:c r="D140" s="2"/>
      <x:c r="E140" s="2"/>
      <x:c r="F140" s="2"/>
      <x:c r="G140" s="2"/>
      <x:c r="H140" s="4"/>
      <x:c r="I140" s="2"/>
    </x:row>
    <x:row r="141">
      <x:c r="B141" s="3" t="s">
        <x:v>638</x:v>
      </x:c>
      <x:c r="C141" s="2"/>
      <x:c r="D141" s="2"/>
      <x:c r="E141" s="2"/>
      <x:c r="F141" s="2"/>
      <x:c r="G141" s="2"/>
      <x:c r="H141" s="2"/>
      <x:c r="I141" s="2"/>
    </x:row>
    <x:row r="142">
      <x:c r="B142" s="3" t="s">
        <x:v>639</x:v>
      </x:c>
      <x:c r="C142" s="43">
        <x:v>0.7</x:v>
      </x:c>
      <x:c r="D142" s="2"/>
      <x:c r="E142" s="2"/>
      <x:c r="F142" s="2"/>
      <x:c r="G142" s="2"/>
      <x:c r="H142" s="2"/>
      <x:c r="I142" s="2"/>
    </x:row>
    <x:row r="143">
      <x:c r="B143" s="3" t="s">
        <x:v>640</x:v>
      </x:c>
      <x:c r="C143" s="43">
        <x:v>0.71</x:v>
      </x:c>
      <x:c r="D143" s="2"/>
      <x:c r="E143" s="2"/>
      <x:c r="F143" s="2"/>
      <x:c r="G143" s="2"/>
      <x:c r="H143" s="2"/>
      <x:c r="I143" s="2"/>
    </x:row>
    <x:row r="144">
      <x:c r="B144" s="3" t="s">
        <x:v>641</x:v>
      </x:c>
      <x:c r="C144" s="43">
        <x:v>0.85</x:v>
      </x:c>
      <x:c r="D144" s="2"/>
      <x:c r="E144" s="2"/>
      <x:c r="F144" s="2"/>
      <x:c r="G144" s="2"/>
      <x:c r="H144" s="2"/>
      <x:c r="I144" s="2"/>
    </x:row>
    <x:row r="145">
      <x:c r="B145" s="3" t="s">
        <x:v>642</x:v>
      </x:c>
      <x:c r="C145" s="43">
        <x:v>0.57</x:v>
      </x:c>
      <x:c r="D145" s="2"/>
      <x:c r="E145" s="2"/>
      <x:c r="F145" s="2"/>
      <x:c r="G145" s="2"/>
      <x:c r="H145" s="2"/>
      <x:c r="I145" s="2"/>
    </x:row>
    <x:row r="146">
      <x:c r="B146" s="3" t="s">
        <x:v>643</x:v>
      </x:c>
      <x:c r="C146" s="43">
        <x:v>0.08</x:v>
      </x:c>
      <x:c r="D146" s="2"/>
      <x:c r="E146" s="2"/>
      <x:c r="F146" s="2"/>
      <x:c r="G146" s="2"/>
      <x:c r="H146" s="2"/>
      <x:c r="I146" s="2"/>
    </x:row>
    <x:row r="147">
      <x:c r="B147" s="3" t="s">
        <x:v>644</x:v>
      </x:c>
      <x:c r="C147" s="43">
        <x:v>11</x:v>
      </x:c>
      <x:c r="D147" s="2"/>
      <x:c r="E147" s="2"/>
      <x:c r="F147" s="2"/>
      <x:c r="G147" s="2"/>
      <x:c r="H147" s="2"/>
      <x:c r="I147" s="2"/>
    </x:row>
    <x:row r="148">
      <x:c r="B148" s="3" t="s">
        <x:v>645</x:v>
      </x:c>
      <x:c r="C148" s="2"/>
      <x:c r="D148" s="2"/>
      <x:c r="E148" s="2"/>
      <x:c r="F148" s="2"/>
      <x:c r="G148" s="2"/>
      <x:c r="H148" s="2"/>
      <x:c r="I148" s="2"/>
    </x:row>
    <x:row r="149">
      <x:c r="B149" s="3" t="s">
        <x:v>646</x:v>
      </x:c>
      <x:c r="C149" s="2"/>
      <x:c r="D149" s="2"/>
      <x:c r="E149" s="2"/>
      <x:c r="F149" s="2"/>
      <x:c r="G149" s="2"/>
      <x:c r="H149" s="2"/>
      <x:c r="I149" s="2"/>
    </x:row>
    <x:row r="150">
      <x:c r="B150" s="3" t="s">
        <x:v>647</x:v>
      </x:c>
      <x:c r="C150" s="43">
        <x:v>6984.29</x:v>
      </x:c>
      <x:c r="D150" s="2"/>
      <x:c r="E150" s="2"/>
      <x:c r="F150" s="2"/>
      <x:c r="G150" s="2"/>
      <x:c r="H150" s="2"/>
      <x:c r="I150" s="2"/>
    </x:row>
    <x:row r="151">
      <x:c r="B151" s="3" t="s">
        <x:v>648</x:v>
      </x:c>
      <x:c r="C151" s="43">
        <x:v>6918.3</x:v>
      </x:c>
      <x:c r="D151" s="2"/>
      <x:c r="E151" s="2"/>
      <x:c r="F151" s="2"/>
      <x:c r="G151" s="2"/>
      <x:c r="H151" s="2"/>
      <x:c r="I151" s="2"/>
    </x:row>
    <x:row r="152">
      <x:c r="B152" s="3" t="s">
        <x:v>649</x:v>
      </x:c>
      <x:c r="C152" s="43">
        <x:v>7667</x:v>
      </x:c>
      <x:c r="D152" s="2"/>
      <x:c r="E152" s="2"/>
      <x:c r="F152" s="2"/>
      <x:c r="G152" s="2"/>
      <x:c r="H152" s="2"/>
      <x:c r="I152" s="2"/>
    </x:row>
    <x:row r="153">
      <x:c r="B153" s="3" t="s">
        <x:v>650</x:v>
      </x:c>
      <x:c r="C153" s="43">
        <x:v>6674.68</x:v>
      </x:c>
      <x:c r="D153" s="2"/>
      <x:c r="E153" s="2"/>
      <x:c r="F153" s="2"/>
      <x:c r="G153" s="2"/>
      <x:c r="H153" s="2"/>
      <x:c r="I153" s="2"/>
    </x:row>
    <x:row r="154">
      <x:c r="B154" s="3" t="s">
        <x:v>651</x:v>
      </x:c>
      <x:c r="C154" s="43">
        <x:v>263.66</x:v>
      </x:c>
      <x:c r="D154" s="2"/>
      <x:c r="E154" s="2"/>
      <x:c r="F154" s="2"/>
      <x:c r="G154" s="2"/>
      <x:c r="H154" s="2"/>
      <x:c r="I154" s="2"/>
    </x:row>
    <x:row r="155">
      <x:c r="B155" s="3" t="s">
        <x:v>652</x:v>
      </x:c>
      <x:c r="C155" s="43">
        <x:v>13</x:v>
      </x:c>
      <x:c r="D155" s="2"/>
      <x:c r="E155" s="2"/>
      <x:c r="F155" s="2"/>
      <x:c r="G155" s="2"/>
      <x:c r="H155" s="2"/>
      <x:c r="I155" s="2"/>
    </x:row>
    <x:row r="156">
      <x:c r="B156" s="3" t="s">
        <x:v>653</x:v>
      </x:c>
      <x:c r="C156" s="2"/>
      <x:c r="D156" s="2"/>
      <x:c r="E156" s="2"/>
      <x:c r="F156" s="2"/>
      <x:c r="G156" s="2"/>
      <x:c r="H156" s="2"/>
      <x:c r="I156" s="2"/>
    </x:row>
    <x:row r="157">
      <x:c r="B157" s="3" t="s">
        <x:v>654</x:v>
      </x:c>
      <x:c r="C157" s="2"/>
      <x:c r="D157" s="2"/>
      <x:c r="E157" s="2"/>
      <x:c r="F157" s="2"/>
      <x:c r="G157" s="2"/>
      <x:c r="H157" s="2"/>
      <x:c r="I157" s="2"/>
    </x:row>
    <x:row r="158">
      <x:c r="B158" s="3" t="s">
        <x:v>655</x:v>
      </x:c>
      <x:c r="C158" s="43">
        <x:v>244.63</x:v>
      </x:c>
      <x:c r="D158" s="2"/>
      <x:c r="E158" s="2"/>
      <x:c r="F158" s="2"/>
      <x:c r="G158" s="2"/>
      <x:c r="H158" s="2"/>
      <x:c r="I158" s="2"/>
    </x:row>
    <x:row r="159">
      <x:c r="B159" s="3" t="s">
        <x:v>656</x:v>
      </x:c>
      <x:c r="C159" s="43">
        <x:v>167.45</x:v>
      </x:c>
      <x:c r="D159" s="2"/>
      <x:c r="E159" s="2"/>
      <x:c r="F159" s="2"/>
      <x:c r="G159" s="2"/>
      <x:c r="H159" s="2"/>
      <x:c r="I159" s="2"/>
    </x:row>
    <x:row r="160">
      <x:c r="B160" s="3" t="s">
        <x:v>657</x:v>
      </x:c>
      <x:c r="C160" s="2"/>
      <x:c r="D160" s="2"/>
      <x:c r="E160" s="2"/>
      <x:c r="F160" s="2"/>
      <x:c r="G160" s="2"/>
      <x:c r="H160" s="2"/>
      <x:c r="I160" s="2"/>
    </x:row>
    <x:row r="161">
      <x:c r="B161" s="3" t="s">
        <x:v>658</x:v>
      </x:c>
      <x:c r="C161" s="43">
        <x:v>105.31</x:v>
      </x:c>
      <x:c r="D161" s="2"/>
      <x:c r="E161" s="2"/>
      <x:c r="F161" s="2"/>
      <x:c r="G161" s="2"/>
      <x:c r="H161" s="2"/>
      <x:c r="I161" s="2"/>
    </x:row>
    <x:row r="162">
      <x:c r="B162" s="3" t="s">
        <x:v>659</x:v>
      </x:c>
      <x:c r="C162" s="43">
        <x:v>10.27</x:v>
      </x:c>
      <x:c r="D162" s="2"/>
      <x:c r="E162" s="2"/>
      <x:c r="F162" s="2"/>
      <x:c r="G162" s="2"/>
      <x:c r="H162" s="2"/>
      <x:c r="I162" s="2"/>
    </x:row>
    <x:row r="163">
      <x:c r="B163" s="3" t="s">
        <x:v>660</x:v>
      </x:c>
      <x:c r="C163" s="2"/>
      <x:c r="D163" s="2"/>
      <x:c r="E163" s="2"/>
      <x:c r="F163" s="2"/>
      <x:c r="G163" s="2"/>
      <x:c r="H163" s="2"/>
      <x:c r="I163" s="2"/>
    </x:row>
    <x:row r="164">
      <x:c r="B164" s="3" t="s">
        <x:v>661</x:v>
      </x:c>
      <x:c r="C164" s="43">
        <x:v>-102.54</x:v>
      </x:c>
      <x:c r="D164" s="2"/>
      <x:c r="E164" s="2"/>
      <x:c r="F164" s="2"/>
      <x:c r="G164" s="2"/>
      <x:c r="H164" s="2"/>
      <x:c r="I164" s="2"/>
    </x:row>
    <x:row r="165">
      <x:c r="B165" s="3" t="s">
        <x:v>662</x:v>
      </x:c>
      <x:c r="C165" s="43">
        <x:v>107</x:v>
      </x:c>
      <x:c r="D165" s="2"/>
      <x:c r="E165" s="2"/>
      <x:c r="F165" s="2"/>
      <x:c r="G165" s="2"/>
      <x:c r="H165" s="2"/>
      <x:c r="I165" s="2"/>
    </x:row>
    <x:row r="166">
      <x:c r="B166" s="3" t="s">
        <x:v>663</x:v>
      </x:c>
      <x:c r="C166" s="2"/>
      <x:c r="D166" s="2"/>
      <x:c r="E166" s="2"/>
      <x:c r="F166" s="2"/>
      <x:c r="G166" s="2"/>
      <x:c r="H166" s="2"/>
      <x:c r="I166" s="2"/>
    </x:row>
    <x:row r="167">
      <x:c r="B167" s="3" t="s">
        <x:v>664</x:v>
      </x:c>
      <x:c r="C167" s="2"/>
      <x:c r="D167" s="2"/>
      <x:c r="E167" s="2"/>
      <x:c r="F167" s="2"/>
      <x:c r="G167" s="2"/>
      <x:c r="H167" s="2"/>
      <x:c r="I167" s="2"/>
    </x:row>
    <x:row r="168">
      <x:c r="B168" s="3" t="s">
        <x:v>665</x:v>
      </x:c>
      <x:c r="C168" s="43">
        <x:v>56.54</x:v>
      </x:c>
      <x:c r="D168" s="2"/>
      <x:c r="E168" s="2"/>
      <x:c r="F168" s="2"/>
      <x:c r="G168" s="2"/>
      <x:c r="H168" s="2"/>
      <x:c r="I168" s="2"/>
    </x:row>
    <x:row r="169">
      <x:c r="B169" s="3" t="s">
        <x:v>666</x:v>
      </x:c>
      <x:c r="C169" s="43">
        <x:v>57</x:v>
      </x:c>
      <x:c r="D169" s="2"/>
      <x:c r="E169" s="2"/>
      <x:c r="F169" s="2"/>
      <x:c r="G169" s="2"/>
      <x:c r="H169" s="2"/>
      <x:c r="I169" s="2"/>
    </x:row>
    <x:row r="170">
      <x:c r="B170" s="3" t="s">
        <x:v>667</x:v>
      </x:c>
      <x:c r="C170" s="43">
        <x:v>96</x:v>
      </x:c>
      <x:c r="D170" s="2"/>
      <x:c r="E170" s="2"/>
      <x:c r="F170" s="2"/>
      <x:c r="G170" s="2"/>
      <x:c r="H170" s="2"/>
      <x:c r="I170" s="2"/>
    </x:row>
    <x:row r="171">
      <x:c r="B171" s="3" t="s">
        <x:v>668</x:v>
      </x:c>
      <x:c r="C171" s="43">
        <x:v>33</x:v>
      </x:c>
      <x:c r="D171" s="2"/>
      <x:c r="E171" s="2"/>
      <x:c r="F171" s="2"/>
      <x:c r="G171" s="2"/>
      <x:c r="H171" s="2"/>
      <x:c r="I171" s="2"/>
    </x:row>
    <x:row r="172">
      <x:c r="B172" s="3" t="s">
        <x:v>669</x:v>
      </x:c>
      <x:c r="C172" s="43">
        <x:v>15.3</x:v>
      </x:c>
      <x:c r="D172" s="2"/>
      <x:c r="E172" s="2"/>
      <x:c r="F172" s="2"/>
      <x:c r="G172" s="2"/>
      <x:c r="H172" s="2"/>
      <x:c r="I172" s="2"/>
    </x:row>
    <x:row r="173">
      <x:c r="B173" s="3" t="s">
        <x:v>670</x:v>
      </x:c>
      <x:c r="C173" s="43">
        <x:v>13</x:v>
      </x:c>
      <x:c r="D173" s="2"/>
      <x:c r="E173" s="2"/>
      <x:c r="F173" s="2"/>
      <x:c r="G173" s="2"/>
      <x:c r="H173" s="2"/>
      <x:c r="I173" s="2"/>
    </x:row>
    <x:row r="174">
      <x:c r="B174" s="3" t="s">
        <x:v>671</x:v>
      </x:c>
      <x:c r="C174" s="2" t="s">
        <x:v>672</x:v>
      </x:c>
      <x:c r="D174" s="2"/>
      <x:c r="E174" s="2"/>
      <x:c r="F174" s="2"/>
      <x:c r="G174" s="2"/>
      <x:c r="H174" s="2"/>
      <x:c r="I174" s="2"/>
    </x:row>
    <x:row r="175">
      <x:c r="B175" s="3" t="s">
        <x:v>673</x:v>
      </x:c>
      <x:c r="C175" s="43">
        <x:v>2.84</x:v>
      </x:c>
      <x:c r="D175" s="2"/>
      <x:c r="E175" s="2"/>
      <x:c r="F175" s="2"/>
      <x:c r="G175" s="2"/>
      <x:c r="H175" s="2"/>
      <x:c r="I175" s="2"/>
    </x:row>
    <x:row r="176">
      <x:c r="B176" s="3" t="s">
        <x:v>674</x:v>
      </x:c>
      <x:c r="C176" s="43">
        <x:v>56.36</x:v>
      </x:c>
      <x:c r="D176" s="2"/>
      <x:c r="E176" s="2"/>
      <x:c r="F176" s="2"/>
      <x:c r="G176" s="2"/>
      <x:c r="H176" s="2"/>
      <x:c r="I176" s="2"/>
    </x:row>
    <x:row r="177">
      <x:c r="B177" s="3" t="s">
        <x:v>675</x:v>
      </x:c>
      <x:c r="C177" s="2" t="s">
        <x:v>676</x:v>
      </x:c>
      <x:c r="D177" s="2"/>
      <x:c r="E177" s="2"/>
      <x:c r="F177" s="2"/>
      <x:c r="G177" s="2"/>
      <x:c r="H177" s="2"/>
      <x:c r="I177" s="2"/>
    </x:row>
    <x:row r="178">
      <x:c r="B178" s="3"/>
      <x:c r="C178" s="2"/>
      <x:c r="D178" s="2"/>
      <x:c r="E178" s="2"/>
      <x:c r="F178" s="2"/>
      <x:c r="G178" s="2"/>
      <x:c r="H178" s="2"/>
    </x:row>
    <x:row r="179">
      <x:c r="B179" s="3"/>
      <x:c r="C179" s="2"/>
      <x:c r="D179" s="2"/>
      <x:c r="E179" s="2"/>
      <x:c r="F179" s="2"/>
      <x:c r="G179" s="2"/>
      <x:c r="H179" s="2"/>
    </x:row>
    <x:row r="180" ht="26.25">
      <x:c r="B180" s="3" t="s">
        <x:v>677</x:v>
      </x:c>
      <x:c r="C180" s="13"/>
      <x:c r="D180" s="13"/>
      <x:c r="E180" s="13"/>
      <x:c r="F180" s="13"/>
      <x:c r="G180" s="13"/>
      <x:c r="H180" s="34">
        <x:v>-10.025062656641603</x:v>
      </x:c>
      <x:c r="I180" s="2"/>
    </x:row>
    <x:row r="181" ht="26.25">
      <x:c r="B181" s="3" t="s">
        <x:v>678</x:v>
      </x:c>
      <x:c r="C181" s="13"/>
      <x:c r="D181" s="13"/>
      <x:c r="E181" s="13"/>
      <x:c r="F181" s="13"/>
      <x:c r="G181" s="13"/>
      <x:c r="H181" s="34">
        <x:v>106.50887573964496</x:v>
      </x:c>
      <x:c r="I181" s="2"/>
    </x:row>
    <x:row r="182" ht="26.25">
      <x:c r="B182" s="3" t="s">
        <x:v>679</x:v>
      </x:c>
      <x:c r="C182" s="13"/>
      <x:c r="D182" s="13"/>
      <x:c r="E182" s="13"/>
      <x:c r="F182" s="13"/>
      <x:c r="G182" s="13"/>
      <x:c r="H182" s="34">
        <x:v>115.28822055137844</x:v>
      </x:c>
      <x:c r="I182" s="2"/>
    </x:row>
    <x:row r="183">
      <x:c r="B183" s="3"/>
      <x:c r="C183" s="13"/>
      <x:c r="D183" s="13"/>
      <x:c r="E183" s="13"/>
      <x:c r="F183" s="13"/>
      <x:c r="G183" s="13"/>
      <x:c r="H183" s="14"/>
      <x:c r="I183" s="2"/>
    </x:row>
    <x:row r="184">
      <x:c r="B184" s="3"/>
      <x:c r="C184" s="13"/>
      <x:c r="D184" s="13"/>
      <x:c r="E184" s="13"/>
      <x:c r="F184" s="13"/>
      <x:c r="G184" s="13"/>
      <x:c r="H184" s="14"/>
      <x:c r="I184" s="2"/>
    </x:row>
    <x:row r="185">
      <x:c r="B185" s="3"/>
      <x:c r="C185" s="13"/>
      <x:c r="D185" s="13"/>
      <x:c r="E185" s="13"/>
      <x:c r="F185" s="13"/>
      <x:c r="G185" s="13"/>
      <x:c r="H185" s="14"/>
      <x:c r="I185" s="2"/>
    </x:row>
    <x:row r="186">
      <x:c r="B186" s="3"/>
      <x:c r="C186" s="13"/>
      <x:c r="D186" s="13"/>
      <x:c r="E186" s="13"/>
      <x:c r="F186" s="13"/>
      <x:c r="G186" s="13"/>
      <x:c r="H186" s="14"/>
      <x:c r="I186" s="2"/>
    </x:row>
    <x:row r="187">
      <x:c r="B187" s="3"/>
      <x:c r="C187" s="13"/>
      <x:c r="D187" s="13"/>
      <x:c r="E187" s="13"/>
      <x:c r="F187" s="13"/>
      <x:c r="G187" s="13"/>
      <x:c r="H187" s="14"/>
      <x:c r="I187" s="2"/>
    </x:row>
    <x:row r="188" ht="48.75">
      <x:c r="B188" s="3" t="s">
        <x:v>680</x:v>
      </x:c>
      <x:c r="C188" s="13"/>
      <x:c r="D188" s="13"/>
      <x:c r="E188" s="13"/>
      <x:c r="F188" s="13"/>
      <x:c r="G188" s="13"/>
      <x:c r="H188" s="14"/>
      <x:c r="I188" s="2"/>
    </x:row>
    <x:row r="189">
      <x:c r="B189" s="3"/>
      <x:c r="C189" s="13"/>
      <x:c r="D189" s="13"/>
      <x:c r="E189" s="13"/>
      <x:c r="F189" s="13"/>
      <x:c r="G189" s="13"/>
      <x:c r="H189" s="14"/>
      <x:c r="I189" s="2"/>
    </x:row>
    <x:row r="190">
      <x:c r="B190" s="3" t="s">
        <x:v>543</x:v>
      </x:c>
      <x:c r="C190" s="28">
        <x:v>163.715</x:v>
      </x:c>
      <x:c r="D190" s="28">
        <x:v>252.198</x:v>
      </x:c>
      <x:c r="E190" s="28">
        <x:v>79.784</x:v>
      </x:c>
      <x:c r="F190" s="28">
        <x:v>345.962</x:v>
      </x:c>
      <x:c r="G190" s="28">
        <x:v>92.895</x:v>
      </x:c>
      <x:c r="H190" s="14"/>
      <x:c r="I190" s="2"/>
    </x:row>
    <x:row r="191">
      <x:c r="B191" s="3" t="s">
        <x:v>681</x:v>
      </x:c>
      <x:c r="C191" s="28">
        <x:v>71.255</x:v>
      </x:c>
      <x:c r="D191" s="28">
        <x:v>87.361</x:v>
      </x:c>
      <x:c r="E191" s="28">
        <x:v>46.981</x:v>
      </x:c>
      <x:c r="F191" s="28">
        <x:v>99.018</x:v>
      </x:c>
      <x:c r="G191" s="28">
        <x:v>41.946</x:v>
      </x:c>
      <x:c r="H191" s="14"/>
      <x:c r="I191" s="2"/>
    </x:row>
    <x:row r="192">
      <x:c r="B192" s="3" t="s">
        <x:v>682</x:v>
      </x:c>
      <x:c r="C192" s="28">
        <x:v>243.904</x:v>
      </x:c>
      <x:c r="D192" s="28">
        <x:v>317.335</x:v>
      </x:c>
      <x:c r="E192" s="28">
        <x:v>101.707</x:v>
      </x:c>
      <x:c r="F192" s="28">
        <x:v>391.2</x:v>
      </x:c>
      <x:c r="G192" s="28">
        <x:v>95.584</x:v>
      </x:c>
      <x:c r="H192" s="14"/>
      <x:c r="I192" s="2"/>
    </x:row>
    <x:row r="193">
      <x:c r="B193" s="3" t="s">
        <x:v>683</x:v>
      </x:c>
      <x:c r="C193" s="28">
        <x:v>41.897</x:v>
      </x:c>
      <x:c r="D193" s="28">
        <x:v>57.157</x:v>
      </x:c>
      <x:c r="E193" s="28">
        <x:v>24.803</x:v>
      </x:c>
      <x:c r="F193" s="28">
        <x:v>75.827</x:v>
      </x:c>
      <x:c r="G193" s="28">
        <x:v>26.166</x:v>
      </x:c>
      <x:c r="H193" s="14"/>
      <x:c r="I193" s="2"/>
    </x:row>
    <x:row r="194">
      <x:c r="B194" s="3" t="s">
        <x:v>684</x:v>
      </x:c>
      <x:c r="C194" s="28">
        <x:v>42.424</x:v>
      </x:c>
      <x:c r="D194" s="28">
        <x:v>76.618</x:v>
      </x:c>
      <x:c r="E194" s="28">
        <x:v>2.782</x:v>
      </x:c>
      <x:c r="F194" s="28">
        <x:v>73.8</x:v>
      </x:c>
      <x:c r="G194" s="28">
        <x:v>-0.991</x:v>
      </x:c>
      <x:c r="H194" s="14"/>
      <x:c r="I194" s="2"/>
    </x:row>
    <x:row r="195">
      <x:c r="B195" s="3" t="s">
        <x:v>685</x:v>
      </x:c>
      <x:c r="C195" s="28">
        <x:v>0</x:v>
      </x:c>
      <x:c r="D195" s="28">
        <x:v>909.016</x:v>
      </x:c>
      <x:c r="E195" s="28">
        <x:v>0</x:v>
      </x:c>
      <x:c r="F195" s="28">
        <x:v>908.927</x:v>
      </x:c>
      <x:c r="G195" s="28">
        <x:v>0</x:v>
      </x:c>
      <x:c r="H195" s="14"/>
      <x:c r="I195" s="2"/>
    </x:row>
    <x:row r="196">
      <x:c r="B196" s="3" t="s">
        <x:v>686</x:v>
      </x:c>
      <x:c r="C196" s="28">
        <x:v>0</x:v>
      </x:c>
      <x:c r="D196" s="28">
        <x:v>0</x:v>
      </x:c>
      <x:c r="E196" s="28">
        <x:v>0</x:v>
      </x:c>
      <x:c r="F196" s="28">
        <x:v>141.258</x:v>
      </x:c>
      <x:c r="G196" s="28">
        <x:v>0</x:v>
      </x:c>
      <x:c r="H196" s="14"/>
      <x:c r="I196" s="2"/>
    </x:row>
    <x:row r="197">
      <x:c r="B197" s="3" t="s">
        <x:v>687</x:v>
      </x:c>
      <x:c r="C197" s="28">
        <x:v>1.393</x:v>
      </x:c>
      <x:c r="D197" s="28">
        <x:v>-18.807</x:v>
      </x:c>
      <x:c r="E197" s="28">
        <x:v>1.31</x:v>
      </x:c>
      <x:c r="F197" s="28">
        <x:v>9.345</x:v>
      </x:c>
      <x:c r="G197" s="28">
        <x:v>-3.252</x:v>
      </x:c>
      <x:c r="H197" s="14"/>
      <x:c r="I197" s="2"/>
    </x:row>
    <x:row r="198">
      <x:c r="B198" s="3" t="s">
        <x:v>688</x:v>
      </x:c>
      <x:c r="C198" s="28">
        <x:v>15.177</x:v>
      </x:c>
      <x:c r="D198" s="28">
        <x:v>37.631</x:v>
      </x:c>
      <x:c r="E198" s="28">
        <x:v>-11.572</x:v>
      </x:c>
      <x:c r="F198" s="28">
        <x:v>-15.72</x:v>
      </x:c>
      <x:c r="G198" s="28">
        <x:v>-59.466</x:v>
      </x:c>
      <x:c r="H198" s="14"/>
      <x:c r="I198" s="2"/>
    </x:row>
    <x:row r="199">
      <x:c r="B199" s="3" t="s">
        <x:v>689</x:v>
      </x:c>
      <x:c r="C199" s="28">
        <x:v>-921.928</x:v>
      </x:c>
      <x:c r="D199" s="28">
        <x:v>0</x:v>
      </x:c>
      <x:c r="E199" s="28">
        <x:v>-637.947</x:v>
      </x:c>
      <x:c r="F199" s="28">
        <x:v>-100.491</x:v>
      </x:c>
      <x:c r="G199" s="28">
        <x:v>-518.488</x:v>
      </x:c>
      <x:c r="H199" s="14"/>
      <x:c r="I199" s="2"/>
    </x:row>
    <x:row r="200">
      <x:c r="B200" s="3" t="s">
        <x:v>690</x:v>
      </x:c>
      <x:c r="C200" s="28">
        <x:v>785.052</x:v>
      </x:c>
      <x:c r="D200" s="28">
        <x:v>806.674</x:v>
      </x:c>
      <x:c r="E200" s="28">
        <x:v>310.269</x:v>
      </x:c>
      <x:c r="F200" s="28">
        <x:v>-202.383</x:v>
      </x:c>
      <x:c r="G200" s="28">
        <x:v>74.24</x:v>
      </x:c>
      <x:c r="H200" s="14"/>
      <x:c r="I200" s="2"/>
    </x:row>
    <x:row r="201">
      <x:c r="B201" s="3" t="s">
        <x:v>691</x:v>
      </x:c>
      <x:c r="C201" s="28">
        <x:v>6.331</x:v>
      </x:c>
      <x:c r="D201" s="28">
        <x:v>-2.916</x:v>
      </x:c>
      <x:c r="E201" s="28">
        <x:v>2.692</x:v>
      </x:c>
      <x:c r="F201" s="28">
        <x:v>-7.813</x:v>
      </x:c>
      <x:c r="G201" s="28">
        <x:v>6.487</x:v>
      </x:c>
      <x:c r="H201" s="14"/>
      <x:c r="I201" s="2"/>
    </x:row>
    <x:row r="202">
      <x:c r="B202" s="3" t="s">
        <x:v>692</x:v>
      </x:c>
      <x:c r="C202" s="28">
        <x:v>612.649</x:v>
      </x:c>
      <x:c r="D202" s="28">
        <x:v>-156.314</x:v>
      </x:c>
      <x:c r="E202" s="28">
        <x:v>338.338</x:v>
      </x:c>
      <x:c r="F202" s="28">
        <x:v>-31.308</x:v>
      </x:c>
      <x:c r="G202" s="28">
        <x:v>166.755</x:v>
      </x:c>
      <x:c r="H202" s="14"/>
      <x:c r="I202" s="2"/>
    </x:row>
    <x:row r="203">
      <x:c r="B203" s="3" t="s">
        <x:v>693</x:v>
      </x:c>
      <x:c r="C203" s="28">
        <x:v>-13.889</x:v>
      </x:c>
      <x:c r="D203" s="28">
        <x:v>-19.646</x:v>
      </x:c>
      <x:c r="E203" s="28">
        <x:v>-5.712</x:v>
      </x:c>
      <x:c r="F203" s="28">
        <x:v>-31.958</x:v>
      </x:c>
      <x:c r="G203" s="28">
        <x:v>-8.146</x:v>
      </x:c>
      <x:c r="H203" s="14"/>
      <x:c r="I203" s="2"/>
    </x:row>
    <x:row r="204">
      <x:c r="B204" s="3" t="s">
        <x:v>694</x:v>
      </x:c>
      <x:c r="C204" s="28">
        <x:v>-230.47</x:v>
      </x:c>
      <x:c r="D204" s="28">
        <x:v>-321.017</x:v>
      </x:c>
      <x:c r="E204" s="28">
        <x:v>-141.867</x:v>
      </x:c>
      <x:c r="F204" s="28">
        <x:v>-43.784</x:v>
      </x:c>
      <x:c r="G204" s="28">
        <x:v>-58.274</x:v>
      </x:c>
      <x:c r="H204" s="14"/>
      <x:c r="I204" s="2"/>
    </x:row>
    <x:row r="205">
      <x:c r="B205" s="3" t="s">
        <x:v>695</x:v>
      </x:c>
      <x:c r="C205" s="28">
        <x:v>-38.232</x:v>
      </x:c>
      <x:c r="D205" s="28">
        <x:v>-55.15</x:v>
      </x:c>
      <x:c r="E205" s="28">
        <x:v>-22.406</x:v>
      </x:c>
      <x:c r="F205" s="28">
        <x:v>-75.323</x:v>
      </x:c>
      <x:c r="G205" s="28">
        <x:v>-23.494</x:v>
      </x:c>
      <x:c r="H205" s="14"/>
      <x:c r="I205" s="2"/>
    </x:row>
    <x:row r="206">
      <x:c r="B206" s="3" t="s">
        <x:v>696</x:v>
      </x:c>
      <x:c r="C206" s="28">
        <x:v>-268.204</x:v>
      </x:c>
      <x:c r="D206" s="28">
        <x:v>-407.962</x:v>
      </x:c>
      <x:c r="E206" s="28">
        <x:v>-136.736</x:v>
      </x:c>
      <x:c r="F206" s="28">
        <x:v>-540.989</x:v>
      </x:c>
      <x:c r="G206" s="28">
        <x:v>-103.335</x:v>
      </x:c>
      <x:c r="H206" s="14"/>
      <x:c r="I206" s="2"/>
    </x:row>
    <x:row r="207">
      <x:c r="B207" s="3" t="s">
        <x:v>697</x:v>
      </x:c>
      <x:c r="C207" s="28">
        <x:v>0.348</x:v>
      </x:c>
      <x:c r="D207" s="28">
        <x:v>0.385</x:v>
      </x:c>
      <x:c r="E207" s="28">
        <x:v>0.048</x:v>
      </x:c>
      <x:c r="F207" s="28">
        <x:v>0.418</x:v>
      </x:c>
      <x:c r="G207" s="28">
        <x:v>0.063</x:v>
      </x:c>
      <x:c r="H207" s="14"/>
      <x:c r="I207" s="2"/>
    </x:row>
    <x:row r="208">
      <x:c r="B208" s="3" t="s">
        <x:v>698</x:v>
      </x:c>
      <x:c r="C208" s="28">
        <x:v>-5.765</x:v>
      </x:c>
      <x:c r="D208" s="28">
        <x:v>-8.754</x:v>
      </x:c>
      <x:c r="E208" s="28">
        <x:v>-4.926</x:v>
      </x:c>
      <x:c r="F208" s="28">
        <x:v>-10.007</x:v>
      </x:c>
      <x:c r="G208" s="28">
        <x:v>-1.668</x:v>
      </x:c>
      <x:c r="H208" s="14"/>
      <x:c r="I208" s="2"/>
    </x:row>
    <x:row r="209">
      <x:c r="B209" s="3" t="s">
        <x:v>699</x:v>
      </x:c>
      <x:c r="C209" s="28">
        <x:v>1.155</x:v>
      </x:c>
      <x:c r="D209" s="28">
        <x:v>1.922</x:v>
      </x:c>
      <x:c r="E209" s="28">
        <x:v>0.425</x:v>
      </x:c>
      <x:c r="F209" s="28">
        <x:v>2.994</x:v>
      </x:c>
      <x:c r="G209" s="28">
        <x:v>0.845</x:v>
      </x:c>
      <x:c r="H209" s="14"/>
      <x:c r="I209" s="2"/>
    </x:row>
    <x:row r="210">
      <x:c r="B210" s="3" t="s">
        <x:v>700</x:v>
      </x:c>
      <x:c r="C210" s="28">
        <x:v>0</x:v>
      </x:c>
      <x:c r="D210" s="28">
        <x:v>3.132</x:v>
      </x:c>
      <x:c r="E210" s="28">
        <x:v>0</x:v>
      </x:c>
      <x:c r="F210" s="28">
        <x:v>7.539</x:v>
      </x:c>
      <x:c r="G210" s="28">
        <x:v>4.469</x:v>
      </x:c>
      <x:c r="H210" s="14"/>
      <x:c r="I210" s="2"/>
    </x:row>
    <x:row r="211">
      <x:c r="B211" s="3" t="s">
        <x:v>701</x:v>
      </x:c>
      <x:c r="C211" s="28">
        <x:v>87</x:v>
      </x:c>
      <x:c r="D211" s="28">
        <x:v>87</x:v>
      </x:c>
      <x:c r="E211" s="28">
        <x:v>87</x:v>
      </x:c>
      <x:c r="F211" s="28">
        <x:v>1538.4</x:v>
      </x:c>
      <x:c r="G211" s="28">
        <x:v>1517.8</x:v>
      </x:c>
      <x:c r="H211" s="14"/>
      <x:c r="I211" s="2"/>
    </x:row>
    <x:row r="212">
      <x:c r="B212" s="3" t="s">
        <x:v>702</x:v>
      </x:c>
      <x:c r="C212" s="28">
        <x:v>-94.955</x:v>
      </x:c>
      <x:c r="D212" s="28">
        <x:v>-299.007</x:v>
      </x:c>
      <x:c r="E212" s="28">
        <x:v>-90.93</x:v>
      </x:c>
      <x:c r="F212" s="28">
        <x:v>-913.804</x:v>
      </x:c>
      <x:c r="G212" s="28">
        <x:v>-1669.622</x:v>
      </x:c>
      <x:c r="H212" s="14"/>
      <x:c r="I212" s="2"/>
    </x:row>
    <x:row r="213">
      <x:c r="B213" s="3" t="s">
        <x:v>703</x:v>
      </x:c>
      <x:c r="C213" s="28">
        <x:v>-13.279</x:v>
      </x:c>
      <x:c r="D213" s="28">
        <x:v>-18.555</x:v>
      </x:c>
      <x:c r="E213" s="28">
        <x:v>-8.895</x:v>
      </x:c>
      <x:c r="F213" s="28">
        <x:v>-24.227</x:v>
      </x:c>
      <x:c r="G213" s="28">
        <x:v>-6.048</x:v>
      </x:c>
      <x:c r="H213" s="14"/>
      <x:c r="I213" s="2"/>
    </x:row>
    <x:row r="214">
      <x:c r="B214" s="3" t="s">
        <x:v>704</x:v>
      </x:c>
      <x:c r="C214" s="28">
        <x:v>-7.105</x:v>
      </x:c>
      <x:c r="D214" s="28">
        <x:v>-11.002</x:v>
      </x:c>
      <x:c r="E214" s="28">
        <x:v>-3.443</x:v>
      </x:c>
      <x:c r="F214" s="28">
        <x:v>-15.044</x:v>
      </x:c>
      <x:c r="G214" s="28">
        <x:v>-4.084</x:v>
      </x:c>
      <x:c r="H214" s="14"/>
      <x:c r="I214" s="2"/>
    </x:row>
    <x:row r="215">
      <x:c r="B215" s="3" t="s">
        <x:v>705</x:v>
      </x:c>
      <x:c r="C215" s="28">
        <x:v>6848.169</x:v>
      </x:c>
      <x:c r="D215" s="28">
        <x:v>9577.17</x:v>
      </x:c>
      <x:c r="E215" s="28">
        <x:v>3988.864</x:v>
      </x:c>
      <x:c r="F215" s="28">
        <x:v>13060.375</x:v>
      </x:c>
      <x:c r="G215" s="28">
        <x:v>3261.564</x:v>
      </x:c>
      <x:c r="H215" s="14"/>
      <x:c r="I215" s="2"/>
    </x:row>
    <x:row r="216">
      <x:c r="B216" s="3" t="s">
        <x:v>706</x:v>
      </x:c>
      <x:c r="C216" s="28">
        <x:v>-6911.012</x:v>
      </x:c>
      <x:c r="D216" s="28">
        <x:v>-10729.859</x:v>
      </x:c>
      <x:c r="E216" s="28">
        <x:v>-3906.323</x:v>
      </x:c>
      <x:c r="F216" s="28">
        <x:v>-14352.524</x:v>
      </x:c>
      <x:c r="G216" s="28">
        <x:v>-3006.781</x:v>
      </x:c>
      <x:c r="H216" s="14"/>
      <x:c r="I216" s="2"/>
    </x:row>
    <x:row r="217">
      <x:c r="B217" s="3" t="s">
        <x:v>707</x:v>
      </x:c>
      <x:c r="C217" s="28">
        <x:v>-384.873</x:v>
      </x:c>
      <x:c r="D217" s="28">
        <x:v>-588.44</x:v>
      </x:c>
      <x:c r="E217" s="28">
        <x:v>-204.027</x:v>
      </x:c>
      <x:c r="F217" s="28">
        <x:v>-642.786</x:v>
      </x:c>
      <x:c r="G217" s="28">
        <x:v>-2.308</x:v>
      </x:c>
      <x:c r="H217" s="14"/>
      <x:c r="I217" s="2"/>
    </x:row>
    <x:row r="218">
      <x:c r="B218" s="3" t="s">
        <x:v>708</x:v>
      </x:c>
      <x:c r="C218" s="28">
        <x:v>8.349</x:v>
      </x:c>
      <x:c r="D218" s="28">
        <x:v>8.349</x:v>
      </x:c>
      <x:c r="E218" s="28">
        <x:v>8.329</x:v>
      </x:c>
      <x:c r="F218" s="28">
        <x:v>8.348</x:v>
      </x:c>
      <x:c r="G218" s="28">
        <x:v>0</x:v>
      </x:c>
      <x:c r="H218" s="14"/>
      <x:c r="I218" s="2"/>
    </x:row>
    <x:row r="219">
      <x:c r="B219" s="3" t="s">
        <x:v>709</x:v>
      </x:c>
      <x:c r="C219" s="13"/>
      <x:c r="D219" s="13"/>
      <x:c r="E219" s="13"/>
      <x:c r="F219" s="13"/>
      <x:c r="G219" s="13"/>
      <x:c r="H219" s="34">
        <x:v>0</x:v>
      </x:c>
      <x:c r="I219" s="2"/>
    </x:row>
    <x:row r="220" ht="26.25">
      <x:c r="B220" s="3" t="s">
        <x:v>710</x:v>
      </x:c>
      <x:c r="C220" s="13"/>
      <x:c r="D220" s="13"/>
      <x:c r="E220" s="13"/>
      <x:c r="F220" s="13"/>
      <x:c r="G220" s="13"/>
      <x:c r="H220" s="34">
        <x:v>-30</x:v>
      </x:c>
      <x:c r="I220" s="2"/>
    </x:row>
    <x:row r="221" ht="26.25">
      <x:c r="B221" s="3" t="s">
        <x:v>711</x:v>
      </x:c>
      <x:c r="C221" s="13"/>
      <x:c r="D221" s="13"/>
      <x:c r="E221" s="13"/>
      <x:c r="F221" s="13"/>
      <x:c r="G221" s="13"/>
      <x:c r="H221" s="34">
        <x:v>-60</x:v>
      </x:c>
      <x:c r="I221" s="2"/>
    </x:row>
    <x:row r="222" ht="26.25">
      <x:c r="B222" s="3" t="s">
        <x:v>712</x:v>
      </x:c>
      <x:c r="C222" s="13"/>
      <x:c r="D222" s="13"/>
      <x:c r="E222" s="13"/>
      <x:c r="F222" s="13"/>
      <x:c r="G222" s="13"/>
      <x:c r="H222" s="34">
        <x:v>-80</x:v>
      </x:c>
      <x:c r="I222" s="2"/>
    </x:row>
    <x:row r="223" ht="26.25">
      <x:c r="B223" s="3" t="str">
        <x:v>Legacy loan investment cash assumption (unused; see CF H44)</x:v>
      </x:c>
      <x:c r="C223" s="13"/>
      <x:c r="D223" s="13"/>
      <x:c r="E223" s="13"/>
      <x:c r="F223" s="13"/>
      <x:c r="G223" s="13"/>
      <x:c r="H223" s="34">
        <x:v>-45</x:v>
      </x:c>
      <x:c r="I223" s="2"/>
    </x:row>
    <x:row r="224">
      <x:c r="B224" s="3" t="s">
        <x:v>713</x:v>
      </x:c>
      <x:c r="C224" s="13"/>
      <x:c r="D224" s="13"/>
      <x:c r="E224" s="13"/>
      <x:c r="F224" s="13"/>
      <x:c r="G224" s="13"/>
      <x:c r="H224" s="34">
        <x:v>20</x:v>
      </x:c>
      <x:c r="I224" s="2"/>
    </x:row>
    <x:row r="225" ht="26.25">
      <x:c r="B225" s="3" t="s">
        <x:v>714</x:v>
      </x:c>
      <x:c r="C225" s="13"/>
      <x:c r="D225" s="13"/>
      <x:c r="E225" s="13"/>
      <x:c r="F225" s="13"/>
      <x:c r="G225" s="13"/>
      <x:c r="H225" s="34">
        <x:v>-22</x:v>
      </x:c>
      <x:c r="I225" s="2"/>
    </x:row>
    <x:row r="226">
      <x:c r="B226" s="3"/>
      <x:c r="C226" s="13"/>
      <x:c r="D226" s="13"/>
      <x:c r="E226" s="13"/>
      <x:c r="F226" s="13"/>
      <x:c r="G226" s="13"/>
      <x:c r="H226" s="14"/>
      <x:c r="I226" s="2"/>
    </x:row>
    <x:row r="227">
      <x:c r="B227" s="3"/>
      <x:c r="C227" s="13"/>
      <x:c r="D227" s="13"/>
      <x:c r="E227" s="13"/>
      <x:c r="F227" s="13"/>
      <x:c r="G227" s="13"/>
      <x:c r="H227" s="14"/>
      <x:c r="I227" s="2"/>
    </x:row>
    <x:row r="228" ht="26.25">
      <x:c r="B228" s="3" t="s">
        <x:v>715</x:v>
      </x:c>
      <x:c r="C228" s="13"/>
      <x:c r="D228" s="13"/>
      <x:c r="E228" s="13"/>
      <x:c r="F228" s="13"/>
      <x:c r="G228" s="13"/>
      <x:c r="H228" s="34" t="n">
        <x:v>0</x:v>
      </x:c>
      <x:c r="I228" s="2"/>
    </x:row>
    <x:row r="229">
      <x:c r="B229" s="3" t="s">
        <x:v>716</x:v>
      </x:c>
      <x:c r="C229" s="48"/>
      <x:c r="D229" s="48"/>
      <x:c r="E229" s="48"/>
      <x:c r="F229" s="48"/>
      <x:c r="G229" s="48"/>
      <x:c r="H229" s="47">
        <x:v>2130</x:v>
      </x:c>
    </x:row>
    <x:row r="230">
      <x:c r="B230" s="3" t="s">
        <x:v>717</x:v>
      </x:c>
      <x:c r="C230" s="48"/>
      <x:c r="D230" s="48"/>
      <x:c r="E230" s="48"/>
      <x:c r="F230" s="48"/>
      <x:c r="G230" s="48"/>
      <x:c r="H230" s="47">
        <x:v>990</x:v>
      </x:c>
    </x:row>
    <x:row r="231" ht="34.5">
      <x:c r="B231" s="3" t="s">
        <x:v>718</x:v>
      </x:c>
      <x:c r="C231" s="3"/>
      <x:c r="D231" s="3"/>
      <x:c r="E231" s="3"/>
      <x:c r="F231" s="3"/>
      <x:c r="G231" s="3"/>
      <x:c r="H231" s="47">
        <x:v>2076.737617076773</x:v>
      </x:c>
    </x:row>
  </x:sheetData>
  <x:pageMargins left="0.7" right="0.7" top="0.75" bottom="0.75" header="0.3" footer="0.3"/>
</x:worksheet>
</file>