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cd0e4c89f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bec98c60663f44d9"/>
    <x:sheet xmlns:r="http://schemas.openxmlformats.org/officeDocument/2006/relationships" name="Revenue summary" sheetId="2" r:id="Rad05140f2b934619"/>
    <x:sheet xmlns:r="http://schemas.openxmlformats.org/officeDocument/2006/relationships" name="Segment - Americas" sheetId="3" r:id="R38db047339b649ea"/>
    <x:sheet xmlns:r="http://schemas.openxmlformats.org/officeDocument/2006/relationships" name="Segment - EMEA" sheetId="4" r:id="R70404f3f3f0e438b"/>
    <x:sheet xmlns:r="http://schemas.openxmlformats.org/officeDocument/2006/relationships" name="Segment - Asia Pacific" sheetId="5" r:id="Rb2f0b6c9872f4c6d"/>
    <x:sheet xmlns:r="http://schemas.openxmlformats.org/officeDocument/2006/relationships" name="Income Statement" sheetId="6" r:id="R1090517d25854881"/>
    <x:sheet xmlns:r="http://schemas.openxmlformats.org/officeDocument/2006/relationships" name="Balance Sheet" sheetId="7" r:id="R7ebb230747cf41b4"/>
    <x:sheet xmlns:r="http://schemas.openxmlformats.org/officeDocument/2006/relationships" name="Cash Flow Statement" sheetId="8" r:id="Rd9855cd3e0d14e72"/>
    <x:sheet xmlns:r="http://schemas.openxmlformats.org/officeDocument/2006/relationships" name="Geo" sheetId="9" r:id="R267e0585bf2a4347"/>
    <x:sheet xmlns:r="http://schemas.openxmlformats.org/officeDocument/2006/relationships" name="Share Count" sheetId="10" r:id="Raeb9e2cf81a9495f"/>
    <x:sheet xmlns:r="http://schemas.openxmlformats.org/officeDocument/2006/relationships" name="Guidance" sheetId="11" r:id="R0946bc4a9f2d4050"/>
    <x:sheet xmlns:r="http://schemas.openxmlformats.org/officeDocument/2006/relationships" name="Sources" sheetId="12" r:id="R6d0ecddb41ae4490"/>
    <x:sheet xmlns:r="http://schemas.openxmlformats.org/officeDocument/2006/relationships" name="Inputs" sheetId="13" r:id="R0361a0def99e4748"/>
  </x:sheets>
</x:workbook>
</file>

<file path=xl/sharedStrings.xml><?xml version="1.0" encoding="utf-8"?>
<x:sst xmlns:x="http://schemas.openxmlformats.org/spreadsheetml/2006/main">
  <x:si>
    <x:t xml:space="preserve">FactSet Research Systems Inc.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</x:si>
  <x:si>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</x:si>
  <x:si>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</x:si>
  <x:si>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</x:si>
  <x:si>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</x:si>
  <x:si>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</x:si>
  <x:si>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</x:si>
  <x:si>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</x:si>
  <x:si>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</x:si>
  <x:si>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</x:si>
  <x:si>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Period-end</x:t>
  </x:si>
  <x:si>
    <x:t xml:space="preserve">Days in period</x:t>
  </x:si>
  <x:si>
    <x:t xml:space="preserve">Notes</x:t>
  </x:si>
  <x:si>
    <x:t xml:space="preserve">Headline forecast</x:t>
  </x:si>
  <x:si>
    <x:t xml:space="preserve">Our estimate</x:t>
  </x:si>
  <x:si>
    <x:t xml:space="preserve">CapIQ Sep 24</x:t>
  </x:si>
  <x:si>
    <x:t xml:space="preserve">Variance</x:t>
  </x:si>
  <x:si>
    <x:t xml:space="preserve">FY26 guide: Q4 implied</x:t>
  </x:si>
  <x:si>
    <x:t xml:space="preserve">FY guidance predates Q4 and is full-year; implied Q4 subtracts reported nine months.</x:t>
  </x:si>
  <x:si>
    <x:t xml:space="preserve">Revenue ($m)</x:t>
  </x:si>
  <x:si>
    <x:t xml:space="preserve">Historical GAAP / adjusted EPS have distinct definitions; forecast net income is adjusted basis.</x:t>
  </x:si>
  <x:si>
    <x:t xml:space="preserve">Normalized net income ($m)</x:t>
  </x:si>
  <x:si>
    <x:t xml:space="preserve">Newer Sept 25 Zacks normalized EPS $4.32 / revenue $628.2m; not substituted for Sep 24 CapIQ.</x:t>
  </x:si>
  <x:si>
    <x:t xml:space="preserve">Normalized diluted EPS</x:t>
  </x:si>
  <x:si>
    <x:t xml:space="preserve">GAAP net income ($m)</x:t>
  </x:si>
  <x:si>
    <x:t xml:space="preserve">GAAP diluted EPS</x:t>
  </x:si>
  <x:si>
    <x:t xml:space="preserve">P(beat consensus EPS)</x:t>
  </x:si>
  <x:si>
    <x:t xml:space="preserve">Confidence</x:t>
  </x:si>
  <x:si>
    <x:t xml:space="preserve">medium</x:t>
  </x:si>
  <x:si>
    <x:t xml:space="preserve">Field</x:t>
  </x:si>
  <x:si>
    <x:t xml:space="preserve">Value</x:t>
  </x:si>
  <x:si>
    <x:t xml:space="preserve">Company</x:t>
  </x:si>
  <x:si>
    <x:t xml:space="preserve">Ticker / exchange</x:t>
  </x:si>
  <x:si>
    <x:t xml:space="preserve">FDS / NYSE</x:t>
  </x:si>
  <x:si>
    <x:t xml:space="preserve">Fiscal year end</x:t>
  </x:si>
  <x:si>
    <x:t xml:space="preserve">Fiscal year-end: Aug 31</x:t>
  </x:si>
  <x:si>
    <x:t xml:space="preserve">Reporting currency</x:t>
  </x:si>
  <x:si>
    <x:t xml:space="preserve">USD / common share</x:t>
  </x:si>
  <x:si>
    <x:t xml:space="preserve">EPS basis</x:t>
  </x:si>
  <x:si>
    <x:t xml:space="preserve">Adjusted (normalized) diluted; GAAP separately</x:t>
  </x:si>
  <x:si>
    <x:t xml:space="preserve">Information cutoff</x:t>
  </x:si>
  <x:si>
    <x:t xml:space="preserve">2026-09-29T16:49:46Z</x:t>
  </x:si>
  <x:si>
    <x:t xml:space="preserve">Expected earnings release</x:t>
  </x:si>
  <x:si>
    <x:t xml:space="preserve">Revenue summary</x:t>
  </x:si>
  <x:si>
    <x:t xml:space="preserve">Americas revenue</x:t>
  </x:si>
  <x:si>
    <x:t xml:space="preserve">  Organic revenue growth</x:t>
  </x:si>
  <x:si>
    <x:t xml:space="preserve">  M&amp;A / divestiture scope</x:t>
  </x:si>
  <x:si>
    <x:t xml:space="preserve">  FX impact</x:t>
  </x:si>
  <x:si>
    <x:t xml:space="preserve">  Y/Y revenue growth</x:t>
  </x:si>
  <x:si>
    <x:t xml:space="preserve">  Sequential revenue growth</x:t>
  </x:si>
  <x:si>
    <x:t xml:space="preserve">  Share of total revenue</x:t>
  </x:si>
  <x:si>
    <x:t xml:space="preserve">EMEA revenue</x:t>
  </x:si>
  <x:si>
    <x:t xml:space="preserve">Regional historical scope/FX C–F unavailable where not separately disclosed; published organic growth is shown where supplied.</x:t>
  </x:si>
  <x:si>
    <x:t xml:space="preserve">Asia Pacific revenue</x:t>
  </x:si>
  <x:si>
    <x:t xml:space="preserve">Total reported ASV, not organic</x:t>
  </x:si>
  <x:si>
    <x:t xml:space="preserve">  Reported ASV Y/Y growth</x:t>
  </x:si>
  <x:si>
    <x:t xml:space="preserve">  Sequential ASV additions</x:t>
  </x:si>
  <x:si>
    <x:t xml:space="preserve">Consolidated revenue</x:t>
  </x:si>
  <x:si>
    <x:t xml:space="preserve">  Total Y/Y revenue growth</x:t>
  </x:si>
  <x:si>
    <x:t xml:space="preserve">Forecast scope and FX zero are explicit scenario assumptions; not issuer-reported Q4 impacts.</x:t>
  </x:si>
  <x:si>
    <x:t xml:space="preserve">  M&amp;A / scope effect</x:t>
  </x:si>
  <x:si>
    <x:t xml:space="preserve">  Currency effect</x:t>
  </x:si>
  <x:si>
    <x:t xml:space="preserve">  Regional sum minus total</x:t>
  </x:si>
  <x:si>
    <x:t xml:space="preserve">Clients at period-end</x:t>
  </x:si>
  <x:si>
    <x:t xml:space="preserve">  Clients Y/Y growth</x:t>
  </x:si>
  <x:si>
    <x:t xml:space="preserve">  Sequential change in clients</x:t>
  </x:si>
  <x:si>
    <x:t xml:space="preserve">Investment professionals</x:t>
  </x:si>
  <x:si>
    <x:t xml:space="preserve">FY25 filing says &gt;237,000 users but exact Q4 FY25 user count not disclosed; Q4 FY26 user Y/Y unavailable.</x:t>
  </x:si>
  <x:si>
    <x:t xml:space="preserve">  Investment professionals Y/Y growth</x:t>
  </x:si>
  <x:si>
    <x:t xml:space="preserve">unavailable</x:t>
  </x:si>
  <x:si>
    <x:t xml:space="preserve">  Sequential professionals change</x:t>
  </x:si>
  <x:si>
    <x:t xml:space="preserve">  Annual ASV retention</x:t>
  </x:si>
  <x:si>
    <x:t xml:space="preserve">  Retention change (basis points)</x:t>
  </x:si>
  <x:si>
    <x:t xml:space="preserve">  Revenue per end-period client</x:t>
  </x:si>
  <x:si>
    <x:t xml:space="preserve">  Revenue per client Y/Y</x:t>
  </x:si>
  <x:si>
    <x:t xml:space="preserve">FY25 4Q client count is approximately 9,000; per-client Y/Y is an illustrative proxy.</x:t>
  </x:si>
  <x:si>
    <x:t xml:space="preserve">  Revenue per client sequential ($)</x:t>
  </x:si>
  <x:si>
    <x:t xml:space="preserve">  Client sequential change check</x:t>
  </x:si>
  <x:si>
    <x:t xml:space="preserve">CapIQ actual revenue (audit)</x:t>
  </x:si>
  <x:si>
    <x:t xml:space="preserve">  Filed less CapIQ (rounding)</x:t>
  </x:si>
  <x:si>
    <x:t xml:space="preserve">Implied reported-ASV / prior organic-ASV proxy</x:t>
  </x:si>
  <x:si>
    <x:t xml:space="preserve">Segment - Americas</x:t>
  </x:si>
  <x:si>
    <x:t xml:space="preserve">Opening subscription value (ASV)</x:t>
  </x:si>
  <x:si>
    <x:t xml:space="preserve">  Y/Y change</x:t>
  </x:si>
  <x:si>
    <x:t xml:space="preserve">  Sequential absolute change</x:t>
  </x:si>
  <x:si>
    <x:t xml:space="preserve">Gross new / expansion ASV (assumption)</x:t>
  </x:si>
  <x:si>
    <x:t xml:space="preserve">Gross adds/churn are forecast scenarios; issuer publishes net ASV only.</x:t>
  </x:si>
  <x:si>
    <x:t xml:space="preserve">Regional historical scope/FX for C–F not independently quantified: unavailable; do not assume zero.</x:t>
  </x:si>
  <x:si>
    <x:t xml:space="preserve">Terminations / downsell ASV (assumption)</x:t>
  </x:si>
  <x:si>
    <x:t xml:space="preserve">Product revenue / geographic country detail not quantified; unavailable.</x:t>
  </x:si>
  <x:si>
    <x:t xml:space="preserve">  Y/Y termination change</x:t>
  </x:si>
  <x:si>
    <x:t xml:space="preserve">Net ASV additions</x:t>
  </x:si>
  <x:si>
    <x:t xml:space="preserve">Reported ASV includes currency and acquired/disposed contracts.</x:t>
  </x:si>
  <x:si>
    <x:t xml:space="preserve">Closing reported ASV</x:t>
  </x:si>
  <x:si>
    <x:t xml:space="preserve">Revenue timing residual includes non-subscription and recognition timing.</x:t>
  </x:si>
  <x:si>
    <x:t xml:space="preserve">Average subscription value</x:t>
  </x:si>
  <x:si>
    <x:t xml:space="preserve">  Y/Y change in closing ASV</x:t>
  </x:si>
  <x:si>
    <x:t xml:space="preserve">  Sequential change in closing ASV</x:t>
  </x:si>
  <x:si>
    <x:t xml:space="preserve">Gross addition rate / opening ASV</x:t>
  </x:si>
  <x:si>
    <x:t xml:space="preserve">  Gross addition rate change (bp)</x:t>
  </x:si>
  <x:si>
    <x:t xml:space="preserve">  Churn rate / opening ASV</x:t>
  </x:si>
  <x:si>
    <x:t xml:space="preserve">  Churn-rate change (bp)</x:t>
  </x:si>
  <x:si>
    <x:t xml:space="preserve">Reported ASV growth / modeled proxy</x:t>
  </x:si>
  <x:si>
    <x:t xml:space="preserve">  Organic ASV growth change (bp)</x:t>
  </x:si>
  <x:si>
    <x:t xml:space="preserve">  Segment share of total ASV</x:t>
  </x:si>
  <x:si>
    <x:t xml:space="preserve">  ASV share change (bp)</x:t>
  </x:si>
  <x:si>
    <x:t xml:space="preserve">Revenue / quarterly average ASV</x:t>
  </x:si>
  <x:si>
    <x:t xml:space="preserve">  Revenue conversion change (bp)</x:t>
  </x:si>
  <x:si>
    <x:t xml:space="preserve">Implied subscription run-rate revenue</x:t>
  </x:si>
  <x:si>
    <x:t xml:space="preserve">  Y/Y change in run-rate revenue</x:t>
  </x:si>
  <x:si>
    <x:t xml:space="preserve">Revenue recognition / other timing</x:t>
  </x:si>
  <x:si>
    <x:t xml:space="preserve">  Y/Y change in timing residual</x:t>
  </x:si>
  <x:si>
    <x:t xml:space="preserve">Total segment revenue</x:t>
  </x:si>
  <x:si>
    <x:t xml:space="preserve">Segment operating expenses</x:t>
  </x:si>
  <x:si>
    <x:t xml:space="preserve">  Y/Y change in segment costs</x:t>
  </x:si>
  <x:si>
    <x:t xml:space="preserve">Segment operating profit</x:t>
  </x:si>
  <x:si>
    <x:t xml:space="preserve">  Y/Y change in operating profit</x:t>
  </x:si>
  <x:si>
    <x:t xml:space="preserve">  Segment operating margin</x:t>
  </x:si>
  <x:si>
    <x:t xml:space="preserve">  Operating margin change (bp)</x:t>
  </x:si>
  <x:si>
    <x:t xml:space="preserve">Client gross additions / terminations</x:t>
  </x:si>
  <x:si>
    <x:t xml:space="preserve">Not separately disclosed</x:t>
  </x:si>
  <x:si>
    <x:t xml:space="preserve">Product / firm type breakdown</x:t>
  </x:si>
  <x:si>
    <x:t xml:space="preserve">Firm-type ASV, region product revenue not quantified</x:t>
  </x:si>
  <x:si>
    <x:t xml:space="preserve">  Disclosed only qualitatively</x:t>
  </x:si>
  <x:si>
    <x:t xml:space="preserve">Segment - EMEA</x:t>
  </x:si>
  <x:si>
    <x:t xml:space="preserve">Segment - Asia Pacific</x:t>
  </x:si>
  <x:si>
    <x:t xml:space="preserve">Income Statement</x:t>
  </x:si>
  <x:si>
    <x:t xml:space="preserve">Revenue</x:t>
  </x:si>
  <x:si>
    <x:t xml:space="preserve">  Revenue Y/Y</x:t>
  </x:si>
  <x:si>
    <x:t xml:space="preserve">Cost of services</x:t>
  </x:si>
  <x:si>
    <x:t xml:space="preserve">Gross profit</x:t>
  </x:si>
  <x:si>
    <x:t xml:space="preserve">  Gross margin</x:t>
  </x:si>
  <x:si>
    <x:t xml:space="preserve">  Gross margin change (bp)</x:t>
  </x:si>
  <x:si>
    <x:t xml:space="preserve">Selling, general &amp; administrative</x:t>
  </x:si>
  <x:si>
    <x:t xml:space="preserve">Operating profit</x:t>
  </x:si>
  <x:si>
    <x:t xml:space="preserve">  Operating margin</x:t>
  </x:si>
  <x:si>
    <x:t xml:space="preserve">  Operating profit Y/Y</x:t>
  </x:si>
  <x:si>
    <x:t xml:space="preserve">Interest income</x:t>
  </x:si>
  <x:si>
    <x:t xml:space="preserve">Interest expense</x:t>
  </x:si>
  <x:si>
    <x:t xml:space="preserve">Other income / (expense)</x:t>
  </x:si>
  <x:si>
    <x:t xml:space="preserve">Pre-tax income</x:t>
  </x:si>
  <x:si>
    <x:t xml:space="preserve">Income-tax provision</x:t>
  </x:si>
  <x:si>
    <x:t xml:space="preserve">  Effective tax rate</x:t>
  </x:si>
  <x:si>
    <x:t xml:space="preserve">GAAP net income</x:t>
  </x:si>
  <x:si>
    <x:t xml:space="preserve">  GAAP net margin</x:t>
  </x:si>
  <x:si>
    <x:t xml:space="preserve">  Net income Y/Y</x:t>
  </x:si>
  <x:si>
    <x:t xml:space="preserve">Basic weighted shares (millions)</x:t>
  </x:si>
  <x:si>
    <x:t xml:space="preserve">Diluted weighted shares (millions)</x:t>
  </x:si>
  <x:si>
    <x:t xml:space="preserve">Basic EPS</x:t>
  </x:si>
  <x:si>
    <x:t xml:space="preserve">  GAAP EPS tie</x:t>
  </x:si>
  <x:si>
    <x:t xml:space="preserve">GAAP to normalized net income</x:t>
  </x:si>
  <x:si>
    <x:t xml:space="preserve">  Acquisition intangible amortization</x:t>
  </x:si>
  <x:si>
    <x:t xml:space="preserve">  CEO compensation</x:t>
  </x:si>
  <x:si>
    <x:t xml:space="preserve">  Acquisition / disposition costs</x:t>
  </x:si>
  <x:si>
    <x:t xml:space="preserve">  Restructuring and severance</x:t>
  </x:si>
  <x:si>
    <x:t xml:space="preserve">  Equity investment impairment</x:t>
  </x:si>
  <x:si>
    <x:t xml:space="preserve">  Client bankruptcy charge</x:t>
  </x:si>
  <x:si>
    <x:t xml:space="preserve">  Business divestiture gain</x:t>
  </x:si>
  <x:si>
    <x:t xml:space="preserve">  Gain on investments</x:t>
  </x:si>
  <x:si>
    <x:t xml:space="preserve">  Executive search expenses</x:t>
  </x:si>
  <x:si>
    <x:t xml:space="preserve">  India labor-code adjustment</x:t>
  </x:si>
  <x:si>
    <x:t xml:space="preserve">  Other asset impairment</x:t>
  </x:si>
  <x:si>
    <x:t xml:space="preserve">  Sales tax dispute</x:t>
  </x:si>
  <x:si>
    <x:t xml:space="preserve">  Discrete income tax effects</x:t>
  </x:si>
  <x:si>
    <x:t xml:space="preserve">  Non-operating disposition adjustment</x:t>
  </x:si>
  <x:si>
    <x:t xml:space="preserve">Normalized net income</x:t>
  </x:si>
  <x:si>
    <x:t xml:space="preserve">  Normalized EPS Y/Y</x:t>
  </x:si>
  <x:si>
    <x:t xml:space="preserve">Issuer-reported normalized income</x:t>
  </x:si>
  <x:si>
    <x:t xml:space="preserve">  Normalized income check</x:t>
  </x:si>
  <x:si>
    <x:t xml:space="preserve">CapIQ GAAP EPS actual</x:t>
  </x:si>
  <x:si>
    <x:t xml:space="preserve">  GAAP EPS vs CapIQ (rounding)</x:t>
  </x:si>
  <x:si>
    <x:t xml:space="preserve">Forecast income-tax assumption</x:t>
  </x:si>
  <x:si>
    <x:t xml:space="preserve">FY25 revenue: Q4 + 9m minus FY</x:t>
  </x:si>
  <x:si>
    <x:t xml:space="preserve">FY25 cost: Q4 + 9m minus FY</x:t>
  </x:si>
  <x:si>
    <x:t xml:space="preserve">FY25 gross: Q4 + 9m minus FY</x:t>
  </x:si>
  <x:si>
    <x:t xml:space="preserve">Balance Sheet</x:t>
  </x:si>
  <x:si>
    <x:t xml:space="preserve">Cash and cash equivalents</x:t>
  </x:si>
  <x:si>
    <x:t xml:space="preserve">Investments</x:t>
  </x:si>
  <x:si>
    <x:t xml:space="preserve">Accounts receivable</x:t>
  </x:si>
  <x:si>
    <x:t xml:space="preserve">Prepaid taxes</x:t>
  </x:si>
  <x:si>
    <x:t xml:space="preserve">Prepaid expenses and other current assets</x:t>
  </x:si>
  <x:si>
    <x:t xml:space="preserve">Total current assets</x:t>
  </x:si>
  <x:si>
    <x:t xml:space="preserve">Property and equipment</x:t>
  </x:si>
  <x:si>
    <x:t xml:space="preserve">Forecast PPE held near Q3; $30m capex roughly offsets property depreciation within $44m total D&amp;A. Source: Q3 10-Q; forecast scenario.</x:t>
  </x:si>
  <x:si>
    <x:t xml:space="preserve">Goodwill</x:t>
  </x:si>
  <x:si>
    <x:t xml:space="preserve">Acquired intangible assets</x:t>
  </x:si>
  <x:si>
    <x:t xml:space="preserve">Deferred tax assets</x:t>
  </x:si>
  <x:si>
    <x:t xml:space="preserve">Lease right-of-use assets</x:t>
  </x:si>
  <x:si>
    <x:t xml:space="preserve">Other long-term assets</x:t>
  </x:si>
  <x:si>
    <x:t xml:space="preserve">TOTAL ASSETS</x:t>
  </x:si>
  <x:si>
    <x:t xml:space="preserve">Accounts payable / accrued expenses</x:t>
  </x:si>
  <x:si>
    <x:t xml:space="preserve">Current debt</x:t>
  </x:si>
  <x:si>
    <x:t xml:space="preserve">Current lease liabilities</x:t>
  </x:si>
  <x:si>
    <x:t xml:space="preserve">Accrued compensation</x:t>
  </x:si>
  <x:si>
    <x:t xml:space="preserve">Deferred revenues</x:t>
  </x:si>
  <x:si>
    <x:t xml:space="preserve">Current income taxes payable</x:t>
  </x:si>
  <x:si>
    <x:t xml:space="preserve">Dividends payable</x:t>
  </x:si>
  <x:si>
    <x:t xml:space="preserve">Total current liabilities</x:t>
  </x:si>
  <x:si>
    <x:t xml:space="preserve">Long-term debt</x:t>
  </x:si>
  <x:si>
    <x:t xml:space="preserve">Deferred tax liabilities</x:t>
  </x:si>
  <x:si>
    <x:t xml:space="preserve">Long-term taxes payable</x:t>
  </x:si>
  <x:si>
    <x:t xml:space="preserve">Long-term lease liabilities</x:t>
  </x:si>
  <x:si>
    <x:t xml:space="preserve">Other noncurrent liabilities</x:t>
  </x:si>
  <x:si>
    <x:t xml:space="preserve">TOTAL LIABILITIES</x:t>
  </x:si>
  <x:si>
    <x:t xml:space="preserve">TOTAL EQUITY</x:t>
  </x:si>
  <x:si>
    <x:t xml:space="preserve">Assets - liabilities - equity</x:t>
  </x:si>
  <x:si>
    <x:t xml:space="preserve">Forecast stock-based comp assumption</x:t>
  </x:si>
  <x:si>
    <x:t xml:space="preserve">Forecast balance-sheet residual (unplugged)</x:t>
  </x:si>
  <x:si>
    <x:t xml:space="preserve">Cash Flow Statement</x:t>
  </x:si>
  <x:si>
    <x:t xml:space="preserve">Depreciation and amortization</x:t>
  </x:si>
  <x:si>
    <x:t xml:space="preserve">Amortization of lease assets</x:t>
  </x:si>
  <x:si>
    <x:t xml:space="preserve">Stock-based compensation</x:t>
  </x:si>
  <x:si>
    <x:t xml:space="preserve">Deferred income taxes</x:t>
  </x:si>
  <x:si>
    <x:t xml:space="preserve">Change in accounts receivable</x:t>
  </x:si>
  <x:si>
    <x:t xml:space="preserve">Prepayments / other assets</x:t>
  </x:si>
  <x:si>
    <x:t xml:space="preserve">Deferred subscription revenue</x:t>
  </x:si>
  <x:si>
    <x:t xml:space="preserve">Taxes payable net of prepaid taxes</x:t>
  </x:si>
  <x:si>
    <x:t xml:space="preserve">Change in lease liabilities</x:t>
  </x:si>
  <x:si>
    <x:t xml:space="preserve">Other operating cash flows / working-capital assumption</x:t>
  </x:si>
  <x:si>
    <x:t xml:space="preserve">Forecast -$15m other working-capital cash use is an explicit scenario assumption; period-end cash and the un-plugged balance-sheet residual are checked.</x:t>
  </x:si>
  <x:si>
    <x:t xml:space="preserve">Cash from operations</x:t>
  </x:si>
  <x:si>
    <x:t xml:space="preserve">Capital spending</x:t>
  </x:si>
  <x:si>
    <x:t xml:space="preserve">Investments and divestitures, net</x:t>
  </x:si>
  <x:si>
    <x:t xml:space="preserve">Acquisitions cash outflow</x:t>
  </x:si>
  <x:si>
    <x:t xml:space="preserve">Cash used in investing</x:t>
  </x:si>
  <x:si>
    <x:t xml:space="preserve">Common shares repurchased</x:t>
  </x:si>
  <x:si>
    <x:t xml:space="preserve">Cash dividends</x:t>
  </x:si>
  <x:si>
    <x:t xml:space="preserve">Debt borrowing / repayment, net</x:t>
  </x:si>
  <x:si>
    <x:t xml:space="preserve">Employee plan proceeds</x:t>
  </x:si>
  <x:si>
    <x:t xml:space="preserve">Other financing cash flows</x:t>
  </x:si>
  <x:si>
    <x:t xml:space="preserve">Cash used in financing</x:t>
  </x:si>
  <x:si>
    <x:t xml:space="preserve">Currency effect on cash</x:t>
  </x:si>
  <x:si>
    <x:t xml:space="preserve">Change in restricted cash</x:t>
  </x:si>
  <x:si>
    <x:t xml:space="preserve">Change in unrestricted cash</x:t>
  </x:si>
  <x:si>
    <x:t xml:space="preserve">Balance Sheet cash change</x:t>
  </x:si>
  <x:si>
    <x:t xml:space="preserve">Cash flow / balance-sheet tie</x:t>
  </x:si>
  <x:si>
    <x:t xml:space="preserve">Opening restricted cash</x:t>
  </x:si>
  <x:si>
    <x:t xml:space="preserve">Closing restricted cash</x:t>
  </x:si>
  <x:si>
    <x:t xml:space="preserve">Issuer-reported operating cash flow</x:t>
  </x:si>
  <x:si>
    <x:t xml:space="preserve">  Operating cash flow source check</x:t>
  </x:si>
  <x:si>
    <x:t xml:space="preserve">Issuer-reported cash from investing</x:t>
  </x:si>
  <x:si>
    <x:t xml:space="preserve">Issuer-reported cash from financing</x:t>
  </x:si>
  <x:si>
    <x:t xml:space="preserve">Geo</x:t>
  </x:si>
  <x:si>
    <x:t xml:space="preserve">Americas — sales origination</x:t>
  </x:si>
  <x:si>
    <x:t xml:space="preserve">EMEA — sales origination</x:t>
  </x:si>
  <x:si>
    <x:t xml:space="preserve">Asia Pacific — sales origination</x:t>
  </x:si>
  <x:si>
    <x:t xml:space="preserve">Geography revenue total</x:t>
  </x:si>
  <x:si>
    <x:t xml:space="preserve">  Geographic sum vs consolidated</x:t>
  </x:si>
  <x:si>
    <x:t xml:space="preserve">  Americas mix</x:t>
  </x:si>
  <x:si>
    <x:t xml:space="preserve">  EMEA mix</x:t>
  </x:si>
  <x:si>
    <x:t xml:space="preserve">  Asia Pacific mix</x:t>
  </x:si>
  <x:si>
    <x:t xml:space="preserve">Americas operating income</x:t>
  </x:si>
  <x:si>
    <x:t xml:space="preserve">EMEA operating income</x:t>
  </x:si>
  <x:si>
    <x:t xml:space="preserve">Asia Pacific operating income</x:t>
  </x:si>
  <x:si>
    <x:t xml:space="preserve">Regional operating profit total</x:t>
  </x:si>
  <x:si>
    <x:t xml:space="preserve">  Profit vs consolidated EBIT</x:t>
  </x:si>
  <x:si>
    <x:t xml:space="preserve">Americas ending ASV</x:t>
  </x:si>
  <x:si>
    <x:t xml:space="preserve">EMEA ending ASV</x:t>
  </x:si>
  <x:si>
    <x:t xml:space="preserve">Asia Pacific ending ASV</x:t>
  </x:si>
  <x:si>
    <x:t xml:space="preserve">Total geographic ASV</x:t>
  </x:si>
  <x:si>
    <x:t xml:space="preserve">  Asia Pacific ASV mix</x:t>
  </x:si>
  <x:si>
    <x:t xml:space="preserve">Share Count</x:t>
  </x:si>
  <x:si>
    <x:t xml:space="preserve">Opening shares outstanding (millions)</x:t>
  </x:si>
  <x:si>
    <x:t xml:space="preserve">Common shares repurchased (millions)</x:t>
  </x:si>
  <x:si>
    <x:t xml:space="preserve">Employee plan shares issued (millions)</x:t>
  </x:si>
  <x:si>
    <x:t xml:space="preserve">Other share change / vesting</x:t>
  </x:si>
  <x:si>
    <x:t xml:space="preserve">Closing common shares outstanding</x:t>
  </x:si>
  <x:si>
    <x:t xml:space="preserve">Share repurchases / cash outlay</x:t>
  </x:si>
  <x:si>
    <x:t xml:space="preserve">  Average repurchase price ($)</x:t>
  </x:si>
  <x:si>
    <x:t xml:space="preserve">Basic weighted shares (reported)</x:t>
  </x:si>
  <x:si>
    <x:t xml:space="preserve">Dilutive equity awards</x:t>
  </x:si>
  <x:si>
    <x:t xml:space="preserve">Diluted weighted shares (reported)</x:t>
  </x:si>
  <x:si>
    <x:t xml:space="preserve">  Diluted weighted shares Y/Y</x:t>
  </x:si>
  <x:si>
    <x:t xml:space="preserve">Forecast average basic shares</x:t>
  </x:si>
  <x:si>
    <x:t xml:space="preserve">Forecast diluted weighted shares</x:t>
  </x:si>
  <x:si>
    <x:t xml:space="preserve">  Dilutive awards / average basic</x:t>
  </x:si>
  <x:si>
    <x:t xml:space="preserve">  Forecast diluted EPS share count check</x:t>
  </x:si>
  <x:si>
    <x:t xml:space="preserve">  Diluted shares sequential change</x:t>
  </x:si>
  <x:si>
    <x:t xml:space="preserve">Guidance</x:t>
  </x:si>
  <x:si>
    <x:t xml:space="preserve">Publication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</x:si>
  <x:si>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</x:si>
  <x:si>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</x:si>
  <x:si>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</x:si>
  <x:si>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</x:si>
  <x:si>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Reported</x:t>
  </x:si>
  <x:si>
    <x:t xml:space="preserve">Status</x:t>
  </x:si>
  <x:si>
    <x:t xml:space="preserve">Q4 implied</x:t>
  </x:si>
  <x:si>
    <x:t xml:space="preserve">FY2026</x:t>
  </x:si>
  <x:si>
    <x:t xml:space="preserve">GAAP revenue</x:t>
  </x:si>
  <x:si>
    <x:t xml:space="preserve">Adjusted net income</x:t>
  </x:si>
  <x:si>
    <x:t xml:space="preserve">Adjusted diluted EPS</x:t>
  </x:si>
  <x:si>
    <x:t xml:space="preserve">GAAP operating margin</x:t>
  </x:si>
  <x:si>
    <x:t xml:space="preserve">Adjusted operating margin</x:t>
  </x:si>
  <x:si>
    <x:t xml:space="preserve">Effective tax rate</x:t>
  </x:si>
  <x:si>
    <x:t xml:space="preserve">Organic ASV additions</x:t>
  </x:si>
  <x:si>
    <x:t xml:space="preserve">Sources</x:t>
  </x:si>
  <x:si>
    <x:t xml:space="preserve">ID</x:t>
  </x:si>
  <x:si>
    <x:t xml:space="preserve">Date published</x:t>
  </x:si>
  <x:si>
    <x:t xml:space="preserve">Publisher</x:t>
  </x:si>
  <x:si>
    <x:t xml:space="preserve">URL / attached file</x:t>
  </x:si>
  <x:si>
    <x:t xml:space="preserve">Feeds</x:t>
  </x:si>
  <x:si>
    <x:t xml:space="preserve">S01</x:t>
  </x:si>
  <x:si>
    <x:t xml:space="preserve">SEC / FactSet</x:t>
  </x:si>
  <x:si>
    <x:t xml:space="preserve">https://www.sec.gov/Archives/edgar/data/1013237/000162828025045769/fds-20250831.htm</x:t>
  </x:si>
  <x:si>
    <x:t xml:space="preserve">FY2025 financials / segment profit</x:t>
  </x:si>
  <x:si>
    <x:t xml:space="preserve">S02</x:t>
  </x:si>
  <x:si>
    <x:t xml:space="preserve">https://www.sec.gov/Archives/edgar/data/1013237/000101323725000084/fdsq42025earningsrelease.htm</x:t>
  </x:si>
  <x:si>
    <x:t xml:space="preserve">Q4 FY25 GAAP/adjusted, ASV, geographic revenue</x:t>
  </x:si>
  <x:si>
    <x:t xml:space="preserve">S03</x:t>
  </x:si>
  <x:si>
    <x:t xml:space="preserve">https://www.sec.gov/Archives/edgar/data/1013237/000162828026000223/fds-20251130.htm</x:t>
  </x:si>
  <x:si>
    <x:t xml:space="preserve">Q1 statements, cash flow and regional profit</x:t>
  </x:si>
  <x:si>
    <x:t xml:space="preserve">S04</x:t>
  </x:si>
  <x:si>
    <x:t xml:space="preserve">https://www.sec.gov/Archives/edgar/data/1013237/000162828026022873/fds-20260228.htm</x:t>
  </x:si>
  <x:si>
    <x:t xml:space="preserve">Q2 statements, cash flow and regional profit</x:t>
  </x:si>
  <x:si>
    <x:t xml:space="preserve">S05</x:t>
  </x:si>
  <x:si>
    <x:t xml:space="preserve">https://www.sec.gov/Archives/edgar/data/1013237/000162828026046549/fds-20260531.htm</x:t>
  </x:si>
  <x:si>
    <x:t xml:space="preserve">Q3 statements, cash flow, geography, clients</x:t>
  </x:si>
  <x:si>
    <x:t xml:space="preserve">S06</x:t>
  </x:si>
  <x:si>
    <x:t xml:space="preserve">https://www.sec.gov/Archives/edgar/data/1013237/000162828025057794/fdsq12026earningsrelease.htm</x:t>
  </x:si>
  <x:si>
    <x:t xml:space="preserve">Q1 adjusted EPS reconciliation and region ASV</x:t>
  </x:si>
  <x:si>
    <x:t xml:space="preserve">S07</x:t>
  </x:si>
  <x:si>
    <x:t xml:space="preserve">https://www.sec.gov/Archives/edgar/data/1013237/000162828026022203/fdsq22026earningsrelease.htm</x:t>
  </x:si>
  <x:si>
    <x:t xml:space="preserve">Q2 adjusted EPS reconciliation and region ASV</x:t>
  </x:si>
  <x:si>
    <x:t xml:space="preserve">S08</x:t>
  </x:si>
  <x:si>
    <x:t xml:space="preserve">https://www.sec.gov/Archives/edgar/data/1013237/000162828026046338/fdsq32026earningsrelease.htm</x:t>
  </x:si>
  <x:si>
    <x:t xml:space="preserve">Q3 adjusted EPS bridge / FY26 guidance</x:t>
  </x:si>
  <x:si>
    <x:t xml:space="preserve">S09</x:t>
  </x:si>
  <x:si>
    <x:t xml:space="preserve">FactSet / GlobeNewswire</x:t>
  </x:si>
  <x:si>
    <x:t xml:space="preserve">https://www.globenewswire.com/news-release/2026/09/02/3354957/7768/en/factset-schedules-fourth-quarter-2026-earnings-call.html</x:t>
  </x:si>
  <x:si>
    <x:t xml:space="preserve">Sept 30 publication scheduled; cutoff safeguard</x:t>
  </x:si>
  <x:si>
    <x:t xml:space="preserve">S10</x:t>
  </x:si>
  <x:si>
    <x:t xml:space="preserve">Zacks / Yahoo Finance</x:t>
  </x:si>
  <x:si>
    <x:t xml:space="preserve">https://finance.yahoo.com/markets/stocks/articles/factset-report-q4-earnings-whats-134400712.html</x:t>
  </x:si>
  <x:si>
    <x:t xml:space="preserve">Newer EPS $4.32, revenue $628.2, negative ESP -2.21%</x:t>
  </x:si>
  <x:si>
    <x:t xml:space="preserve">S11</x:t>
  </x:si>
  <x:si>
    <x:t xml:space="preserve">Transcript Daily</x:t>
  </x:si>
  <x:si>
    <x:t xml:space="preserve">https://transcriptdaily.com/2026/09/28/factset-research-systems-fds-set-to-post-earnings-on-wednesday.html</x:t>
  </x:si>
  <x:si>
    <x:t xml:space="preserve">Dated $9.72bn market cap and normalized EPS $4.35</x:t>
  </x:si>
  <x:si>
    <x:t xml:space="preserve">S12</x:t>
  </x:si>
  <x:si>
    <x:t xml:space="preserve">Closelook</x:t>
  </x:si>
  <x:si>
    <x:t xml:space="preserve">https://closelook.net/indices/stock/fds/</x:t>
  </x:si>
  <x:si>
    <x:t xml:space="preserve">S&amp;P 500 constituent at September 19, 2026</x:t>
  </x:si>
  <x:si>
    <x:t xml:space="preserve">S13</x:t>
  </x:si>
  <x:si>
    <x:t xml:space="preserve">Motley Fool / issuer call</x:t>
  </x:si>
  <x:si>
    <x:t xml:space="preserve">https://www.fool.com/earnings/call-transcripts/2026/07/01/factset-fds-q3-2026-earnings-call-transcript/</x:t>
  </x:si>
  <x:si>
    <x:t xml:space="preserve">ASV momentum, investment-spend countercase</x:t>
  </x:si>
  <x:si>
    <x:t xml:space="preserve">S14</x:t>
  </x:si>
  <x:si>
    <x:t xml:space="preserve">S&amp;P Capital IQ</x:t>
  </x:si>
  <x:si>
    <x:t xml:space="preserve">FDS_consensus.json</x:t>
  </x:si>
  <x:si>
    <x:t xml:space="preserve">Original Sep 24 consensus; Inputs!B19:C72</x:t>
  </x:si>
  <x:si>
    <x:t xml:space="preserve">S15</x:t>
  </x:si>
  <x:si>
    <x:t xml:space="preserve">FDS_history.csv</x:t>
  </x:si>
  <x:si>
    <x:t xml:space="preserve">Six historical normalized EPS beat comparisons; Inputs!B9:I15</x:t>
  </x:si>
  <x:si>
    <x:t xml:space="preserve">Consensus timestamp</x:t>
  </x:si>
  <x:si>
    <x:t xml:space="preserve">2026-09-24 (date only; exact time unknown)</x:t>
  </x:si>
  <x:si>
    <x:t xml:space="preserve">Consensus JSON SHA256</x:t>
  </x:si>
  <x:si>
    <x:t xml:space="preserve">277bbd9c0e6eb39bc399b9cd83bb03c982dcf7059fdf51c2128b1d20461e8f53</x:t>
  </x:si>
  <x:si>
    <x:t xml:space="preserve">History CSV SHA256</x:t>
  </x:si>
  <x:si>
    <x:t xml:space="preserve">e368eaee12e683e92b11bf8336d5720720cc29220831a7025506f44aec2a03a0</x:t>
  </x:si>
  <x:si>
    <x:t xml:space="preserve">Geo tab</x:t>
  </x:si>
  <x:si>
    <x:t xml:space="preserve">Included: three reported geographic segments; geography is by sale origination, not customer domicile.</x:t>
  </x:si>
  <x:si>
    <x:t xml:space="preserve">Absent product lines</x:t>
  </x:si>
  <x:si>
    <x:t xml:space="preserve">S05 10-Q lacks quantified product-line revenue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</x:si>
  <x:si>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</x:si>
  <x:si>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</x:si>
  <x:si>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</x:si>
  <x:si>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</x:si>
  <x:si>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</x:si>
  <x:si>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</x:si>
  <x:si>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</x:si>
  <x:si>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</x:si>
  <x:si>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</x:si>
  <x:si>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CapIQ original summary — as of 2026-09-24; timestamp unknown</x:t>
  </x:si>
  <x:si>
    <x:t xml:space="preserve">No target-price columns used as forecast inputs</x:t>
  </x:si>
  <x:si>
    <x:t xml:space="preserve">ticker</x:t>
  </x:si>
  <x:si>
    <x:t xml:space="preserve">FDS</x:t>
  </x:si>
  <x:si>
    <x:t xml:space="preserve">company</x:t>
  </x:si>
  <x:si>
    <x:t xml:space="preserve">exchange_ticker</x:t>
  </x:si>
  <x:si>
    <x:t xml:space="preserve">NYSE:FDS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</x:si>
  <x:si>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</x:si>
  <x:si>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</x:si>
  <x:si>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</x:si>
  <x:si>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</x:si>
  <x:si>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</x:si>
  <x:si>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</x:si>
  <x:si>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</x:si>
  <x:si>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</x:si>
  <x:si>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</x:si>
  <x:si>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</x:si>
  <x:si>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</x:si>
  <x:si>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</x:si>
  <x:si>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</x:si>
  <x:si>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</x:si>
  <x:si>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</x:si>
  <x:si>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</x:si>
  <x:si>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</x:si>
  <x:si>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</x:si>
  <x:si>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</x:si>
  <x:si>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</x:si>
  <x:si>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</x:si>
  <x:si>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</x:si>
  <x:si>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</x:si>
  <x:si>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</x:si>
  <x:si>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</x:si>
  <x:si>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</x:si>
  <x:si>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</x:si>
  <x:si>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</x:si>
  <x:si>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</x:si>
  <x:si>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</x:si>
  <x:si>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</x:si>
  <x:si>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</x:si>
  <x:si>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</x:si>
  <x:si>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</x:si>
  <x:si>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</x:si>
  <x:si>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</x:si>
  <x:si>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</x:si>
  <x:si>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</x:si>
  <x:si>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</x:si>
  <x:si>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</x:si>
  <x:si>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</x:si>
  <x:si>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</x:si>
  <x:si>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</x:si>
  <x:si>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</x:si>
  <x:si>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</x:si>
  <x:si>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</x:si>
  <x:si>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</x:si>
  <x:si>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</x:si>
  <x:si>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</x:si>
  <x:si>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</x:si>
  <x:si>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</x:si>
  <x:si>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</x:si>
  <x:si>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</x:si>
  <x:si>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Results Sep 30, call 9 a.m. 52wk range 320.48/185.00. FY guidance for EPSn 17.25/17.75.</x:t>
  </x:si>
  <x:si>
    <x:t xml:space="preserve">FDS_history.csv SHA256</x:t>
  </x:si>
  <x:si>
    <x:t xml:space="preserve">FDS_consensus.json SHA256</x:t>
  </x:si>
  <x:si>
    <x:t xml:space="preserve">CapIQ captured date</x:t>
  </x:si>
  <x:si>
    <x:t xml:space="preserve">Original normalized EPS</x:t>
  </x:si>
  <x:si>
    <x:t xml:space="preserve">Original GAAP EPS</x:t>
  </x:si>
  <x:si>
    <x:t xml:space="preserve">Original revenue</x:t>
  </x:si>
  <x:si>
    <x:t xml:space="preserve">Original normalized analyst count</x:t>
  </x:si>
  <x:si>
    <x:t xml:space="preserve">FY2024 reported revenue ($m)</x:t>
  </x:si>
  <x:si>
    <x:t xml:space="preserve">Q1 FY2025 revenue ($m)</x:t>
  </x:si>
  <x:si>
    <x:t xml:space="preserve">Q2 FY2025 revenue ($m)</x:t>
  </x:si>
  <x:si>
    <x:t xml:space="preserve">Q4 FY2025 organic ASV ($m)</x:t>
  </x:si>
  <x:si>
    <x:t xml:space="preserve">Q3 FY2025 Americas revenue</x:t>
  </x:si>
  <x:si>
    <x:t xml:space="preserve">Q3 FY2025 EMEA revenue</x:t>
  </x:si>
  <x:si>
    <x:t xml:space="preserve">Q3 FY2025 APAC revenue</x:t>
  </x:si>
  <x:si>
    <x:t xml:space="preserve">Q1 FY2025 Americas revenue</x:t>
  </x:si>
  <x:si>
    <x:t xml:space="preserve">Q1 FY2025 EMEA revenue</x:t>
  </x:si>
  <x:si>
    <x:t xml:space="preserve">Q1 FY2025 APAC revenue</x:t>
  </x:si>
  <x:si>
    <x:t xml:space="preserve">Q2 FY2025 Americas revenue</x:t>
  </x:si>
  <x:si>
    <x:t xml:space="preserve">Q2 FY2025 EMEA revenue</x:t>
  </x:si>
  <x:si>
    <x:t xml:space="preserve">Q2 FY2025 APAC revenue</x:t>
  </x:si>
  <x:si>
    <x:t xml:space="preserve">FY2025 Q3 as-reported ASV ($m)</x:t>
  </x:si>
  <x:si>
    <x:t xml:space="preserve">FY2025 Q4 as-reported ASV ($m)</x:t>
  </x:si>
  <x:si>
    <x:t xml:space="preserve">FY26 9mo GAAP diluted EPS (issuer)</x:t>
  </x:si>
  <x:si>
    <x:t xml:space="preserve">FY26 9mo net income ($m)</x:t>
  </x:si>
  <x:si>
    <x:t xml:space="preserve">Q1 FY25 Americas ASV</x:t>
  </x:si>
  <x:si>
    <x:t xml:space="preserve">Q1 FY25 EMEA ASV</x:t>
  </x:si>
  <x:si>
    <x:t xml:space="preserve">Q1 FY25 APAC ASV</x:t>
  </x:si>
  <x:si>
    <x:t xml:space="preserve">Q2 FY25 Americas ASV</x:t>
  </x:si>
  <x:si>
    <x:t xml:space="preserve">Q2 FY25 EMEA ASV</x:t>
  </x:si>
  <x:si>
    <x:t xml:space="preserve">Q2 FY25 APAC ASV</x:t>
  </x:si>
  <x:si>
    <x:t xml:space="preserve">FY25 first-nine-months revenue</x:t>
  </x:si>
  <x:si>
    <x:t xml:space="preserve">FY25 first-nine-months cost</x:t>
  </x:si>
  <x:si>
    <x:t xml:space="preserve">FY25 first-nine-months gross</x:t>
  </x:si>
  <x:si>
    <x:t xml:space="preserve">Fiscal quarters per year</x:t>
  </x:si>
  <x:si>
    <x:t xml:space="preserve">Q4 FY2024 diluted shares</x:t>
  </x:si>
  <x:si>
    <x:t xml:space="preserve">FY2024 diluted shares</x:t>
  </x:si>
  <x:si>
    <x:t xml:space="preserve">Q1 FY2025 diluted shares</x:t>
  </x:si>
  <x:si>
    <x:t xml:space="preserve">Q2 FY2025 diluted shares</x:t>
  </x:si>
  <x:si>
    <x:t xml:space="preserve">Q3 FY2025 diluted shares</x:t>
  </x:si>
  <x:si>
    <x:t xml:space="preserve">Forecast net client adds</x:t>
  </x:si>
  <x:si>
    <x:t xml:space="preserve">Forecast added professionals</x:t>
  </x:si>
  <x:si>
    <x:t xml:space="preserve">May 2025 reported clients</x:t>
  </x:si>
  <x:si>
    <x:t xml:space="preserve">May 2025 reported users</x:t>
  </x:si>
</x:sst>
</file>

<file path=xl/styles.xml><?xml version="1.0" encoding="utf-8"?>
<x:styleSheet xmlns:x="http://schemas.openxmlformats.org/spreadsheetml/2006/main">
  <x:numFmts count="6">
    <x:numFmt numFmtId="164" formatCode="#,##0.0_);(#,##0.0);&quot;–&quot;_)"/>
    <x:numFmt numFmtId="165" formatCode="0.0%_);(0.0%);&quot;–&quot;_)"/>
    <x:numFmt numFmtId="166" formatCode="yyyy-mm-dd"/>
    <x:numFmt numFmtId="167" formatCode="$0.00"/>
    <x:numFmt numFmtId="168" formatCode="General"/>
    <x:numFmt numFmtId="169" formatCode="d-mmm-yyyy"/>
  </x:numFmts>
  <x:fonts count="15">
    <x:font>
      <x:sz val="11"/>
      <x:name val="Calibri"/>
    </x:font>
    <x:font>
      <x:sz val="10"/>
      <x:color rgb="FF223449"/>
      <x:name val="Aptos Narrow"/>
    </x:font>
    <x:font>
      <x:b/>
      <x:sz val="11"/>
      <x:color rgb="FF223449"/>
      <x:name val="Aptos Narrow"/>
    </x:font>
    <x:font>
      <x:b/>
      <x:sz val="10"/>
      <x:color rgb="FF0000FF"/>
      <x:name val="Aptos Narrow"/>
    </x:font>
    <x:font>
      <x:sz val="10"/>
      <x:color rgb="FF006100"/>
      <x:name val="Aptos Narrow"/>
    </x:font>
    <x:font>
      <x:sz val="10"/>
      <x:color rgb="FF000000"/>
      <x:name val="Aptos Narrow"/>
    </x:font>
    <x:font>
      <x:i/>
      <x:sz val="10"/>
      <x:color rgb="FF000000"/>
      <x:name val="Aptos Narrow"/>
    </x:font>
    <x:font>
      <x:b/>
      <x:sz val="10"/>
      <x:color rgb="FF006100"/>
      <x:name val="Aptos Narrow"/>
    </x:font>
    <x:font>
      <x:sz val="10"/>
      <x:color rgb="FF0000FF"/>
      <x:name val="Aptos Narrow"/>
    </x:font>
    <x:font>
      <x:b/>
      <x:sz val="10"/>
      <x:color rgb="FF000000"/>
      <x:name val="Aptos Narrow"/>
    </x:font>
    <x:font>
      <x:i/>
      <x:sz val="10"/>
      <x:color rgb="FF006100"/>
      <x:name val="Aptos Narrow"/>
    </x:font>
    <x:font>
      <x:i/>
      <x:sz val="10"/>
      <x:color rgb="FF0000FF"/>
      <x:name val="Aptos Narrow"/>
    </x:font>
    <x:font>
      <x:i/>
      <x:sz val="11"/>
      <x:color rgb="FF000000"/>
      <x:name val="Calibri"/>
    </x:font>
    <x:font>
      <x:i/>
      <x:sz val="11"/>
      <x:color rgb="FF006100"/>
      <x:name val="Calibri"/>
    </x:font>
    <x:font>
      <x:sz val="11"/>
      <x:color rgb="FF000000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EDF0F3"/>
      </x:patternFill>
    </x:fill>
    <x:fill>
      <x:patternFill patternType="solid">
        <x:fgColor rgb="FFEEF4FB"/>
      </x:patternFill>
    </x:fill>
    <x:fill>
      <x:patternFill patternType="solid">
        <x:fgColor rgb="FFF2F4F6"/>
      </x:patternFill>
    </x:fill>
    <x:fill>
      <x:patternFill patternType="solid">
        <x:fgColor rgb="FFE5EAEE"/>
      </x:patternFill>
    </x:fill>
  </x:fills>
  <x:borders count="3">
    <x:border/>
    <x:border>
      <x:top style="thin">
        <x:color rgb="FFB7BFC8"/>
      </x:top>
    </x:border>
    <x:border>
      <x:top style="thin">
        <x:color rgb="FFA7B1BD"/>
      </x:top>
      <x:bottom style="thin">
        <x:color rgb="FFA7B1BD"/>
      </x:bottom>
    </x:border>
  </x:borders>
  <x:cellStyleXfs count="1">
    <x:xf numFmtId="0" fontId="0" fillId="0" borderId="0"/>
  </x:cellStyleXfs>
  <x:cellXfs count="64">
    <x:xf numFmtId="0" fontId="0" fillId="0" borderId="0" xfId="0"/>
    <x:xf numFmtId="0" fontId="1" fillId="2" borderId="0" xfId="0" applyFont="1" applyFill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164" fontId="4" fillId="0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4" fontId="4" fillId="3" borderId="0" xfId="0" applyNumberFormat="1" applyFont="1" applyFill="1" applyAlignment="1">
      <x:alignment horizontal="general" vertical="bottom"/>
    </x:xf>
    <x:xf numFmtId="165" fontId="6" fillId="0" borderId="0" xfId="0" applyNumberFormat="1" applyFont="1" applyFill="1" applyAlignment="1">
      <x:alignment horizontal="general" vertical="bottom"/>
    </x:xf>
    <x:xf numFmtId="166" fontId="5" fillId="4" borderId="0" xfId="0" applyNumberFormat="1" applyFont="1" applyFill="1" applyAlignment="1">
      <x:alignment horizontal="center" vertical="bottom"/>
    </x:xf>
    <x:xf numFmtId="164" fontId="7" fillId="0" borderId="1" xfId="0" applyNumberFormat="1" applyFont="1" applyFill="1" applyBorder="1" applyAlignment="1">
      <x:alignment horizontal="general" vertical="bottom"/>
    </x:xf>
    <x:xf numFmtId="164" fontId="8" fillId="3" borderId="0" xfId="0" applyNumberFormat="1" applyFont="1" applyFill="1" applyAlignment="1">
      <x:alignment horizontal="general" vertical="bottom"/>
    </x:xf>
    <x:xf numFmtId="164" fontId="9" fillId="0" borderId="1" xfId="0" applyNumberFormat="1" applyFont="1" applyFill="1" applyBorder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65" fontId="10" fillId="0" borderId="0" xfId="0" applyNumberFormat="1" applyFont="1" applyFill="1" applyAlignment="1">
      <x:alignment horizontal="general" vertical="bottom"/>
    </x:xf>
    <x:xf numFmtId="0" fontId="5" fillId="4" borderId="0" xfId="0" applyFont="1" applyFill="1" applyAlignment="1">
      <x:alignment horizontal="center" vertical="bottom"/>
    </x:xf>
    <x:xf numFmtId="164" fontId="9" fillId="3" borderId="1" xfId="0" applyNumberFormat="1" applyFont="1" applyFill="1" applyBorder="1" applyAlignment="1">
      <x:alignment horizontal="general" vertical="bottom"/>
    </x:xf>
    <x:xf numFmtId="0" fontId="9" fillId="0" borderId="1" xfId="0" applyFont="1" applyFill="1" applyBorder="1" applyAlignment="1">
      <x:alignment horizontal="general" vertical="bottom"/>
    </x:xf>
    <x:xf numFmtId="165" fontId="6" fillId="3" borderId="0" xfId="0" applyNumberFormat="1" applyFont="1" applyFill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167" fontId="4" fillId="0" borderId="0" xfId="0" applyNumberFormat="1" applyFont="1" applyFill="1" applyAlignment="1">
      <x:alignment horizontal="general" vertical="bottom"/>
    </x:xf>
    <x:xf numFmtId="165" fontId="11" fillId="0" borderId="0" xfId="0" applyNumberFormat="1" applyFont="1" applyFill="1" applyAlignment="1">
      <x:alignment horizontal="general" vertical="bottom"/>
    </x:xf>
    <x:xf numFmtId="164" fontId="5" fillId="3" borderId="0" xfId="0" applyNumberFormat="1" applyFont="1" applyFill="1" applyAlignment="1">
      <x:alignment horizontal="general" vertical="bottom"/>
    </x:xf>
    <x:xf numFmtId="0" fontId="9" fillId="5" borderId="2" xfId="0" applyFont="1" applyFill="1" applyBorder="1" applyAlignment="1">
      <x:alignment horizontal="general" vertical="bottom"/>
    </x:xf>
    <x:xf numFmtId="168" fontId="5" fillId="0" borderId="0" xfId="0" applyNumberFormat="1" applyFont="1" applyFill="1" applyAlignment="1">
      <x:alignment horizontal="general" vertical="bottom"/>
    </x:xf>
    <x:xf numFmtId="164" fontId="7" fillId="3" borderId="1" xfId="0" applyNumberFormat="1" applyFont="1" applyFill="1" applyBorder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6" fontId="8" fillId="0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 wrapText="1"/>
    </x:xf>
    <x:xf numFmtId="0" fontId="4" fillId="0" borderId="0" xfId="0" applyFont="1" applyFill="1" applyAlignment="1">
      <x:alignment horizontal="general" vertical="bottom"/>
    </x:xf>
    <x:xf numFmtId="167" fontId="9" fillId="0" borderId="1" xfId="0" applyNumberFormat="1" applyFont="1" applyFill="1" applyBorder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7" fontId="7" fillId="0" borderId="1" xfId="0" applyNumberFormat="1" applyFont="1" applyFill="1" applyBorder="1" applyAlignment="1">
      <x:alignment horizontal="general" vertical="bottom"/>
    </x:xf>
    <x:xf numFmtId="165" fontId="12" fillId="0" borderId="0" xfId="0" applyNumberFormat="1" applyFont="1" applyFill="1" applyAlignment="1">
      <x:alignment horizontal="general" vertical="bottom"/>
    </x:xf>
    <x:xf numFmtId="164" fontId="12" fillId="0" borderId="0" xfId="0" applyNumberFormat="1" applyFont="1" applyFill="1" applyAlignment="1">
      <x:alignment horizontal="general" vertical="bottom"/>
    </x:xf>
    <x:xf numFmtId="165" fontId="10" fillId="3" borderId="0" xfId="0" applyNumberFormat="1" applyFont="1" applyFill="1" applyAlignment="1">
      <x:alignment horizontal="general" vertical="bottom"/>
    </x:xf>
    <x:xf numFmtId="0" fontId="5" fillId="3" borderId="0" xfId="0" applyFont="1" applyFill="1" applyAlignment="1">
      <x:alignment horizontal="general" vertical="bottom"/>
    </x:xf>
    <x:xf numFmtId="164" fontId="6" fillId="0" borderId="0" xfId="0" applyNumberFormat="1" applyFont="1" applyFill="1" applyAlignment="1">
      <x:alignment horizontal="general" vertical="bottom"/>
    </x:xf>
    <x:xf numFmtId="165" fontId="11" fillId="3" borderId="0" xfId="0" applyNumberFormat="1" applyFont="1" applyFill="1" applyAlignment="1">
      <x:alignment horizontal="general" vertical="bottom"/>
    </x:xf>
    <x:xf numFmtId="165" fontId="13" fillId="0" borderId="0" xfId="0" applyNumberFormat="1" applyFont="1" applyFill="1" applyAlignment="1">
      <x:alignment horizontal="general" vertical="bottom"/>
    </x:xf>
    <x:xf numFmtId="167" fontId="9" fillId="3" borderId="1" xfId="0" applyNumberFormat="1" applyFont="1" applyFill="1" applyBorder="1" applyAlignment="1">
      <x:alignment horizontal="general" vertical="bottom"/>
    </x:xf>
    <x:xf numFmtId="164" fontId="6" fillId="3" borderId="0" xfId="0" applyNumberFormat="1" applyFont="1" applyFill="1" applyAlignment="1">
      <x:alignment horizontal="general" vertical="bottom"/>
    </x:xf>
    <x:xf numFmtId="164" fontId="14" fillId="0" borderId="0" xfId="0" applyNumberFormat="1" applyFont="1" applyFill="1" applyAlignment="1">
      <x:alignment horizontal="general" vertical="bottom"/>
    </x:xf>
    <x:xf numFmtId="167" fontId="5" fillId="3" borderId="0" xfId="0" applyNumberFormat="1" applyFont="1" applyFill="1" applyAlignment="1">
      <x:alignment horizontal="general" vertical="bottom"/>
    </x:xf>
    <x:xf numFmtId="167" fontId="6" fillId="0" borderId="0" xfId="0" applyNumberFormat="1" applyFont="1" applyFill="1" applyAlignment="1">
      <x:alignment horizontal="general" vertical="bottom"/>
    </x:xf>
    <x:xf numFmtId="167" fontId="6" fillId="3" borderId="0" xfId="0" applyNumberFormat="1" applyFont="1" applyFill="1" applyAlignment="1">
      <x:alignment horizontal="general" vertical="bottom"/>
    </x:xf>
    <x:xf numFmtId="0" fontId="8" fillId="0" borderId="0" xfId="0" applyFont="1" applyFill="1" applyAlignment="1">
      <x:alignment horizontal="general" vertical="bottom"/>
    </x:xf>
    <x:xf numFmtId="169" fontId="5" fillId="0" borderId="0" xfId="0" applyNumberFormat="1" applyFont="1" applyFill="1" applyAlignment="1">
      <x:alignment horizontal="general" vertical="bottom"/>
    </x:xf>
    <x:xf numFmtId="0" fontId="9" fillId="5" borderId="2" xfId="0" applyNumberFormat="1" applyFont="1" applyFill="1" applyBorder="1" applyAlignment="1">
      <x:alignment horizontal="left" vertical="bottom"/>
    </x:xf>
    <x:xf numFmtId="0" fontId="5" fillId="4" borderId="0" xfId="0" applyNumberFormat="1" applyFont="1" applyFill="1" applyBorder="1" applyAlignment="1">
      <x:alignment horizontal="left" vertical="bottom"/>
    </x:xf>
    <x:xf numFmtId="0" fontId="9" fillId="5" borderId="2" xfId="0" applyNumberFormat="1" applyFont="1" applyFill="1" applyBorder="1" applyAlignment="1">
      <x:alignment horizontal="right" vertical="bottom"/>
    </x:xf>
    <x:xf numFmtId="166" fontId="5" fillId="4" borderId="0" xfId="0" applyNumberFormat="1" applyFont="1" applyFill="1" applyBorder="1" applyAlignment="1">
      <x:alignment horizontal="right" vertical="bottom"/>
    </x:xf>
    <x:xf numFmtId="0" fontId="5" fillId="4" borderId="0" xfId="0" applyNumberFormat="1" applyFont="1" applyFill="1" applyBorder="1" applyAlignment="1">
      <x:alignment horizontal="right" vertical="bottom"/>
    </x:xf>
    <x:xf numFmtId="164" fontId="5" fillId="0" borderId="0" xfId="0" applyNumberFormat="1" applyFont="1" applyFill="1" applyBorder="1" applyAlignment="1">
      <x:alignment horizontal="right" vertical="bottom"/>
    </x:xf>
    <x:xf numFmtId="165" fontId="12" fillId="0" borderId="0" xfId="0" applyNumberFormat="1" applyFont="1" applyFill="1" applyBorder="1" applyAlignment="1">
      <x:alignment horizontal="right" vertical="bottom"/>
    </x:xf>
    <x:xf numFmtId="0" fontId="5" fillId="3" borderId="0" xfId="0" applyNumberFormat="1" applyFont="1" applyFill="1" applyBorder="1" applyAlignment="1">
      <x:alignment horizontal="right" vertical="bottom"/>
    </x:xf>
    <x:xf numFmtId="164" fontId="8" fillId="3" borderId="0" xfId="0" applyNumberFormat="1" applyFont="1" applyFill="1" applyBorder="1" applyAlignment="1">
      <x:alignment horizontal="right" vertical="bottom"/>
    </x:xf>
    <x:xf numFmtId="164" fontId="6" fillId="3" borderId="0" xfId="0" applyNumberFormat="1" applyFont="1" applyFill="1" applyBorder="1" applyAlignment="1">
      <x:alignment horizontal="right" vertical="bottom"/>
    </x:xf>
    <x:xf numFmtId="165" fontId="6" fillId="3" borderId="0" xfId="0" applyNumberFormat="1" applyFont="1" applyFill="1" applyBorder="1" applyAlignment="1">
      <x:alignment horizontal="right" vertical="bottom"/>
    </x:xf>
    <x:xf numFmtId="165" fontId="6" fillId="0" borderId="0" xfId="0" applyNumberFormat="1" applyFont="1" applyFill="1" applyBorder="1" applyAlignment="1">
      <x:alignment horizontal="right" vertical="bottom"/>
    </x:xf>
    <x:xf numFmtId="164" fontId="5" fillId="3" borderId="0" xfId="0" applyNumberFormat="1" applyFont="1" applyFill="1" applyBorder="1" applyAlignment="1">
      <x:alignment horizontal="right" vertical="bottom"/>
    </x:xf>
    <x:xf numFmtId="0" fontId="5" fillId="0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general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14ad232e44b75" /><Relationship Type="http://schemas.openxmlformats.org/officeDocument/2006/relationships/theme" Target="/xl/theme/theme1.xml" Id="R8a1d4f00ecb14e4a" /><Relationship Type="http://schemas.openxmlformats.org/officeDocument/2006/relationships/sharedStrings" Target="/xl/sharedStrings.xml" Id="R987428215ad343e6" /><Relationship Type="http://schemas.openxmlformats.org/officeDocument/2006/relationships/worksheet" Target="/xl/worksheets/sheet1.xml" Id="Rbec98c60663f44d9" /><Relationship Type="http://schemas.openxmlformats.org/officeDocument/2006/relationships/worksheet" Target="/xl/worksheets/sheet2.xml" Id="Rad05140f2b934619" /><Relationship Type="http://schemas.openxmlformats.org/officeDocument/2006/relationships/worksheet" Target="/xl/worksheets/sheet3.xml" Id="R38db047339b649ea" /><Relationship Type="http://schemas.openxmlformats.org/officeDocument/2006/relationships/worksheet" Target="/xl/worksheets/sheet4.xml" Id="R70404f3f3f0e438b" /><Relationship Type="http://schemas.openxmlformats.org/officeDocument/2006/relationships/worksheet" Target="/xl/worksheets/sheet5.xml" Id="Rb2f0b6c9872f4c6d" /><Relationship Type="http://schemas.openxmlformats.org/officeDocument/2006/relationships/worksheet" Target="/xl/worksheets/sheet6.xml" Id="R1090517d25854881" /><Relationship Type="http://schemas.openxmlformats.org/officeDocument/2006/relationships/worksheet" Target="/xl/worksheets/sheet7.xml" Id="R7ebb230747cf41b4" /><Relationship Type="http://schemas.openxmlformats.org/officeDocument/2006/relationships/worksheet" Target="/xl/worksheets/sheet8.xml" Id="Rd9855cd3e0d14e72" /><Relationship Type="http://schemas.openxmlformats.org/officeDocument/2006/relationships/worksheet" Target="/xl/worksheets/sheet9.xml" Id="R267e0585bf2a4347" /><Relationship Type="http://schemas.openxmlformats.org/officeDocument/2006/relationships/worksheet" Target="/xl/worksheets/sheet10.xml" Id="Raeb9e2cf81a9495f" /><Relationship Type="http://schemas.openxmlformats.org/officeDocument/2006/relationships/worksheet" Target="/xl/worksheets/sheet11.xml" Id="R0946bc4a9f2d4050" /><Relationship Type="http://schemas.openxmlformats.org/officeDocument/2006/relationships/worksheet" Target="/xl/worksheets/sheet12.xml" Id="R6d0ecddb41ae4490" /><Relationship Type="http://schemas.openxmlformats.org/officeDocument/2006/relationships/worksheet" Target="/xl/worksheets/sheet13.xml" Id="R0361a0def99e474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484ec421098468b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84ec42109846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f4192f02dae4e2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5" customWidth="1"/>
    <x:col min="3" max="3" width="42" customWidth="1"/>
    <x:col min="4" max="4" width="17" customWidth="1"/>
    <x:col min="5" max="5" width="15" customWidth="1"/>
    <x:col min="6" max="6" width="23" customWidth="1"/>
    <x:col min="7" max="8" width="12" customWidth="1"/>
    <x:col min="10" max="10" width="65" hidden="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1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/>
      <x:c r="C8" s="5"/>
      <x:c r="D8" s="5"/>
      <x:c r="E8" s="5"/>
      <x:c r="F8" s="5"/>
      <x:c r="G8" s="5"/>
      <x:c r="H8" s="21"/>
    </x:row>
    <x:row r="9">
      <x:c r="B9" s="12"/>
      <x:c r="C9" s="5"/>
      <x:c r="D9" s="5"/>
      <x:c r="E9" s="5"/>
      <x:c r="F9" s="5"/>
      <x:c r="G9" s="5"/>
      <x:c r="H9" s="21"/>
      <x:c r="J9" s="12" t="s">
        <x:v>12</x:v>
      </x:c>
    </x:row>
    <x:row r="10">
      <x:c r="B10" s="12" t="s">
        <x:v>13</x:v>
      </x:c>
      <x:c r="C10" s="53" t="s">
        <x:v>14</x:v>
      </x:c>
      <x:c r="D10" s="53" t="s">
        <x:v>15</x:v>
      </x:c>
      <x:c r="E10" s="53" t="s">
        <x:v>16</x:v>
      </x:c>
      <x:c r="F10" s="53" t="s">
        <x:v>17</x:v>
      </x:c>
      <x:c r="G10" s="5"/>
      <x:c r="H10" s="21"/>
      <x:c r="J10" s="12" t="s">
        <x:v>18</x:v>
      </x:c>
    </x:row>
    <x:row r="11">
      <x:c r="B11" s="16" t="s">
        <x:v>19</x:v>
      </x:c>
      <x:c r="C11" s="9" t="n">
        <x:f>'Income Statement'!H8</x:f>
        <x:v>629</x:v>
      </x:c>
      <x:c r="D11" s="9" t="n">
        <x:f>Inputs!C45</x:f>
        <x:v>629.85</x:v>
      </x:c>
      <x:c r="E11" s="11" t="n">
        <x:f>C11-D11</x:f>
        <x:v>-0.8500000000000227</x:v>
      </x:c>
      <x:c r="F11" s="9" t="n">
        <x:f>Guidance!J10</x:f>
        <x:v>618.442</x:v>
      </x:c>
      <x:c r="G11" s="11"/>
      <x:c r="H11" s="15"/>
      <x:c r="J11" s="12" t="s">
        <x:v>20</x:v>
      </x:c>
    </x:row>
    <x:row r="12">
      <x:c r="B12" s="16" t="s">
        <x:v>21</x:v>
      </x:c>
      <x:c r="C12" s="9" t="n">
        <x:f>'Income Statement'!H47</x:f>
        <x:v>157.473</x:v>
      </x:c>
      <x:c r="D12" s="9" t="n">
        <x:f>Inputs!C55</x:f>
        <x:v>154.84</x:v>
      </x:c>
      <x:c r="E12" s="11" t="n">
        <x:f>C12-D12</x:f>
        <x:v>2.6330000000000098</x:v>
      </x:c>
      <x:c r="F12" s="9" t="n">
        <x:f>Guidance!J11</x:f>
        <x:v>158.8889999999999</x:v>
      </x:c>
      <x:c r="G12" s="11"/>
      <x:c r="H12" s="15"/>
      <x:c r="J12" s="12" t="s">
        <x:v>22</x:v>
      </x:c>
    </x:row>
    <x:row r="13">
      <x:c r="B13" s="16" t="s">
        <x:v>23</x:v>
      </x:c>
      <x:c r="C13" s="32" t="n">
        <x:f>'Income Statement'!H48</x:f>
        <x:v>4.411013345673216</x:v>
      </x:c>
      <x:c r="D13" s="32" t="n">
        <x:f>Inputs!C28</x:f>
        <x:v>4.35</x:v>
      </x:c>
      <x:c r="E13" s="29" t="n">
        <x:f>C13-D13</x:f>
        <x:v>0.06101334567321626</x:v>
      </x:c>
      <x:c r="F13" s="32" t="n">
        <x:f>Guidance!J13</x:f>
        <x:v>4</x:v>
      </x:c>
      <x:c r="G13" s="29"/>
      <x:c r="H13" s="40"/>
    </x:row>
    <x:row r="14">
      <x:c r="B14" s="16" t="s">
        <x:v>24</x:v>
      </x:c>
      <x:c r="C14" s="9" t="n">
        <x:f>'Income Statement'!H24</x:f>
        <x:v>140.37300000000002</x:v>
      </x:c>
      <x:c r="D14" s="9" t="n">
        <x:f>Inputs!C56</x:f>
        <x:v>138.98</x:v>
      </x:c>
      <x:c r="E14" s="11" t="n">
        <x:f>C14-D14</x:f>
        <x:v>1.393000000000029</x:v>
      </x:c>
      <x:c r="F14" s="9" t="n">
        <x:f>Guidance!J12</x:f>
        <x:v>156.14600000000002</x:v>
      </x:c>
      <x:c r="G14" s="11"/>
      <x:c r="H14" s="15"/>
    </x:row>
    <x:row r="15">
      <x:c r="B15" s="16" t="s">
        <x:v>25</x:v>
      </x:c>
      <x:c r="C15" s="32" t="n">
        <x:f>'Income Statement'!H30</x:f>
        <x:v>3.9320212123486975</x:v>
      </x:c>
      <x:c r="D15" s="32" t="n">
        <x:f>Inputs!C37</x:f>
        <x:v>3.91</x:v>
      </x:c>
      <x:c r="E15" s="29" t="n">
        <x:f>C15-D15</x:f>
        <x:v>0.02202121234869736</x:v>
      </x:c>
      <x:c r="F15" s="32" t="n">
        <x:f>Guidance!J14</x:f>
        <x:v>3.9399999999999995</x:v>
      </x:c>
      <x:c r="G15" s="29"/>
      <x:c r="H15" s="40"/>
    </x:row>
    <x:row r="16">
      <x:c r="B16" s="16" t="str">
        <x:v>Selected arithmetic checks</x:v>
      </x:c>
      <x:c r="C16" s="9" t="str">
        <x:f>IF(AND(ABS('Revenue summary'!H38)&lt;0.00001,ABS('Balance Sheet'!H36)&lt;0.00001,ABS('Cash Flow Statement'!H36)&lt;0.00001,ABS(Geo!H12)&lt;0.00001,ABS(Geo!H20)&lt;0.00001,ABS('Income Statement'!H31)&lt;0.00001),"Ties","Review")</x:f>
        <x:v>Ties</x:v>
      </x:c>
      <x:c r="D16" s="11"/>
      <x:c r="E16" s="11"/>
      <x:c r="F16" s="11"/>
      <x:c r="G16" s="11"/>
      <x:c r="H16" s="15"/>
    </x:row>
    <x:row r="17">
      <x:c r="B17" s="12" t="s">
        <x:v>26</x:v>
      </x:c>
      <x:c r="C17" s="20">
        <x:v>0.69</x:v>
      </x:c>
      <x:c r="D17" s="7"/>
      <x:c r="E17" s="7"/>
      <x:c r="F17" s="7"/>
      <x:c r="G17" s="7"/>
      <x:c r="H17" s="17"/>
    </x:row>
    <x:row r="18">
      <x:c r="B18" s="12" t="s">
        <x:v>27</x:v>
      </x:c>
      <x:c r="C18" s="5" t="s">
        <x:v>28</x:v>
      </x:c>
      <x:c r="D18" s="5"/>
      <x:c r="E18" s="5"/>
      <x:c r="F18" s="5"/>
      <x:c r="G18" s="5"/>
      <x:c r="H18" s="21"/>
    </x:row>
    <x:row r="19">
      <x:c r="B19" s="12"/>
      <x:c r="C19" s="5"/>
      <x:c r="D19" s="5"/>
      <x:c r="E19" s="5"/>
      <x:c r="F19" s="5"/>
      <x:c r="G19" s="5"/>
      <x:c r="H19" s="21"/>
    </x:row>
    <x:row r="20">
      <x:c r="B20" s="12"/>
      <x:c r="C20" s="5"/>
      <x:c r="D20" s="5"/>
      <x:c r="E20" s="5"/>
      <x:c r="F20" s="5"/>
      <x:c r="G20" s="5"/>
      <x:c r="H20" s="21"/>
    </x:row>
    <x:row r="21">
      <x:c r="B21" s="12" t="s">
        <x:v>29</x:v>
      </x:c>
      <x:c r="C21" s="5" t="s">
        <x:v>30</x:v>
      </x:c>
      <x:c r="D21" s="5"/>
      <x:c r="E21" s="5"/>
      <x:c r="F21" s="5"/>
      <x:c r="G21" s="5"/>
      <x:c r="H21" s="21"/>
    </x:row>
    <x:row r="22">
      <x:c r="B22" s="12" t="s">
        <x:v>31</x:v>
      </x:c>
      <x:c r="C22" s="5" t="s">
        <x:v>0</x:v>
      </x:c>
      <x:c r="D22" s="5"/>
      <x:c r="E22" s="5"/>
      <x:c r="F22" s="5"/>
      <x:c r="G22" s="5"/>
      <x:c r="H22" s="21"/>
    </x:row>
    <x:row r="23">
      <x:c r="B23" s="12" t="s">
        <x:v>32</x:v>
      </x:c>
      <x:c r="C23" s="5" t="s">
        <x:v>33</x:v>
      </x:c>
      <x:c r="D23" s="5"/>
      <x:c r="E23" s="5"/>
      <x:c r="F23" s="5"/>
      <x:c r="G23" s="5"/>
      <x:c r="H23" s="21"/>
    </x:row>
    <x:row r="24">
      <x:c r="B24" s="12" t="s">
        <x:v>34</x:v>
      </x:c>
      <x:c r="C24" s="5" t="s">
        <x:v>35</x:v>
      </x:c>
      <x:c r="D24" s="5"/>
      <x:c r="E24" s="5"/>
      <x:c r="F24" s="5"/>
      <x:c r="G24" s="5"/>
      <x:c r="H24" s="21"/>
    </x:row>
    <x:row r="25">
      <x:c r="B25" s="12" t="s">
        <x:v>36</x:v>
      </x:c>
      <x:c r="C25" s="5" t="s">
        <x:v>37</x:v>
      </x:c>
      <x:c r="D25" s="5"/>
      <x:c r="E25" s="5"/>
      <x:c r="F25" s="5"/>
      <x:c r="G25" s="5"/>
      <x:c r="H25" s="21"/>
    </x:row>
    <x:row r="26">
      <x:c r="B26" s="12" t="s">
        <x:v>38</x:v>
      </x:c>
      <x:c r="C26" s="5" t="s">
        <x:v>39</x:v>
      </x:c>
      <x:c r="D26" s="5"/>
      <x:c r="E26" s="5"/>
      <x:c r="F26" s="5"/>
      <x:c r="G26" s="5"/>
      <x:c r="H26" s="21"/>
    </x:row>
    <x:row r="27">
      <x:c r="B27" s="12" t="s">
        <x:v>40</x:v>
      </x:c>
      <x:c r="C27" s="5" t="s">
        <x:v>41</x:v>
      </x:c>
      <x:c r="D27" s="5"/>
      <x:c r="E27" s="5"/>
      <x:c r="F27" s="5"/>
      <x:c r="G27" s="5"/>
      <x:c r="H27" s="21"/>
    </x:row>
    <x:row r="28">
      <x:c r="B28" s="12" t="s">
        <x:v>42</x:v>
      </x:c>
      <x:c r="C28" s="18">
        <x:v>46295</x:v>
      </x:c>
      <x:c r="D28" s="5"/>
      <x:c r="E28" s="5"/>
      <x:c r="F28" s="5"/>
      <x:c r="G28" s="5"/>
      <x:c r="H28" s="21"/>
    </x:row>
    <x:row r="29">
      <x:c r="B29" s="12"/>
      <x:c r="C29" s="5"/>
      <x:c r="D29" s="5"/>
      <x:c r="E29" s="5"/>
      <x:c r="F29" s="5"/>
      <x:c r="G29" s="5"/>
      <x:c r="H29" s="21"/>
    </x:row>
    <x:row r="30">
      <x:c r="B30" s="12"/>
      <x:c r="C30" s="5"/>
      <x:c r="D30" s="5"/>
      <x:c r="E30" s="5"/>
      <x:c r="F30" s="5"/>
      <x:c r="G30" s="5"/>
      <x:c r="H30" s="21"/>
    </x:row>
    <x:row r="31">
      <x:c r="B31" s="12"/>
      <x:c r="C31" s="5"/>
      <x:c r="D31" s="5"/>
      <x:c r="E31" s="5"/>
      <x:c r="F31" s="5"/>
      <x:c r="G31" s="5"/>
      <x:c r="H31" s="21"/>
    </x:row>
    <x:row r="32">
      <x:c r="B32" s="12"/>
      <x:c r="C32" s="5"/>
      <x:c r="D32" s="5"/>
      <x:c r="E32" s="5"/>
      <x:c r="F32" s="5"/>
      <x:c r="G32" s="5"/>
      <x:c r="H32" s="21"/>
    </x:row>
    <x:row r="38" ht="48" customHeight="1">
      <x:c r="J38" s="62" t="str">
        <x:v>EPS calculations reviewed and confirmed errors repaired. Supplemental statements and judgmental assumptions have limitations detailed in Sources. Arithmetic ties are not independent source verification.</x:v>
      </x:c>
    </x:row>
  </x:sheetData>
  <x:pageMargins left="0.7" right="0.7" top="0.75" bottom="0.75" header="0.3" footer="0.3"/>
  <x:drawing xmlns:r="http://schemas.openxmlformats.org/officeDocument/2006/relationships" r:id="R1f4192f02dae4e2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43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44</x:v>
      </x:c>
      <x:c r="C8" s="4" t="n">
        <x:f>'Segment - Americas'!C44</x:f>
        <x:v>388.704</x:v>
      </x:c>
      <x:c r="D8" s="4" t="n">
        <x:f>'Segment - Americas'!D44</x:f>
        <x:v>1506.108</x:v>
      </x:c>
      <x:c r="E8" s="4" t="n">
        <x:f>'Segment - Americas'!E44</x:f>
        <x:v>396.176</x:v>
      </x:c>
      <x:c r="F8" s="4" t="n">
        <x:f>'Segment - Americas'!F44</x:f>
        <x:v>399.683</x:v>
      </x:c>
      <x:c r="G8" s="4" t="n">
        <x:f>'Segment - Americas'!G44</x:f>
        <x:v>407.24</x:v>
      </x:c>
      <x:c r="H8" s="6" t="n">
        <x:f>'Segment - Americas'!H44</x:f>
        <x:v>413</x:v>
      </x:c>
    </x:row>
    <x:row r="9">
      <x:c r="B9" s="7" t="s">
        <x:v>45</x:v>
      </x:c>
      <x:c r="C9" s="13" t="n">
        <x:f>'Segment - Americas'!C45</x:f>
        <x:v>0.053</x:v>
      </x:c>
      <x:c r="D9" s="7"/>
      <x:c r="E9" s="13" t="n">
        <x:f>'Segment - Americas'!E45</x:f>
        <x:v>0.065</x:v>
      </x:c>
      <x:c r="F9" s="13" t="n">
        <x:f>'Segment - Americas'!F45</x:f>
        <x:v>0.074</x:v>
      </x:c>
      <x:c r="G9" s="13" t="n">
        <x:f>'Segment - Americas'!G45</x:f>
        <x:v>0.07027421016083357</x:v>
      </x:c>
      <x:c r="H9" s="35" t="n">
        <x:f>'Segment - Americas'!H45</x:f>
        <x:v>0.06250514530336715</x:v>
      </x:c>
    </x:row>
    <x:row r="10">
      <x:c r="B10" s="7" t="s">
        <x:v>46</x:v>
      </x:c>
      <x:c r="C10" s="7"/>
      <x:c r="D10" s="7"/>
      <x:c r="E10" s="7"/>
      <x:c r="F10" s="7"/>
      <x:c r="G10" s="13" t="n">
        <x:f>'Segment - Americas'!G46</x:f>
        <x:v>-0.001</x:v>
      </x:c>
      <x:c r="H10" s="35" t="n">
        <x:f>'Segment - Americas'!H46</x:f>
        <x:v>0</x:v>
      </x:c>
    </x:row>
    <x:row r="11">
      <x:c r="B11" s="7" t="s">
        <x:v>47</x:v>
      </x:c>
      <x:c r="C11" s="7"/>
      <x:c r="D11" s="7"/>
      <x:c r="E11" s="7"/>
      <x:c r="F11" s="7"/>
      <x:c r="G11" s="13" t="n">
        <x:f>'Segment - Americas'!G47</x:f>
        <x:v>0.001</x:v>
      </x:c>
      <x:c r="H11" s="35" t="n">
        <x:f>'Segment - Americas'!H47</x:f>
        <x:v>0</x:v>
      </x:c>
    </x:row>
    <x:row r="12">
      <x:c r="B12" s="12" t="s">
        <x:v>48</x:v>
      </x:c>
      <x:c r="C12" s="7"/>
      <x:c r="D12" s="7"/>
      <x:c r="E12" s="7"/>
      <x:c r="F12" s="7"/>
      <x:c r="G12" s="13" t="n">
        <x:f>'Segment - Americas'!G48</x:f>
        <x:v>0.0702731398866232</x:v>
      </x:c>
      <x:c r="H12" s="17" t="n">
        <x:f>H8/C8-1</x:f>
        <x:v>0.06250514530336715</x:v>
      </x:c>
    </x:row>
    <x:row r="13">
      <x:c r="B13" s="12" t="s">
        <x:v>49</x:v>
      </x:c>
      <x:c r="C13" s="7"/>
      <x:c r="D13" s="7"/>
      <x:c r="E13" s="7" t="n">
        <x:f>E8/C8-1</x:f>
        <x:v>0.01922285337943519</x:v>
      </x:c>
      <x:c r="F13" s="7" t="n">
        <x:f>F8/E8-1</x:f>
        <x:v>0.008852126327692833</x:v>
      </x:c>
      <x:c r="G13" s="7" t="n">
        <x:f>G8/F8-1</x:f>
        <x:v>0.018907484181213574</x:v>
      </x:c>
      <x:c r="H13" s="17" t="n">
        <x:f>H8/G8-1</x:f>
        <x:v>0.014143993713780612</x:v>
      </x:c>
    </x:row>
    <x:row r="14">
      <x:c r="B14" s="12" t="s">
        <x:v>50</x:v>
      </x:c>
      <x:c r="C14" s="7" t="n">
        <x:f>C8/C32</x:f>
        <x:v>0.6512034659013807</x:v>
      </x:c>
      <x:c r="D14" s="7" t="n">
        <x:f>D8/D32</x:f>
        <x:v>0.6486957240837508</x:v>
      </x:c>
      <x:c r="E14" s="7" t="n">
        <x:f>E8/E32</x:f>
        <x:v>0.6520116980815344</x:v>
      </x:c>
      <x:c r="F14" s="7" t="n">
        <x:f>F8/F32</x:f>
        <x:v>0.6541253217985038</x:v>
      </x:c>
      <x:c r="G14" s="7" t="n">
        <x:f>G8/G32</x:f>
        <x:v>0.6537618113459556</x:v>
      </x:c>
      <x:c r="H14" s="17" t="n">
        <x:f>H8/H32</x:f>
        <x:v>0.6565977742448331</x:v>
      </x:c>
    </x:row>
    <x:row r="15">
      <x:c r="B15" s="12" t="s">
        <x:v>51</x:v>
      </x:c>
      <x:c r="C15" s="4" t="n">
        <x:f>'Segment - EMEA'!C44</x:f>
        <x:v>147.431</x:v>
      </x:c>
      <x:c r="D15" s="4" t="n">
        <x:f>'Segment - EMEA'!D44</x:f>
        <x:v>580.284</x:v>
      </x:c>
      <x:c r="E15" s="4" t="n">
        <x:f>'Segment - EMEA'!E44</x:f>
        <x:v>149.517</x:v>
      </x:c>
      <x:c r="F15" s="4" t="n">
        <x:f>'Segment - EMEA'!F44</x:f>
        <x:v>149.12</x:v>
      </x:c>
      <x:c r="G15" s="4" t="n">
        <x:f>'Segment - EMEA'!G44</x:f>
        <x:v>151.94</x:v>
      </x:c>
      <x:c r="H15" s="6" t="n">
        <x:f>'Segment - EMEA'!H44</x:f>
        <x:v>152.5</x:v>
      </x:c>
    </x:row>
    <x:row r="16">
      <x:c r="B16" s="7" t="s">
        <x:v>45</x:v>
      </x:c>
      <x:c r="C16" s="13" t="n">
        <x:f>'Segment - EMEA'!C45</x:f>
        <x:v>0.017</x:v>
      </x:c>
      <x:c r="D16" s="7"/>
      <x:c r="E16" s="13" t="n">
        <x:f>'Segment - EMEA'!E45</x:f>
        <x:v>0.04</x:v>
      </x:c>
      <x:c r="F16" s="13" t="n">
        <x:f>'Segment - EMEA'!F45</x:f>
        <x:v>0.04</x:v>
      </x:c>
      <x:c r="G16" s="13" t="n">
        <x:f>'Segment - EMEA'!G45</x:f>
        <x:v>0.05314479268323091</x:v>
      </x:c>
      <x:c r="H16" s="35" t="n">
        <x:f>'Segment - EMEA'!H45</x:f>
        <x:v>0.03438218556477257</x:v>
      </x:c>
      <x:c r="J16" s="12" t="s">
        <x:v>52</x:v>
      </x:c>
    </x:row>
    <x:row r="17">
      <x:c r="B17" s="7" t="s">
        <x:v>46</x:v>
      </x:c>
      <x:c r="C17" s="7"/>
      <x:c r="D17" s="7"/>
      <x:c r="E17" s="7"/>
      <x:c r="F17" s="7"/>
      <x:c r="G17" s="13" t="n">
        <x:f>'Segment - EMEA'!G46</x:f>
        <x:v>-0.015</x:v>
      </x:c>
      <x:c r="H17" s="35" t="n">
        <x:f>'Segment - EMEA'!H46</x:f>
        <x:v>0</x:v>
      </x:c>
      <x:c r="J17" s="12"/>
    </x:row>
    <x:row r="18">
      <x:c r="B18" s="7" t="s">
        <x:v>47</x:v>
      </x:c>
      <x:c r="C18" s="7"/>
      <x:c r="D18" s="7"/>
      <x:c r="E18" s="7"/>
      <x:c r="F18" s="7"/>
      <x:c r="G18" s="13" t="n">
        <x:f>'Segment - EMEA'!G47</x:f>
        <x:v>0.005</x:v>
      </x:c>
      <x:c r="H18" s="35" t="n">
        <x:f>'Segment - EMEA'!H47</x:f>
        <x:v>0</x:v>
      </x:c>
      <x:c r="J18" s="12"/>
    </x:row>
    <x:row r="19">
      <x:c r="B19" s="12" t="s">
        <x:v>48</x:v>
      </x:c>
      <x:c r="C19" s="7"/>
      <x:c r="D19" s="7"/>
      <x:c r="E19" s="7"/>
      <x:c r="F19" s="7"/>
      <x:c r="G19" s="13" t="n">
        <x:f>'Segment - EMEA'!G48</x:f>
        <x:v>0.04253435889694712</x:v>
      </x:c>
      <x:c r="H19" s="17" t="n">
        <x:f>H15/C15-1</x:f>
        <x:v>0.03438218556477257</x:v>
      </x:c>
      <x:c r="J19" s="12"/>
    </x:row>
    <x:row r="20">
      <x:c r="B20" s="12" t="s">
        <x:v>49</x:v>
      </x:c>
      <x:c r="C20" s="7"/>
      <x:c r="D20" s="7"/>
      <x:c r="E20" s="7" t="n">
        <x:f>E15/C15-1</x:f>
        <x:v>0.014148991731725236</x:v>
      </x:c>
      <x:c r="F20" s="7" t="n">
        <x:f>F15/E15-1</x:f>
        <x:v>-0.0026552164636796105</x:v>
      </x:c>
      <x:c r="G20" s="7" t="n">
        <x:f>G15/F15-1</x:f>
        <x:v>0.018910944206008473</x:v>
      </x:c>
      <x:c r="H20" s="17" t="n">
        <x:f>H15/G15-1</x:f>
        <x:v>0.0036856653942345385</x:v>
      </x:c>
      <x:c r="J20" s="12"/>
    </x:row>
    <x:row r="21">
      <x:c r="B21" s="12" t="s">
        <x:v>50</x:v>
      </x:c>
      <x:c r="C21" s="7" t="n">
        <x:f>C15/C32</x:f>
        <x:v>0.2469940576410494</x:v>
      </x:c>
      <x:c r="D21" s="7" t="n">
        <x:f>D15/D32</x:f>
        <x:v>0.2499341013753431</x:v>
      </x:c>
      <x:c r="E21" s="7" t="n">
        <x:f>E15/E32</x:f>
        <x:v>0.24606950714343315</x:v>
      </x:c>
      <x:c r="F21" s="7" t="n">
        <x:f>F15/F32</x:f>
        <x:v>0.2440513306460192</x:v>
      </x:c>
      <x:c r="G21" s="7" t="n">
        <x:f>G15/G32</x:f>
        <x:v>0.24391653476059444</x:v>
      </x:c>
      <x:c r="H21" s="17" t="n">
        <x:f>H15/H32</x:f>
        <x:v>0.2424483306836248</x:v>
      </x:c>
      <x:c r="J21" s="12"/>
    </x:row>
    <x:row r="22">
      <x:c r="B22" s="12" t="s">
        <x:v>53</x:v>
      </x:c>
      <x:c r="C22" s="4" t="n">
        <x:f>'Segment - Asia Pacific'!C44</x:f>
        <x:v>60.766</x:v>
      </x:c>
      <x:c r="D22" s="4" t="n">
        <x:f>'Segment - Asia Pacific'!D44</x:f>
        <x:v>235.356</x:v>
      </x:c>
      <x:c r="E22" s="4" t="n">
        <x:f>'Segment - Asia Pacific'!E44</x:f>
        <x:v>61.928</x:v>
      </x:c>
      <x:c r="F22" s="4" t="n">
        <x:f>'Segment - Asia Pacific'!F44</x:f>
        <x:v>62.216</x:v>
      </x:c>
      <x:c r="G22" s="4" t="n">
        <x:f>'Segment - Asia Pacific'!G44</x:f>
        <x:v>63.738</x:v>
      </x:c>
      <x:c r="H22" s="6" t="n">
        <x:f>'Segment - Asia Pacific'!H44</x:f>
        <x:v>63.5</x:v>
      </x:c>
      <x:c r="J22" s="12"/>
    </x:row>
    <x:row r="23">
      <x:c r="B23" s="7" t="s">
        <x:v>45</x:v>
      </x:c>
      <x:c r="C23" s="13" t="n">
        <x:f>'Segment - Asia Pacific'!C45</x:f>
        <x:v>0.059</x:v>
      </x:c>
      <x:c r="D23" s="7"/>
      <x:c r="E23" s="13" t="n">
        <x:f>'Segment - Asia Pacific'!E45</x:f>
        <x:v>0.083</x:v>
      </x:c>
      <x:c r="F23" s="13" t="n">
        <x:f>'Segment - Asia Pacific'!F45</x:f>
        <x:v>0.097</x:v>
      </x:c>
      <x:c r="G23" s="13" t="n">
        <x:f>'Segment - Asia Pacific'!G45</x:f>
        <x:v>0.1082650028440566</x:v>
      </x:c>
      <x:c r="H23" s="35" t="n">
        <x:f>'Segment - Asia Pacific'!H45</x:f>
        <x:v>0.04499226541157886</x:v>
      </x:c>
      <x:c r="J23" s="12"/>
    </x:row>
    <x:row r="24">
      <x:c r="B24" s="7" t="s">
        <x:v>46</x:v>
      </x:c>
      <x:c r="C24" s="7"/>
      <x:c r="D24" s="7"/>
      <x:c r="E24" s="7"/>
      <x:c r="F24" s="7"/>
      <x:c r="G24" s="13" t="n">
        <x:f>'Segment - Asia Pacific'!G46</x:f>
        <x:v>-0.02</x:v>
      </x:c>
      <x:c r="H24" s="35" t="n">
        <x:f>'Segment - Asia Pacific'!H46</x:f>
        <x:v>0</x:v>
      </x:c>
      <x:c r="J24" s="12"/>
    </x:row>
    <x:row r="25">
      <x:c r="B25" s="7" t="s">
        <x:v>47</x:v>
      </x:c>
      <x:c r="C25" s="7"/>
      <x:c r="D25" s="7"/>
      <x:c r="E25" s="7"/>
      <x:c r="F25" s="7"/>
      <x:c r="G25" s="13" t="n">
        <x:f>'Segment - Asia Pacific'!G47</x:f>
        <x:v>-0.01</x:v>
      </x:c>
      <x:c r="H25" s="35" t="n">
        <x:f>'Segment - Asia Pacific'!H47</x:f>
        <x:v>0</x:v>
      </x:c>
      <x:c r="J25" s="12"/>
    </x:row>
    <x:row r="26">
      <x:c r="B26" s="12" t="s">
        <x:v>48</x:v>
      </x:c>
      <x:c r="C26" s="7"/>
      <x:c r="D26" s="7"/>
      <x:c r="E26" s="7"/>
      <x:c r="F26" s="7"/>
      <x:c r="G26" s="13" t="n">
        <x:f>'Segment - Asia Pacific'!G48</x:f>
        <x:v>0.07523870575930358</x:v>
      </x:c>
      <x:c r="H26" s="17" t="n">
        <x:f>H22/C22-1</x:f>
        <x:v>0.04499226541157886</x:v>
      </x:c>
      <x:c r="J26" s="12"/>
    </x:row>
    <x:row r="27">
      <x:c r="B27" s="12" t="s">
        <x:v>49</x:v>
      </x:c>
      <x:c r="C27" s="7"/>
      <x:c r="D27" s="7"/>
      <x:c r="E27" s="7" t="n">
        <x:f>E22/C22-1</x:f>
        <x:v>0.019122535628476545</x:v>
      </x:c>
      <x:c r="F27" s="7" t="n">
        <x:f>F22/E22-1</x:f>
        <x:v>0.004650561942901588</x:v>
      </x:c>
      <x:c r="G27" s="7" t="n">
        <x:f>G22/F22-1</x:f>
        <x:v>0.024463160601774447</x:v>
      </x:c>
      <x:c r="H27" s="17" t="n">
        <x:f>H22/G22-1</x:f>
        <x:v>-0.0037340362107376457</x:v>
      </x:c>
      <x:c r="J27" s="12"/>
    </x:row>
    <x:row r="28">
      <x:c r="B28" s="12" t="s">
        <x:v>50</x:v>
      </x:c>
      <x:c r="C28" s="7" t="n">
        <x:f>C22/C32</x:f>
        <x:v>0.10180247645757003</x:v>
      </x:c>
      <x:c r="D28" s="7" t="n">
        <x:f>D22/D32</x:f>
        <x:v>0.10137017454090626</x:v>
      </x:c>
      <x:c r="E28" s="7" t="n">
        <x:f>E22/E32</x:f>
        <x:v>0.10191879477503246</x:v>
      </x:c>
      <x:c r="F28" s="7" t="n">
        <x:f>F22/F32</x:f>
        <x:v>0.10182334755547699</x:v>
      </x:c>
      <x:c r="G28" s="7" t="n">
        <x:f>G22/G32</x:f>
        <x:v>0.10232165389344984</x:v>
      </x:c>
      <x:c r="H28" s="17" t="n">
        <x:f>H22/H32</x:f>
        <x:v>0.10095389507154214</x:v>
      </x:c>
      <x:c r="J28" s="12"/>
    </x:row>
    <x:row r="29">
      <x:c r="B29" s="12" t="s">
        <x:v>54</x:v>
      </x:c>
      <x:c r="C29" s="4" t="n">
        <x:f>SUM('Segment - Americas'!C20,'Segment - EMEA'!C20,'Segment - Asia Pacific'!C20)</x:f>
        <x:v>2405.6</x:v>
      </x:c>
      <x:c r="D29" s="4" t="n">
        <x:f>SUM('Segment - Americas'!D20,'Segment - EMEA'!D20,'Segment - Asia Pacific'!D20)</x:f>
        <x:v>2405.6</x:v>
      </x:c>
      <x:c r="E29" s="4" t="n">
        <x:f>SUM('Segment - Americas'!E20,'Segment - EMEA'!E20,'Segment - Asia Pacific'!E20)</x:f>
        <x:v>2411.1000000000004</x:v>
      </x:c>
      <x:c r="F29" s="4" t="n">
        <x:f>SUM('Segment - Americas'!F20,'Segment - EMEA'!F20,'Segment - Asia Pacific'!F20)</x:f>
        <x:v>2450.2000000000003</x:v>
      </x:c>
      <x:c r="G29" s="4" t="n">
        <x:f>SUM('Segment - Americas'!G20,'Segment - EMEA'!G20,'Segment - Asia Pacific'!G20)</x:f>
        <x:v>2484.2999999999997</x:v>
      </x:c>
      <x:c r="H29" s="6" t="n">
        <x:f>SUM('Segment - Americas'!H20,'Segment - EMEA'!H20,'Segment - Asia Pacific'!H20)</x:f>
        <x:v>2528.2999999999997</x:v>
      </x:c>
      <x:c r="J29" s="12"/>
    </x:row>
    <x:row r="30">
      <x:c r="B30" s="12" t="s">
        <x:v>55</x:v>
      </x:c>
      <x:c r="C30" s="7"/>
      <x:c r="D30" s="7"/>
      <x:c r="E30" s="7"/>
      <x:c r="F30" s="7"/>
      <x:c r="G30" s="13" t="n">
        <x:f>G29/Inputs!C98-1</x:f>
        <x:v>0.0638944798937946</x:v>
      </x:c>
      <x:c r="H30" s="35" t="n">
        <x:f>H29/Inputs!C99-1</x:f>
        <x:v>0.051005986032590656</x:v>
      </x:c>
      <x:c r="J30" s="12"/>
    </x:row>
    <x:row r="31">
      <x:c r="B31" s="12" t="s">
        <x:v>56</x:v>
      </x:c>
      <x:c r="C31" s="5"/>
      <x:c r="D31" s="5"/>
      <x:c r="E31" s="5" t="n">
        <x:f>E29-D29</x:f>
        <x:v>5.500000000000455</x:v>
      </x:c>
      <x:c r="F31" s="5" t="n">
        <x:f>F29-E29</x:f>
        <x:v>39.09999999999991</x:v>
      </x:c>
      <x:c r="G31" s="5" t="n">
        <x:f>G29-F29</x:f>
        <x:v>34.099999999999454</x:v>
      </x:c>
      <x:c r="H31" s="21" t="n">
        <x:f>H29-G29</x:f>
        <x:v>44</x:v>
      </x:c>
      <x:c r="J31" s="12"/>
    </x:row>
    <x:row r="32">
      <x:c r="B32" s="16" t="s">
        <x:v>57</x:v>
      </x:c>
      <x:c r="C32" s="11" t="n">
        <x:f>SUM(C8,C15,C22)</x:f>
        <x:v>596.901</x:v>
      </x:c>
      <x:c r="D32" s="11" t="n">
        <x:f>SUM(D8,D15,D22)</x:f>
        <x:v>2321.7479999999996</x:v>
      </x:c>
      <x:c r="E32" s="11" t="n">
        <x:f>SUM(E8,E15,E22)</x:f>
        <x:v>607.621</x:v>
      </x:c>
      <x:c r="F32" s="11" t="n">
        <x:f>SUM(F8,F15,F22)</x:f>
        <x:v>611.019</x:v>
      </x:c>
      <x:c r="G32" s="11" t="n">
        <x:f>SUM(G8,G15,G22)</x:f>
        <x:v>622.9180000000001</x:v>
      </x:c>
      <x:c r="H32" s="15" t="n">
        <x:f>SUM(H8,H15,H22)</x:f>
        <x:v>629</x:v>
      </x:c>
      <x:c r="J32" s="12"/>
    </x:row>
    <x:row r="33">
      <x:c r="B33" s="12" t="s">
        <x:v>58</x:v>
      </x:c>
      <x:c r="C33" s="7"/>
      <x:c r="D33" s="13" t="n">
        <x:f>D32/Inputs!C85-1</x:f>
        <x:v>0.05387607033139408</x:v>
      </x:c>
      <x:c r="E33" s="13" t="n">
        <x:f>E32/Inputs!C86-1</x:f>
        <x:v>0.06850054601374778</x:v>
      </x:c>
      <x:c r="F33" s="13" t="n">
        <x:f>F32/Inputs!C87-1</x:f>
        <x:v>0.0707233729365997</x:v>
      </x:c>
      <x:c r="G33" s="13" t="n">
        <x:f>G32/Inputs!H11-1</x:f>
        <x:v>0.06387143052329569</x:v>
      </x:c>
      <x:c r="H33" s="17" t="n">
        <x:f>H32/C32-1</x:f>
        <x:v>0.05377608682176782</x:v>
      </x:c>
      <x:c r="J33" s="12"/>
    </x:row>
    <x:row r="34">
      <x:c r="B34" s="12" t="s">
        <x:v>49</x:v>
      </x:c>
      <x:c r="C34" s="7"/>
      <x:c r="D34" s="7"/>
      <x:c r="E34" s="7" t="n">
        <x:f>E32/C32-1</x:f>
        <x:v>0.01795942710767795</x:v>
      </x:c>
      <x:c r="F34" s="7" t="n">
        <x:f>F32/E32-1</x:f>
        <x:v>0.00559230178022152</x:v>
      </x:c>
      <x:c r="G34" s="7" t="n">
        <x:f>G32/F32-1</x:f>
        <x:v>0.019474026175945625</x:v>
      </x:c>
      <x:c r="H34" s="17" t="n">
        <x:f>H32/G32-1</x:f>
        <x:v>0.009763724920454742</x:v>
      </x:c>
      <x:c r="J34" s="12"/>
    </x:row>
    <x:row r="35">
      <x:c r="B35" s="12" t="s">
        <x:v>45</x:v>
      </x:c>
      <x:c r="C35" s="20">
        <x:v>0.045</x:v>
      </x:c>
      <x:c r="D35" s="20">
        <x:v>0.044</x:v>
      </x:c>
      <x:c r="E35" s="20">
        <x:v>0.06</x:v>
      </x:c>
      <x:c r="F35" s="20">
        <x:v>0.068</x:v>
      </x:c>
      <x:c r="G35" s="20">
        <x:v>0.07</x:v>
      </x:c>
      <x:c r="H35" s="17" t="n">
        <x:f>(1+H33)/((1+H36)*(1+H37))-1</x:f>
        <x:v>0.05377608682176782</x:v>
      </x:c>
      <x:c r="J35" s="12" t="s">
        <x:v>59</x:v>
      </x:c>
    </x:row>
    <x:row r="36">
      <x:c r="B36" s="12" t="s">
        <x:v>60</x:v>
      </x:c>
      <x:c r="C36" s="7"/>
      <x:c r="D36" s="20">
        <x:v>0.009</x:v>
      </x:c>
      <x:c r="E36" s="20">
        <x:v>0.007</x:v>
      </x:c>
      <x:c r="F36" s="7"/>
      <x:c r="G36" s="7"/>
      <x:c r="H36" s="38">
        <x:v>0</x:v>
      </x:c>
      <x:c r="J36" s="12"/>
    </x:row>
    <x:row r="37">
      <x:c r="B37" s="12" t="s">
        <x:v>61</x:v>
      </x:c>
      <x:c r="C37" s="7"/>
      <x:c r="D37" s="20">
        <x:v>0.001</x:v>
      </x:c>
      <x:c r="E37" s="20">
        <x:v>0.002</x:v>
      </x:c>
      <x:c r="F37" s="7"/>
      <x:c r="G37" s="7"/>
      <x:c r="H37" s="38">
        <x:v>0</x:v>
      </x:c>
      <x:c r="J37" s="12"/>
    </x:row>
    <x:row r="38">
      <x:c r="B38" s="16" t="s">
        <x:v>62</x:v>
      </x:c>
      <x:c r="C38" s="11" t="n">
        <x:f>SUM(C8,C15,C22)-C32</x:f>
        <x:v>0</x:v>
      </x:c>
      <x:c r="D38" s="11" t="n">
        <x:f>SUM(D8,D15,D22)-D32</x:f>
        <x:v>0</x:v>
      </x:c>
      <x:c r="E38" s="11" t="n">
        <x:f>SUM(E8,E15,E22)-E32</x:f>
        <x:v>0</x:v>
      </x:c>
      <x:c r="F38" s="11" t="n">
        <x:f>SUM(F8,F15,F22)-F32</x:f>
        <x:v>0</x:v>
      </x:c>
      <x:c r="G38" s="11" t="n">
        <x:f>SUM(G8,G15,G22)-G32</x:f>
        <x:v>0</x:v>
      </x:c>
      <x:c r="H38" s="15" t="n">
        <x:f>SUM(H8,H15,H22)-H32</x:f>
        <x:v>0</x:v>
      </x:c>
      <x:c r="J38" s="12"/>
    </x:row>
    <x:row r="39">
      <x:c r="B39" s="12" t="s">
        <x:v>63</x:v>
      </x:c>
      <x:c r="C39" s="18">
        <x:v>9000</x:v>
      </x:c>
      <x:c r="D39" s="5"/>
      <x:c r="E39" s="5"/>
      <x:c r="F39" s="5"/>
      <x:c r="G39" s="18">
        <x:v>9130</x:v>
      </x:c>
      <x:c r="H39" s="6" t="n">
        <x:f>G39+Inputs!C120</x:f>
        <x:v>9250</x:v>
      </x:c>
      <x:c r="J39" s="12"/>
    </x:row>
    <x:row r="40">
      <x:c r="B40" t="s">
        <x:v>64</x:v>
      </x:c>
      <x:c r="C40" s="33"/>
      <x:c r="D40" s="33"/>
      <x:c r="E40" s="33"/>
      <x:c r="F40" s="33"/>
      <x:c r="G40" s="39" t="n">
        <x:f>G39/Inputs!C125-1</x:f>
        <x:v>0.0362047440699127</x:v>
      </x:c>
      <x:c r="H40" s="33" t="n">
        <x:f>H39/C39-1</x:f>
        <x:v>0.02777777777777768</x:v>
      </x:c>
      <x:c r="J40" s="12"/>
    </x:row>
    <x:row r="41">
      <x:c r="B41" t="s">
        <x:v>65</x:v>
      </x:c>
      <x:c r="H41" s="42" t="n">
        <x:f>H39-G39</x:f>
        <x:v>120</x:v>
      </x:c>
      <x:c r="J41" s="12"/>
    </x:row>
    <x:row r="42">
      <x:c r="B42" s="12" t="s">
        <x:v>66</x:v>
      </x:c>
      <x:c r="C42" s="5"/>
      <x:c r="D42" s="5"/>
      <x:c r="E42" s="5"/>
      <x:c r="F42" s="5"/>
      <x:c r="G42" s="18">
        <x:v>247766</x:v>
      </x:c>
      <x:c r="H42" s="6" t="n">
        <x:f>G42+Inputs!C121</x:f>
        <x:v>250266</x:v>
      </x:c>
      <x:c r="J42" s="12" t="s">
        <x:v>67</x:v>
      </x:c>
    </x:row>
    <x:row r="43">
      <x:c r="B43" t="s">
        <x:v>68</x:v>
      </x:c>
      <x:c r="C43" s="33"/>
      <x:c r="D43" s="33"/>
      <x:c r="E43" s="33"/>
      <x:c r="F43" s="33"/>
      <x:c r="G43" s="39" t="n">
        <x:f>G42/Inputs!C126-1</x:f>
        <x:v>0.1236757129381032</x:v>
      </x:c>
      <x:c r="H43" s="54" t="s">
        <x:v>69</x:v>
      </x:c>
      <x:c r="J43" s="12"/>
    </x:row>
    <x:row r="44">
      <x:c r="B44" t="s">
        <x:v>70</x:v>
      </x:c>
      <x:c r="H44" s="42" t="n">
        <x:f>H42-G42</x:f>
        <x:v>2500</x:v>
      </x:c>
      <x:c r="J44" s="12"/>
    </x:row>
    <x:row r="45">
      <x:c r="B45" s="12" t="s">
        <x:v>71</x:v>
      </x:c>
      <x:c r="C45" s="7"/>
      <x:c r="D45" s="7"/>
      <x:c r="E45" s="7"/>
      <x:c r="F45" s="7"/>
      <x:c r="G45" s="20">
        <x:v>0.95</x:v>
      </x:c>
      <x:c r="H45" s="17" t="n">
        <x:f>G45</x:f>
        <x:v>0.95</x:v>
      </x:c>
      <x:c r="J45" s="12"/>
    </x:row>
    <x:row r="46">
      <x:c r="B46" t="s">
        <x:v>72</x:v>
      </x:c>
      <x:c r="C46" s="34"/>
      <x:c r="D46" s="34"/>
      <x:c r="E46" s="34"/>
      <x:c r="F46" s="34"/>
      <x:c r="G46" s="34"/>
      <x:c r="H46" s="34" t="n">
        <x:f>(H45-G45)*10000</x:f>
        <x:v>0</x:v>
      </x:c>
      <x:c r="J46" s="12"/>
    </x:row>
    <x:row r="47">
      <x:c r="B47" s="12" t="s">
        <x:v>73</x:v>
      </x:c>
      <x:c r="C47" s="5" t="n">
        <x:f>C32*1000000/C39</x:f>
        <x:v>66322.33333333333</x:v>
      </x:c>
      <x:c r="D47" s="5"/>
      <x:c r="E47" s="5"/>
      <x:c r="F47" s="5"/>
      <x:c r="G47" s="5" t="n">
        <x:f>G32*1000000/G39</x:f>
        <x:v>68227.60131434831</x:v>
      </x:c>
      <x:c r="H47" s="21" t="n">
        <x:f>H32*1000000/H39</x:f>
        <x:v>68000</x:v>
      </x:c>
      <x:c r="J47" s="12"/>
    </x:row>
    <x:row r="48">
      <x:c r="B48" t="s">
        <x:v>74</x:v>
      </x:c>
      <x:c r="C48" s="33"/>
      <x:c r="D48" s="33"/>
      <x:c r="E48" s="33"/>
      <x:c r="F48" s="33"/>
      <x:c r="G48" s="33"/>
      <x:c r="H48" s="33" t="n">
        <x:f>H47/C47-1</x:f>
        <x:v>0.025295652042801153</x:v>
      </x:c>
      <x:c r="J48" s="12" t="s">
        <x:v>75</x:v>
      </x:c>
    </x:row>
    <x:row r="49">
      <x:c r="B49" t="s">
        <x:v>76</x:v>
      </x:c>
      <x:c r="H49" s="42" t="n">
        <x:f>H47-G47</x:f>
        <x:v>-227.6013143483142</x:v>
      </x:c>
      <x:c r="J49" s="12"/>
    </x:row>
    <x:row r="50">
      <x:c r="B50" s="12" t="s">
        <x:v>77</x:v>
      </x:c>
      <x:c r="C50" s="5"/>
      <x:c r="D50" s="5"/>
      <x:c r="E50" s="5"/>
      <x:c r="F50" s="5"/>
      <x:c r="G50" s="5"/>
      <x:c r="H50" s="21" t="n">
        <x:f>H41-(H39-G39)</x:f>
        <x:v>0</x:v>
      </x:c>
      <x:c r="J50" s="12"/>
    </x:row>
    <x:row r="51">
      <x:c r="B51" s="12" t="s">
        <x:v>78</x:v>
      </x:c>
      <x:c r="C51" s="4" t="n">
        <x:f>Inputs!H12</x:f>
        <x:v>596.9</x:v>
      </x:c>
      <x:c r="D51" s="5"/>
      <x:c r="E51" s="4" t="n">
        <x:f>Inputs!H13</x:f>
        <x:v>607.62</x:v>
      </x:c>
      <x:c r="F51" s="4" t="n">
        <x:f>Inputs!H14</x:f>
        <x:v>611.02</x:v>
      </x:c>
      <x:c r="G51" s="4" t="n">
        <x:f>Inputs!H15</x:f>
        <x:v>622.92</x:v>
      </x:c>
      <x:c r="H51" s="21"/>
      <x:c r="J51" s="12"/>
    </x:row>
    <x:row r="52">
      <x:c r="B52" s="12" t="s">
        <x:v>79</x:v>
      </x:c>
      <x:c r="C52" s="5" t="n">
        <x:f>C32-C51</x:f>
        <x:v>0.0009999999999763531</x:v>
      </x:c>
      <x:c r="D52" s="5"/>
      <x:c r="E52" s="5" t="n">
        <x:f>E32-E51</x:f>
        <x:v>0.0009999999999763531</x:v>
      </x:c>
      <x:c r="F52" s="5" t="n">
        <x:f>F32-F51</x:f>
        <x:v>-0.0009999999999763531</x:v>
      </x:c>
      <x:c r="G52" s="5" t="n">
        <x:f>G32-G51</x:f>
        <x:v>-0.0019999999998390194</x:v>
      </x:c>
      <x:c r="H52" s="21"/>
      <x:c r="J52" s="12"/>
    </x:row>
    <x:row r="53">
      <x:c r="B53" s="12" t="s">
        <x:v>80</x:v>
      </x:c>
      <x:c r="C53" s="20">
        <x:v>0.057</x:v>
      </x:c>
      <x:c r="D53" s="7"/>
      <x:c r="E53" s="20">
        <x:v>0.059</x:v>
      </x:c>
      <x:c r="F53" s="20">
        <x:v>0.067</x:v>
      </x:c>
      <x:c r="G53" s="20">
        <x:v>0.071</x:v>
      </x:c>
      <x:c r="H53" s="35" t="n">
        <x:f>H29/Inputs!C88-1</x:f>
        <x:v>0.06638829136614777</x:v>
      </x:c>
      <x:c r="J53" s="1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2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81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82</x:v>
      </x:c>
      <x:c r="C8" s="18">
        <x:v>1513.1</x:v>
      </x:c>
      <x:c r="D8" s="18">
        <x:v>1455.4</x:v>
      </x:c>
      <x:c r="E8" s="5" t="n">
        <x:f>C20</x:f>
        <x:v>1570.1</x:v>
      </x:c>
      <x:c r="F8" s="5" t="n">
        <x:f>E20</x:f>
        <x:v>1575.8</x:v>
      </x:c>
      <x:c r="G8" s="5" t="n">
        <x:f>F20</x:f>
        <x:v>1605.9</x:v>
      </x:c>
      <x:c r="H8" s="21" t="n">
        <x:f>G20</x:f>
        <x:v>1621</x:v>
      </x:c>
      <x:c r="J8" s="12" t="s">
        <x:v>12</x:v>
      </x:c>
    </x:row>
    <x:row r="9">
      <x:c r="B9" s="12" t="s">
        <x:v>83</x:v>
      </x:c>
      <x:c r="C9" s="7"/>
      <x:c r="D9" s="7"/>
      <x:c r="E9" s="7"/>
      <x:c r="F9" s="7"/>
      <x:c r="G9" s="7"/>
      <x:c r="H9" s="17" t="n">
        <x:f>H8/C8-1</x:f>
        <x:v>0.07131055449078061</x:v>
      </x:c>
      <x:c r="J9" s="12"/>
    </x:row>
    <x:row r="10">
      <x:c r="B10" s="12" t="s">
        <x:v>84</x:v>
      </x:c>
      <x:c r="C10" s="12"/>
      <x:c r="D10" s="12"/>
      <x:c r="E10" s="5" t="n">
        <x:f>E8-C8</x:f>
        <x:v>57</x:v>
      </x:c>
      <x:c r="F10" s="5" t="n">
        <x:f>F8-E8</x:f>
        <x:v>5.7000000000000455</x:v>
      </x:c>
      <x:c r="G10" s="5" t="n">
        <x:f>G8-F8</x:f>
        <x:v>30.100000000000136</x:v>
      </x:c>
      <x:c r="H10" s="21" t="n">
        <x:f>H8-G8</x:f>
        <x:v>15.099999999999909</x:v>
      </x:c>
      <x:c r="J10" s="12"/>
    </x:row>
    <x:row r="11">
      <x:c r="B11" s="12" t="s">
        <x:v>85</x:v>
      </x:c>
      <x:c r="C11" s="5"/>
      <x:c r="D11" s="5"/>
      <x:c r="E11" s="5"/>
      <x:c r="F11" s="5"/>
      <x:c r="G11" s="5"/>
      <x:c r="H11" s="10">
        <x:v>45</x:v>
      </x:c>
      <x:c r="J11" s="12" t="s">
        <x:v>86</x:v>
      </x:c>
    </x:row>
    <x:row r="12">
      <x:c r="B12" s="12" t="s">
        <x:v>83</x:v>
      </x:c>
      <x:c r="C12" s="12"/>
      <x:c r="D12" s="12"/>
      <x:c r="E12" s="12"/>
      <x:c r="F12" s="12"/>
      <x:c r="G12" s="12"/>
      <x:c r="H12" s="55" t="s">
        <x:v>69</x:v>
      </x:c>
      <x:c r="J12" s="12"/>
    </x:row>
    <x:row r="13">
      <x:c r="B13" s="12" t="s">
        <x:v>84</x:v>
      </x:c>
      <x:c r="C13" s="12"/>
      <x:c r="D13" s="12"/>
      <x:c r="E13" s="12"/>
      <x:c r="F13" s="12"/>
      <x:c r="G13" s="12"/>
      <x:c r="H13" s="55" t="s">
        <x:v>69</x:v>
      </x:c>
      <x:c r="J13" s="12" t="s">
        <x:v>87</x:v>
      </x:c>
    </x:row>
    <x:row r="14">
      <x:c r="B14" s="12" t="s">
        <x:v>88</x:v>
      </x:c>
      <x:c r="C14" s="5"/>
      <x:c r="D14" s="5"/>
      <x:c r="E14" s="5"/>
      <x:c r="F14" s="5"/>
      <x:c r="G14" s="5"/>
      <x:c r="H14" s="56">
        <x:v>-13</x:v>
      </x:c>
      <x:c r="J14" s="12" t="s">
        <x:v>89</x:v>
      </x:c>
    </x:row>
    <x:row r="15">
      <x:c r="B15" s="12" t="s">
        <x:v>90</x:v>
      </x:c>
      <x:c r="C15" s="12"/>
      <x:c r="D15" s="12"/>
      <x:c r="E15" s="12"/>
      <x:c r="F15" s="12"/>
      <x:c r="G15" s="12"/>
      <x:c r="H15" s="55" t="s">
        <x:v>69</x:v>
      </x:c>
    </x:row>
    <x:row r="16">
      <x:c r="B16" s="12" t="s">
        <x:v>84</x:v>
      </x:c>
      <x:c r="C16" s="12"/>
      <x:c r="D16" s="12"/>
      <x:c r="E16" s="12"/>
      <x:c r="F16" s="12"/>
      <x:c r="G16" s="12"/>
      <x:c r="H16" s="55" t="s">
        <x:v>69</x:v>
      </x:c>
    </x:row>
    <x:row r="17">
      <x:c r="B17" s="16" t="s">
        <x:v>91</x:v>
      </x:c>
      <x:c r="C17" s="11" t="n">
        <x:f>C20-C8</x:f>
        <x:v>57</x:v>
      </x:c>
      <x:c r="D17" s="11" t="n">
        <x:f>D20-D8</x:f>
        <x:v>114.69999999999982</x:v>
      </x:c>
      <x:c r="E17" s="11" t="n">
        <x:f>E20-E8</x:f>
        <x:v>5.7000000000000455</x:v>
      </x:c>
      <x:c r="F17" s="11" t="n">
        <x:f>F20-F8</x:f>
        <x:v>30.100000000000136</x:v>
      </x:c>
      <x:c r="G17" s="11" t="n">
        <x:f>G20-G8</x:f>
        <x:v>15.099999999999909</x:v>
      </x:c>
      <x:c r="H17" s="15" t="n">
        <x:f>H11+H14</x:f>
        <x:v>32</x:v>
      </x:c>
      <x:c r="J17" s="12" t="s">
        <x:v>92</x:v>
      </x:c>
    </x:row>
    <x:row r="18">
      <x:c r="B18" s="12" t="s">
        <x:v>83</x:v>
      </x:c>
      <x:c r="C18" s="7"/>
      <x:c r="D18" s="7"/>
      <x:c r="E18" s="7"/>
      <x:c r="F18" s="7"/>
      <x:c r="G18" s="7"/>
      <x:c r="H18" s="17" t="n">
        <x:f>H17/C17-1</x:f>
        <x:v>-0.4385964912280702</x:v>
      </x:c>
    </x:row>
    <x:row r="19">
      <x:c r="B19" s="12" t="s">
        <x:v>84</x:v>
      </x:c>
      <x:c r="C19" s="12"/>
      <x:c r="D19" s="12"/>
      <x:c r="E19" s="5" t="n">
        <x:f>E17-C17</x:f>
        <x:v>-51.299999999999955</x:v>
      </x:c>
      <x:c r="F19" s="5" t="n">
        <x:f>F17-E17</x:f>
        <x:v>24.40000000000009</x:v>
      </x:c>
      <x:c r="G19" s="5" t="n">
        <x:f>G17-F17</x:f>
        <x:v>-15.000000000000227</x:v>
      </x:c>
      <x:c r="H19" s="21" t="n">
        <x:f>H17-G17</x:f>
        <x:v>16.90000000000009</x:v>
      </x:c>
    </x:row>
    <x:row r="20">
      <x:c r="B20" s="16" t="s">
        <x:v>93</x:v>
      </x:c>
      <x:c r="C20" s="3">
        <x:v>1570.1</x:v>
      </x:c>
      <x:c r="D20" s="11" t="n">
        <x:f>C20</x:f>
        <x:v>1570.1</x:v>
      </x:c>
      <x:c r="E20" s="3">
        <x:v>1575.8</x:v>
      </x:c>
      <x:c r="F20" s="3">
        <x:v>1605.9</x:v>
      </x:c>
      <x:c r="G20" s="3">
        <x:v>1621</x:v>
      </x:c>
      <x:c r="H20" s="15" t="n">
        <x:f>H8+H17</x:f>
        <x:v>1653</x:v>
      </x:c>
      <x:c r="J20" s="12" t="s">
        <x:v>94</x:v>
      </x:c>
    </x:row>
    <x:row r="21">
      <x:c r="B21" s="12" t="s">
        <x:v>83</x:v>
      </x:c>
      <x:c r="C21" s="7"/>
      <x:c r="D21" s="7"/>
      <x:c r="E21" s="7"/>
      <x:c r="F21" s="7"/>
      <x:c r="G21" s="7" t="n">
        <x:f>G20/C8-1</x:f>
        <x:v>0.07131055449078061</x:v>
      </x:c>
      <x:c r="H21" s="17" t="n">
        <x:f>H20/C20-1</x:f>
        <x:v>0.05279918476530154</x:v>
      </x:c>
    </x:row>
    <x:row r="22">
      <x:c r="B22" s="12" t="s">
        <x:v>84</x:v>
      </x:c>
      <x:c r="C22" s="12"/>
      <x:c r="D22" s="12"/>
      <x:c r="E22" s="5" t="n">
        <x:f>E20-C20</x:f>
        <x:v>5.7000000000000455</x:v>
      </x:c>
      <x:c r="F22" s="5" t="n">
        <x:f>F20-E20</x:f>
        <x:v>30.100000000000136</x:v>
      </x:c>
      <x:c r="G22" s="5" t="n">
        <x:f>G20-F20</x:f>
        <x:v>15.099999999999909</x:v>
      </x:c>
      <x:c r="H22" s="21" t="n">
        <x:f>H20-G20</x:f>
        <x:v>32</x:v>
      </x:c>
    </x:row>
    <x:row r="23">
      <x:c r="B23" s="12" t="s">
        <x:v>95</x:v>
      </x:c>
      <x:c r="C23" s="5" t="n">
        <x:f>AVERAGE(C8,C20)</x:f>
        <x:v>1541.6</x:v>
      </x:c>
      <x:c r="D23" s="5" t="n">
        <x:f>AVERAGE(D8,D20)</x:f>
        <x:v>1512.75</x:v>
      </x:c>
      <x:c r="E23" s="5" t="n">
        <x:f>AVERAGE(E8,E20)</x:f>
        <x:v>1572.9499999999998</x:v>
      </x:c>
      <x:c r="F23" s="5" t="n">
        <x:f>AVERAGE(F8,F20)</x:f>
        <x:v>1590.85</x:v>
      </x:c>
      <x:c r="G23" s="5" t="n">
        <x:f>AVERAGE(G8,G20)</x:f>
        <x:v>1613.45</x:v>
      </x:c>
      <x:c r="H23" s="21" t="n">
        <x:f>AVERAGE(H8,H20)</x:f>
        <x:v>1637</x:v>
      </x:c>
    </x:row>
    <x:row r="24">
      <x:c r="B24" s="12" t="s">
        <x:v>83</x:v>
      </x:c>
      <x:c r="C24" s="7"/>
      <x:c r="D24" s="7"/>
      <x:c r="E24" s="7"/>
      <x:c r="F24" s="7"/>
      <x:c r="G24" s="7" t="n">
        <x:f>G23/AVERAGE(Inputs!C105,C8)-1</x:f>
        <x:v>0.07056598765841682</x:v>
      </x:c>
      <x:c r="H24" s="17" t="n">
        <x:f>H23/C23-1</x:f>
        <x:v>0.061883757135443807</x:v>
      </x:c>
    </x:row>
    <x:row r="25">
      <x:c r="B25" s="12" t="s">
        <x:v>84</x:v>
      </x:c>
      <x:c r="C25" s="12"/>
      <x:c r="D25" s="12"/>
      <x:c r="E25" s="5" t="n">
        <x:f>E23-C23</x:f>
        <x:v>31.34999999999991</x:v>
      </x:c>
      <x:c r="F25" s="5" t="n">
        <x:f>F23-E23</x:f>
        <x:v>17.90000000000009</x:v>
      </x:c>
      <x:c r="G25" s="5" t="n">
        <x:f>G23-F23</x:f>
        <x:v>22.600000000000136</x:v>
      </x:c>
      <x:c r="H25" s="21" t="n">
        <x:f>H23-G23</x:f>
        <x:v>23.549999999999955</x:v>
      </x:c>
    </x:row>
    <x:row r="26">
      <x:c r="B26" s="12" t="s">
        <x:v>96</x:v>
      </x:c>
      <x:c r="C26" s="7" t="n">
        <x:f>C20/D8-1</x:f>
        <x:v>0.07880994915487127</x:v>
      </x:c>
      <x:c r="D26" s="7" t="n">
        <x:f>D20/D8-1</x:f>
        <x:v>0.07880994915487127</x:v>
      </x:c>
      <x:c r="E26" s="13" t="n">
        <x:f>E20/Inputs!C102-1</x:f>
        <x:v>0.07599863434619314</x:v>
      </x:c>
      <x:c r="F26" s="13" t="n">
        <x:f>F20/Inputs!C105-1</x:f>
        <x:v>0.06981546865631882</x:v>
      </x:c>
      <x:c r="G26" s="7" t="n">
        <x:f>G20/C8-1</x:f>
        <x:v>0.07131055449078061</x:v>
      </x:c>
      <x:c r="H26" s="17" t="n">
        <x:f>H20/C20-1</x:f>
        <x:v>0.05279918476530154</x:v>
      </x:c>
    </x:row>
    <x:row r="27">
      <x:c r="B27" s="12" t="s">
        <x:v>97</x:v>
      </x:c>
      <x:c r="C27" s="5"/>
      <x:c r="D27" s="5"/>
      <x:c r="E27" s="5" t="n">
        <x:f>E20-C20</x:f>
        <x:v>5.7000000000000455</x:v>
      </x:c>
      <x:c r="F27" s="5" t="n">
        <x:f>F20-E20</x:f>
        <x:v>30.100000000000136</x:v>
      </x:c>
      <x:c r="G27" s="5" t="n">
        <x:f>G20-F20</x:f>
        <x:v>15.099999999999909</x:v>
      </x:c>
      <x:c r="H27" s="21" t="n">
        <x:f>H20-G20</x:f>
        <x:v>32</x:v>
      </x:c>
    </x:row>
    <x:row r="28">
      <x:c r="B28" s="12" t="s">
        <x:v>98</x:v>
      </x:c>
      <x:c r="C28" s="7"/>
      <x:c r="D28" s="7"/>
      <x:c r="E28" s="7"/>
      <x:c r="F28" s="7"/>
      <x:c r="G28" s="7"/>
      <x:c r="H28" s="17" t="n">
        <x:f>H11/H8</x:f>
        <x:v>0.027760641579272053</x:v>
      </x:c>
    </x:row>
    <x:row r="29">
      <x:c r="B29" s="12" t="s">
        <x:v>99</x:v>
      </x:c>
      <x:c r="C29" s="37"/>
      <x:c r="D29" s="37"/>
      <x:c r="E29" s="37"/>
      <x:c r="F29" s="37"/>
      <x:c r="G29" s="37"/>
      <x:c r="H29" s="57" t="s">
        <x:v>69</x:v>
      </x:c>
    </x:row>
    <x:row r="30">
      <x:c r="B30" s="12" t="s">
        <x:v>100</x:v>
      </x:c>
      <x:c r="C30" s="7"/>
      <x:c r="D30" s="7"/>
      <x:c r="E30" s="7"/>
      <x:c r="F30" s="7"/>
      <x:c r="G30" s="7"/>
      <x:c r="H30" s="58" t="n">
        <x:f>-H14/H8</x:f>
        <x:v>0.008019740900678593</x:v>
      </x:c>
    </x:row>
    <x:row r="31">
      <x:c r="B31" s="12" t="s">
        <x:v>101</x:v>
      </x:c>
      <x:c r="C31" s="37"/>
      <x:c r="D31" s="37"/>
      <x:c r="E31" s="37"/>
      <x:c r="F31" s="37"/>
      <x:c r="G31" s="37"/>
      <x:c r="H31" s="57" t="s">
        <x:v>69</x:v>
      </x:c>
    </x:row>
    <x:row r="32">
      <x:c r="B32" s="12" t="s">
        <x:v>102</x:v>
      </x:c>
      <x:c r="C32" s="20">
        <x:v>0.06</x:v>
      </x:c>
      <x:c r="D32" s="7"/>
      <x:c r="E32" s="20">
        <x:v>0.064</x:v>
      </x:c>
      <x:c r="F32" s="20">
        <x:v>0.07</x:v>
      </x:c>
      <x:c r="G32" s="20">
        <x:v>0.072</x:v>
      </x:c>
      <x:c r="H32" s="58" t="n">
        <x:f>H20/C20-1</x:f>
        <x:v>0.05279918476530154</x:v>
      </x:c>
    </x:row>
    <x:row r="33">
      <x:c r="B33" s="12" t="s">
        <x:v>103</x:v>
      </x:c>
      <x:c r="C33" s="37"/>
      <x:c r="D33" s="37"/>
      <x:c r="E33" s="37" t="n">
        <x:f>(E32-C32)*10000</x:f>
        <x:v>40.000000000000036</x:v>
      </x:c>
      <x:c r="F33" s="37" t="n">
        <x:f>(F32-E32)*10000</x:f>
        <x:v>60.00000000000006</x:v>
      </x:c>
      <x:c r="G33" s="37" t="n">
        <x:f>(G32-F32)*10000</x:f>
        <x:v>19.99999999999988</x:v>
      </x:c>
      <x:c r="H33" s="57" t="s">
        <x:v>69</x:v>
      </x:c>
    </x:row>
    <x:row r="34">
      <x:c r="B34" s="12" t="s">
        <x:v>104</x:v>
      </x:c>
      <x:c r="C34" s="13" t="n">
        <x:f>C20/SUM('Segment - Americas'!C20,'Segment - EMEA'!C20,'Segment - Asia Pacific'!C20)</x:f>
        <x:v>0.6526854007316262</x:v>
      </x:c>
      <x:c r="D34" s="13" t="n">
        <x:f>D20/SUM('Segment - Americas'!D20,'Segment - EMEA'!D20,'Segment - Asia Pacific'!D20)</x:f>
        <x:v>0.6526854007316262</x:v>
      </x:c>
      <x:c r="E34" s="13" t="n">
        <x:f>E20/SUM('Segment - Americas'!E20,'Segment - EMEA'!E20,'Segment - Asia Pacific'!E20)</x:f>
        <x:v>0.6535606154867072</x:v>
      </x:c>
      <x:c r="F34" s="13" t="n">
        <x:f>F20/SUM('Segment - Americas'!F20,'Segment - EMEA'!F20,'Segment - Asia Pacific'!F20)</x:f>
        <x:v>0.6554158844175986</x:v>
      </x:c>
      <x:c r="G34" s="13" t="n">
        <x:f>G20/SUM('Segment - Americas'!G20,'Segment - EMEA'!G20,'Segment - Asia Pacific'!G20)</x:f>
        <x:v>0.6524976854647185</x:v>
      </x:c>
      <x:c r="H34" s="35" t="n">
        <x:f>H20/SUM('Segment - Americas'!H20,'Segment - EMEA'!H20,'Segment - Asia Pacific'!H20)</x:f>
        <x:v>0.6537989953723847</x:v>
      </x:c>
    </x:row>
    <x:row r="35">
      <x:c r="B35" s="12" t="s">
        <x:v>105</x:v>
      </x:c>
      <x:c r="C35" s="37"/>
      <x:c r="D35" s="37"/>
      <x:c r="E35" s="37" t="n">
        <x:f>(E34-C34)*10000</x:f>
        <x:v>8.752147550810108</x:v>
      </x:c>
      <x:c r="F35" s="37" t="n">
        <x:f>(F34-E34)*10000</x:f>
        <x:v>18.55268930891385</x:v>
      </x:c>
      <x:c r="G35" s="37" t="n">
        <x:f>(G34-F34)*10000</x:f>
        <x:v>-29.181989528800358</x:v>
      </x:c>
      <x:c r="H35" s="41" t="n">
        <x:f>(H34-G34)*10000</x:f>
        <x:v>13.013099076661927</x:v>
      </x:c>
    </x:row>
    <x:row r="36">
      <x:c r="B36" s="12" t="s">
        <x:v>106</x:v>
      </x:c>
      <x:c r="C36" s="7" t="n">
        <x:f>C44/C38</x:f>
        <x:v>1.0085729112610275</x:v>
      </x:c>
      <x:c r="D36" s="7" t="n">
        <x:f>D44/D38</x:f>
        <x:v>0.9956093207734259</x:v>
      </x:c>
      <x:c r="E36" s="7" t="n">
        <x:f>E44/E38</x:f>
        <x:v>1.0074725833624718</x:v>
      </x:c>
      <x:c r="F36" s="7" t="n">
        <x:f>F44/F38</x:f>
        <x:v>1.0049545840274068</x:v>
      </x:c>
      <x:c r="G36" s="7" t="n">
        <x:f>G44/G38</x:f>
        <x:v>1.0096129412129289</x:v>
      </x:c>
      <x:c r="H36" s="17" t="n">
        <x:f>H44/H38</x:f>
        <x:v>1.0091631032376298</x:v>
      </x:c>
    </x:row>
    <x:row r="37">
      <x:c r="B37" s="12" t="s">
        <x:v>107</x:v>
      </x:c>
      <x:c r="C37" s="37"/>
      <x:c r="D37" s="37"/>
      <x:c r="E37" s="37" t="n">
        <x:f>(E36-C36)*10000</x:f>
        <x:v>-11.003278985557419</x:v>
      </x:c>
      <x:c r="F37" s="37" t="n">
        <x:f>(F36-E36)*10000</x:f>
        <x:v>-25.179993350650243</x:v>
      </x:c>
      <x:c r="G37" s="37" t="n">
        <x:f>(G36-F36)*10000</x:f>
        <x:v>46.583571855220995</x:v>
      </x:c>
      <x:c r="H37" s="41" t="n">
        <x:f>(H36-G36)*10000</x:f>
        <x:v>-4.498379752990722</x:v>
      </x:c>
    </x:row>
    <x:row r="38">
      <x:c r="B38" s="16" t="s">
        <x:v>108</x:v>
      </x:c>
      <x:c r="C38" s="9" t="n">
        <x:f>C23/Inputs!$C$111</x:f>
        <x:v>385.4</x:v>
      </x:c>
      <x:c r="D38" s="11" t="n">
        <x:f>D23</x:f>
        <x:v>1512.75</x:v>
      </x:c>
      <x:c r="E38" s="9" t="n">
        <x:f>E23/Inputs!$C$111</x:f>
        <x:v>393.23749999999995</x:v>
      </x:c>
      <x:c r="F38" s="9" t="n">
        <x:f>F23/Inputs!$C$111</x:f>
        <x:v>397.7125</x:v>
      </x:c>
      <x:c r="G38" s="9" t="n">
        <x:f>G23/Inputs!$C$111</x:f>
        <x:v>403.3625</x:v>
      </x:c>
      <x:c r="H38" s="24" t="n">
        <x:f>H23/Inputs!$C$111</x:f>
        <x:v>409.25</x:v>
      </x:c>
    </x:row>
    <x:row r="39">
      <x:c r="B39" s="12" t="s">
        <x:v>109</x:v>
      </x:c>
      <x:c r="C39" s="7"/>
      <x:c r="D39" s="7"/>
      <x:c r="E39" s="7"/>
      <x:c r="F39" s="7"/>
      <x:c r="G39" s="7"/>
      <x:c r="H39" s="17" t="n">
        <x:f>IF(C38=0,"unavailable",H38/C38-1)</x:f>
        <x:v>0.061883757135443807</x:v>
      </x:c>
    </x:row>
    <x:row r="40">
      <x:c r="B40" s="12" t="s">
        <x:v>84</x:v>
      </x:c>
      <x:c r="C40" s="5"/>
      <x:c r="D40" s="5"/>
      <x:c r="E40" s="5" t="n">
        <x:f>E38-C38</x:f>
        <x:v>7.837499999999977</x:v>
      </x:c>
      <x:c r="F40" s="5" t="n">
        <x:f>F38-E38</x:f>
        <x:v>4.475000000000023</x:v>
      </x:c>
      <x:c r="G40" s="5" t="n">
        <x:f>G38-F38</x:f>
        <x:v>5.650000000000034</x:v>
      </x:c>
      <x:c r="H40" s="21" t="n">
        <x:f>H38-G38</x:f>
        <x:v>5.887499999999989</x:v>
      </x:c>
    </x:row>
    <x:row r="41">
      <x:c r="B41" s="12" t="s">
        <x:v>110</x:v>
      </x:c>
      <x:c r="C41" s="5" t="n">
        <x:f>C44-C38</x:f>
        <x:v>3.3040000000000305</x:v>
      </x:c>
      <x:c r="D41" s="5" t="n">
        <x:f>D44-D38</x:f>
        <x:v>-6.642000000000053</x:v>
      </x:c>
      <x:c r="E41" s="5" t="n">
        <x:f>E44-E38</x:f>
        <x:v>2.938500000000033</x:v>
      </x:c>
      <x:c r="F41" s="5" t="n">
        <x:f>F44-F38</x:f>
        <x:v>1.9705000000000155</x:v>
      </x:c>
      <x:c r="G41" s="5" t="n">
        <x:f>G44-G38</x:f>
        <x:v>3.8774999999999977</x:v>
      </x:c>
      <x:c r="H41" s="10">
        <x:v>3.75</x:v>
      </x:c>
    </x:row>
    <x:row r="42">
      <x:c r="B42" s="12" t="s">
        <x:v>111</x:v>
      </x:c>
      <x:c r="C42" s="7"/>
      <x:c r="D42" s="7"/>
      <x:c r="E42" s="7"/>
      <x:c r="F42" s="7"/>
      <x:c r="G42" s="7"/>
      <x:c r="H42" s="17" t="n">
        <x:f>IF(C41=0,"unavailable",H41/C41-1)</x:f>
        <x:v>0.13498789346245932</x:v>
      </x:c>
    </x:row>
    <x:row r="43">
      <x:c r="B43" s="12" t="s">
        <x:v>84</x:v>
      </x:c>
      <x:c r="C43" s="5"/>
      <x:c r="D43" s="5"/>
      <x:c r="E43" s="5" t="n">
        <x:f>E41-C41</x:f>
        <x:v>-0.36549999999999727</x:v>
      </x:c>
      <x:c r="F43" s="5" t="n">
        <x:f>F41-E41</x:f>
        <x:v>-0.9680000000000177</x:v>
      </x:c>
      <x:c r="G43" s="5" t="n">
        <x:f>G41-F41</x:f>
        <x:v>1.9069999999999823</x:v>
      </x:c>
      <x:c r="H43" s="21" t="n">
        <x:f>H41-G41</x:f>
        <x:v>-0.12749999999999773</x:v>
      </x:c>
    </x:row>
    <x:row r="44">
      <x:c r="B44" s="16" t="s">
        <x:v>112</x:v>
      </x:c>
      <x:c r="C44" s="3">
        <x:v>388.704</x:v>
      </x:c>
      <x:c r="D44" s="3">
        <x:v>1506.108</x:v>
      </x:c>
      <x:c r="E44" s="3">
        <x:v>396.176</x:v>
      </x:c>
      <x:c r="F44" s="3">
        <x:v>399.683</x:v>
      </x:c>
      <x:c r="G44" s="3">
        <x:v>407.24</x:v>
      </x:c>
      <x:c r="H44" s="15" t="n">
        <x:f>SUM(H38,H41)</x:f>
        <x:v>413</x:v>
      </x:c>
    </x:row>
    <x:row r="45">
      <x:c r="B45" s="12" t="s">
        <x:v>45</x:v>
      </x:c>
      <x:c r="C45" s="20">
        <x:v>0.053</x:v>
      </x:c>
      <x:c r="D45" s="7"/>
      <x:c r="E45" s="20">
        <x:v>0.065</x:v>
      </x:c>
      <x:c r="F45" s="20">
        <x:v>0.074</x:v>
      </x:c>
      <x:c r="G45" s="7" t="n">
        <x:f>(1+G48)/((1+G46)*(1+G47))-1</x:f>
        <x:v>0.07027421016083357</x:v>
      </x:c>
      <x:c r="H45" s="17" t="n">
        <x:f>(1+H48)/((1+H46)*(1+H47))-1</x:f>
        <x:v>0.06250514530336715</x:v>
      </x:c>
    </x:row>
    <x:row r="46">
      <x:c r="B46" s="12" t="s">
        <x:v>46</x:v>
      </x:c>
      <x:c r="C46" s="59" t="s">
        <x:v>69</x:v>
      </x:c>
      <x:c r="D46" s="59" t="s">
        <x:v>69</x:v>
      </x:c>
      <x:c r="E46" s="59" t="s">
        <x:v>69</x:v>
      </x:c>
      <x:c r="F46" s="59" t="s">
        <x:v>69</x:v>
      </x:c>
      <x:c r="G46" s="20">
        <x:v>-0.001</x:v>
      </x:c>
      <x:c r="H46" s="38">
        <x:v>0</x:v>
      </x:c>
    </x:row>
    <x:row r="47">
      <x:c r="B47" s="12" t="s">
        <x:v>47</x:v>
      </x:c>
      <x:c r="C47" s="59" t="s">
        <x:v>69</x:v>
      </x:c>
      <x:c r="D47" s="59" t="s">
        <x:v>69</x:v>
      </x:c>
      <x:c r="E47" s="59" t="s">
        <x:v>69</x:v>
      </x:c>
      <x:c r="F47" s="59" t="s">
        <x:v>69</x:v>
      </x:c>
      <x:c r="G47" s="20">
        <x:v>0.001</x:v>
      </x:c>
      <x:c r="H47" s="38">
        <x:v>0</x:v>
      </x:c>
    </x:row>
    <x:row r="48">
      <x:c r="B48" s="12" t="s">
        <x:v>58</x:v>
      </x:c>
      <x:c r="C48" s="7"/>
      <x:c r="D48" s="7"/>
      <x:c r="E48" s="13" t="n">
        <x:f>E44/Inputs!C92-1</x:f>
        <x:v>0.07878728467876761</x:v>
      </x:c>
      <x:c r="F48" s="13" t="n">
        <x:f>F44/Inputs!C95-1</x:f>
        <x:v>0.08121495099564191</x:v>
      </x:c>
      <x:c r="G48" s="13" t="n">
        <x:f>G44/Inputs!C89-1</x:f>
        <x:v>0.0702731398866232</x:v>
      </x:c>
      <x:c r="H48" s="17" t="n">
        <x:f>H44/C44-1</x:f>
        <x:v>0.06250514530336715</x:v>
      </x:c>
    </x:row>
    <x:row r="49">
      <x:c r="B49" s="12" t="s">
        <x:v>49</x:v>
      </x:c>
      <x:c r="C49" s="7"/>
      <x:c r="D49" s="7"/>
      <x:c r="E49" s="7" t="n">
        <x:f>E44/C44-1</x:f>
        <x:v>0.01922285337943519</x:v>
      </x:c>
      <x:c r="F49" s="7" t="n">
        <x:f>F44/E44-1</x:f>
        <x:v>0.008852126327692833</x:v>
      </x:c>
      <x:c r="G49" s="7" t="n">
        <x:f>G44/F44-1</x:f>
        <x:v>0.018907484181213574</x:v>
      </x:c>
      <x:c r="H49" s="17" t="n">
        <x:f>H44/G44-1</x:f>
        <x:v>0.014143993713780612</x:v>
      </x:c>
    </x:row>
    <x:row r="50">
      <x:c r="B50" s="12" t="s">
        <x:v>50</x:v>
      </x:c>
      <x:c r="C50" s="13" t="n">
        <x:f>C44/'Revenue summary'!C32</x:f>
        <x:v>0.6512034659013807</x:v>
      </x:c>
      <x:c r="D50" s="13" t="n">
        <x:f>D44/'Revenue summary'!D32</x:f>
        <x:v>0.6486957240837508</x:v>
      </x:c>
      <x:c r="E50" s="13" t="n">
        <x:f>E44/'Revenue summary'!E32</x:f>
        <x:v>0.6520116980815344</x:v>
      </x:c>
      <x:c r="F50" s="13" t="n">
        <x:f>F44/'Revenue summary'!F32</x:f>
        <x:v>0.6541253217985038</x:v>
      </x:c>
      <x:c r="G50" s="13" t="n">
        <x:f>G44/'Revenue summary'!G32</x:f>
        <x:v>0.6537618113459556</x:v>
      </x:c>
      <x:c r="H50" s="35" t="n">
        <x:f>H44/'Revenue summary'!H32</x:f>
        <x:v>0.6565977742448331</x:v>
      </x:c>
    </x:row>
    <x:row r="51">
      <x:c r="B51" s="12" t="s">
        <x:v>113</x:v>
      </x:c>
      <x:c r="C51" s="5" t="n">
        <x:f>C44-C54</x:f>
        <x:v>319.231</x:v>
      </x:c>
      <x:c r="D51" s="5" t="n">
        <x:f>D44-D54</x:f>
        <x:v>1200.145</x:v>
      </x:c>
      <x:c r="E51" s="5" t="n">
        <x:f>E44-E54</x:f>
        <x:v>317.643</x:v>
      </x:c>
      <x:c r="F51" s="5" t="n">
        <x:f>F44-F54</x:f>
        <x:v>325.48199999999997</x:v>
      </x:c>
      <x:c r="G51" s="5" t="n">
        <x:f>G44-G54</x:f>
        <x:v>343.653</x:v>
      </x:c>
      <x:c r="H51" s="6" t="n">
        <x:f>('Income Statement'!H10+'Income Statement'!H14)*G51/SUM('Segment - Americas'!G51,'Segment - EMEA'!G51,'Segment - Asia Pacific'!G51)</x:f>
        <x:v>333.78105830488136</x:v>
      </x:c>
    </x:row>
    <x:row r="52">
      <x:c r="B52" s="12" t="s">
        <x:v>114</x:v>
      </x:c>
      <x:c r="C52" s="7"/>
      <x:c r="D52" s="7"/>
      <x:c r="E52" s="7"/>
      <x:c r="F52" s="7"/>
      <x:c r="G52" s="7"/>
      <x:c r="H52" s="17" t="n">
        <x:f>IF(C51=0,"unavailable",H51/C51-1)</x:f>
        <x:v>0.04557846294652257</x:v>
      </x:c>
    </x:row>
    <x:row r="53">
      <x:c r="B53" s="12" t="s">
        <x:v>84</x:v>
      </x:c>
      <x:c r="C53" s="5"/>
      <x:c r="D53" s="5"/>
      <x:c r="E53" s="5" t="n">
        <x:f>E51-C51</x:f>
        <x:v>-1.5880000000000223</x:v>
      </x:c>
      <x:c r="F53" s="5" t="n">
        <x:f>F51-E51</x:f>
        <x:v>7.838999999999999</x:v>
      </x:c>
      <x:c r="G53" s="5" t="n">
        <x:f>G51-F51</x:f>
        <x:v>18.17100000000005</x:v>
      </x:c>
      <x:c r="H53" s="21" t="n">
        <x:f>H51-G51</x:f>
        <x:v>-9.871941695118664</x:v>
      </x:c>
    </x:row>
    <x:row r="54">
      <x:c r="B54" s="16" t="s">
        <x:v>115</x:v>
      </x:c>
      <x:c r="C54" s="3">
        <x:v>69.473</x:v>
      </x:c>
      <x:c r="D54" s="3">
        <x:v>305.963</x:v>
      </x:c>
      <x:c r="E54" s="3">
        <x:v>78.533</x:v>
      </x:c>
      <x:c r="F54" s="3">
        <x:v>74.201</x:v>
      </x:c>
      <x:c r="G54" s="3">
        <x:v>63.587</x:v>
      </x:c>
      <x:c r="H54" s="15" t="n">
        <x:f>H44-H51</x:f>
        <x:v>79.21894169511864</x:v>
      </x:c>
    </x:row>
    <x:row r="55">
      <x:c r="B55" s="12" t="s">
        <x:v>116</x:v>
      </x:c>
      <x:c r="C55" s="7"/>
      <x:c r="D55" s="7"/>
      <x:c r="E55" s="7"/>
      <x:c r="F55" s="7"/>
      <x:c r="G55" s="7"/>
      <x:c r="H55" s="17" t="n">
        <x:f>IF(C54=0,"unavailable",H54/C54-1)</x:f>
        <x:v>0.14028387568002887</x:v>
      </x:c>
    </x:row>
    <x:row r="56">
      <x:c r="B56" s="12" t="s">
        <x:v>84</x:v>
      </x:c>
      <x:c r="C56" s="5"/>
      <x:c r="D56" s="5"/>
      <x:c r="E56" s="5" t="n">
        <x:f>E54-C54</x:f>
        <x:v>9.060000000000002</x:v>
      </x:c>
      <x:c r="F56" s="5" t="n">
        <x:f>F54-E54</x:f>
        <x:v>-4.332000000000008</x:v>
      </x:c>
      <x:c r="G56" s="5" t="n">
        <x:f>G54-F54</x:f>
        <x:v>-10.61399999999999</x:v>
      </x:c>
      <x:c r="H56" s="21" t="n">
        <x:f>H54-G54</x:f>
        <x:v>15.631941695118641</x:v>
      </x:c>
    </x:row>
    <x:row r="57">
      <x:c r="B57" s="12" t="s">
        <x:v>117</x:v>
      </x:c>
      <x:c r="C57" s="7" t="n">
        <x:f>C54/C44</x:f>
        <x:v>0.178729830410801</x:v>
      </x:c>
      <x:c r="D57" s="7" t="n">
        <x:f>D54/D44</x:f>
        <x:v>0.20314811421226103</x:v>
      </x:c>
      <x:c r="E57" s="7" t="n">
        <x:f>E54/E44</x:f>
        <x:v>0.19822755542990994</x:v>
      </x:c>
      <x:c r="F57" s="7" t="n">
        <x:f>F54/F44</x:f>
        <x:v>0.18564962732965873</x:v>
      </x:c>
      <x:c r="G57" s="7" t="n">
        <x:f>G54/G44</x:f>
        <x:v>0.15614134171495925</x:v>
      </x:c>
      <x:c r="H57" s="17" t="n">
        <x:f>H54/H44</x:f>
        <x:v>0.19181341814798702</x:v>
      </x:c>
    </x:row>
    <x:row r="58">
      <x:c r="B58" s="12" t="s">
        <x:v>118</x:v>
      </x:c>
      <x:c r="C58" s="37"/>
      <x:c r="D58" s="37"/>
      <x:c r="E58" s="37"/>
      <x:c r="F58" s="37"/>
      <x:c r="G58" s="37" t="n">
        <x:f>(G57-C57)*10000</x:f>
        <x:v>-225.88488695841764</x:v>
      </x:c>
      <x:c r="H58" s="41" t="n">
        <x:f>(H57-G57)*10000</x:f>
        <x:v>356.72076433027775</x:v>
      </x:c>
    </x:row>
    <x:row r="59">
      <x:c r="B59" s="12" t="s">
        <x:v>119</x:v>
      </x:c>
      <x:c r="C59" s="5" t="s">
        <x:v>120</x:v>
      </x:c>
      <x:c r="D59" s="5"/>
      <x:c r="E59" s="5"/>
      <x:c r="F59" s="5"/>
      <x:c r="G59" s="5"/>
      <x:c r="H59" s="21"/>
    </x:row>
    <x:row r="60">
      <x:c r="B60" s="12" t="s">
        <x:v>121</x:v>
      </x:c>
      <x:c r="C60" s="5" t="s">
        <x:v>122</x:v>
      </x:c>
      <x:c r="D60" s="5"/>
      <x:c r="E60" s="5"/>
      <x:c r="F60" s="5"/>
      <x:c r="G60" s="5"/>
      <x:c r="H60" s="21"/>
    </x:row>
    <x:row r="61">
      <x:c r="B61" s="12" t="s">
        <x:v>123</x:v>
      </x:c>
      <x:c r="C61" s="5"/>
      <x:c r="D61" s="5"/>
      <x:c r="E61" s="5"/>
      <x:c r="F61" s="5"/>
      <x:c r="G61" s="5"/>
      <x:c r="H61" s="2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2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124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82</x:v>
      </x:c>
      <x:c r="C8" s="18">
        <x:v>581.9</x:v>
      </x:c>
      <x:c r="D8" s="18">
        <x:v>569.7</x:v>
      </x:c>
      <x:c r="E8" s="5" t="n">
        <x:f>C20</x:f>
        <x:v>591.6</x:v>
      </x:c>
      <x:c r="F8" s="5" t="n">
        <x:f>E20</x:f>
        <x:v>591</x:v>
      </x:c>
      <x:c r="G8" s="5" t="n">
        <x:f>F20</x:f>
        <x:v>595.2</x:v>
      </x:c>
      <x:c r="H8" s="21" t="n">
        <x:f>G20</x:f>
        <x:v>608.1</x:v>
      </x:c>
      <x:c r="J8" s="12" t="s">
        <x:v>12</x:v>
      </x:c>
    </x:row>
    <x:row r="9">
      <x:c r="B9" s="12" t="s">
        <x:v>83</x:v>
      </x:c>
      <x:c r="C9" s="7"/>
      <x:c r="D9" s="7"/>
      <x:c r="E9" s="7"/>
      <x:c r="F9" s="7"/>
      <x:c r="G9" s="7"/>
      <x:c r="H9" s="17" t="n">
        <x:f>H8/C8-1</x:f>
        <x:v>0.045024918370854206</x:v>
      </x:c>
      <x:c r="J9" s="12"/>
    </x:row>
    <x:row r="10">
      <x:c r="B10" s="12" t="s">
        <x:v>84</x:v>
      </x:c>
      <x:c r="C10" s="12"/>
      <x:c r="D10" s="12"/>
      <x:c r="E10" s="5" t="n">
        <x:f>E8-C8</x:f>
        <x:v>9.700000000000045</x:v>
      </x:c>
      <x:c r="F10" s="5" t="n">
        <x:f>F8-E8</x:f>
        <x:v>-0.6000000000000227</x:v>
      </x:c>
      <x:c r="G10" s="5" t="n">
        <x:f>G8-F8</x:f>
        <x:v>4.2000000000000455</x:v>
      </x:c>
      <x:c r="H10" s="21" t="n">
        <x:f>H8-G8</x:f>
        <x:v>12.899999999999977</x:v>
      </x:c>
      <x:c r="J10" s="12"/>
    </x:row>
    <x:row r="11">
      <x:c r="B11" s="12" t="s">
        <x:v>85</x:v>
      </x:c>
      <x:c r="C11" s="5"/>
      <x:c r="D11" s="5"/>
      <x:c r="E11" s="5"/>
      <x:c r="F11" s="5"/>
      <x:c r="G11" s="5"/>
      <x:c r="H11" s="10">
        <x:v>14</x:v>
      </x:c>
      <x:c r="J11" s="12" t="s">
        <x:v>86</x:v>
      </x:c>
    </x:row>
    <x:row r="12">
      <x:c r="B12" s="12" t="s">
        <x:v>83</x:v>
      </x:c>
      <x:c r="C12" s="12"/>
      <x:c r="D12" s="12"/>
      <x:c r="E12" s="12"/>
      <x:c r="F12" s="12"/>
      <x:c r="G12" s="12"/>
      <x:c r="H12" s="55" t="s">
        <x:v>69</x:v>
      </x:c>
      <x:c r="J12" s="12"/>
    </x:row>
    <x:row r="13">
      <x:c r="B13" s="12" t="s">
        <x:v>84</x:v>
      </x:c>
      <x:c r="C13" s="12"/>
      <x:c r="D13" s="12"/>
      <x:c r="E13" s="12"/>
      <x:c r="F13" s="12"/>
      <x:c r="G13" s="12"/>
      <x:c r="H13" s="55" t="s">
        <x:v>69</x:v>
      </x:c>
      <x:c r="J13" s="12" t="s">
        <x:v>87</x:v>
      </x:c>
    </x:row>
    <x:row r="14">
      <x:c r="B14" s="12" t="s">
        <x:v>88</x:v>
      </x:c>
      <x:c r="C14" s="5"/>
      <x:c r="D14" s="5"/>
      <x:c r="E14" s="5"/>
      <x:c r="F14" s="5"/>
      <x:c r="G14" s="5"/>
      <x:c r="H14" s="56">
        <x:v>-7</x:v>
      </x:c>
      <x:c r="J14" s="12" t="s">
        <x:v>89</x:v>
      </x:c>
    </x:row>
    <x:row r="15">
      <x:c r="B15" s="12" t="s">
        <x:v>90</x:v>
      </x:c>
      <x:c r="C15" s="12"/>
      <x:c r="D15" s="12"/>
      <x:c r="E15" s="12"/>
      <x:c r="F15" s="12"/>
      <x:c r="G15" s="12"/>
      <x:c r="H15" s="55" t="s">
        <x:v>69</x:v>
      </x:c>
    </x:row>
    <x:row r="16">
      <x:c r="B16" s="12" t="s">
        <x:v>84</x:v>
      </x:c>
      <x:c r="C16" s="12"/>
      <x:c r="D16" s="12"/>
      <x:c r="E16" s="12"/>
      <x:c r="F16" s="12"/>
      <x:c r="G16" s="12"/>
      <x:c r="H16" s="55" t="s">
        <x:v>69</x:v>
      </x:c>
    </x:row>
    <x:row r="17">
      <x:c r="B17" s="16" t="s">
        <x:v>91</x:v>
      </x:c>
      <x:c r="C17" s="11" t="n">
        <x:f>C20-C8</x:f>
        <x:v>9.700000000000045</x:v>
      </x:c>
      <x:c r="D17" s="11" t="n">
        <x:f>D20-D8</x:f>
        <x:v>21.899999999999977</x:v>
      </x:c>
      <x:c r="E17" s="11" t="n">
        <x:f>E20-E8</x:f>
        <x:v>-0.6000000000000227</x:v>
      </x:c>
      <x:c r="F17" s="11" t="n">
        <x:f>F20-F8</x:f>
        <x:v>4.2000000000000455</x:v>
      </x:c>
      <x:c r="G17" s="11" t="n">
        <x:f>G20-G8</x:f>
        <x:v>12.899999999999977</x:v>
      </x:c>
      <x:c r="H17" s="15" t="n">
        <x:f>H11+H14</x:f>
        <x:v>7</x:v>
      </x:c>
      <x:c r="J17" s="12" t="s">
        <x:v>92</x:v>
      </x:c>
    </x:row>
    <x:row r="18">
      <x:c r="B18" s="12" t="s">
        <x:v>83</x:v>
      </x:c>
      <x:c r="C18" s="7"/>
      <x:c r="D18" s="7"/>
      <x:c r="E18" s="7"/>
      <x:c r="F18" s="7"/>
      <x:c r="G18" s="7"/>
      <x:c r="H18" s="17" t="n">
        <x:f>H17/C17-1</x:f>
        <x:v>-0.27835051546392087</x:v>
      </x:c>
    </x:row>
    <x:row r="19">
      <x:c r="B19" s="12" t="s">
        <x:v>84</x:v>
      </x:c>
      <x:c r="C19" s="12"/>
      <x:c r="D19" s="12"/>
      <x:c r="E19" s="5" t="n">
        <x:f>E17-C17</x:f>
        <x:v>-10.300000000000068</x:v>
      </x:c>
      <x:c r="F19" s="5" t="n">
        <x:f>F17-E17</x:f>
        <x:v>4.800000000000068</x:v>
      </x:c>
      <x:c r="G19" s="5" t="n">
        <x:f>G17-F17</x:f>
        <x:v>8.699999999999932</x:v>
      </x:c>
      <x:c r="H19" s="21" t="n">
        <x:f>H17-G17</x:f>
        <x:v>-5.899999999999977</x:v>
      </x:c>
    </x:row>
    <x:row r="20">
      <x:c r="B20" s="16" t="s">
        <x:v>93</x:v>
      </x:c>
      <x:c r="C20" s="3">
        <x:v>591.6</x:v>
      </x:c>
      <x:c r="D20" s="11" t="n">
        <x:f>C20</x:f>
        <x:v>591.6</x:v>
      </x:c>
      <x:c r="E20" s="3">
        <x:v>591</x:v>
      </x:c>
      <x:c r="F20" s="3">
        <x:v>595.2</x:v>
      </x:c>
      <x:c r="G20" s="3">
        <x:v>608.1</x:v>
      </x:c>
      <x:c r="H20" s="15" t="n">
        <x:f>H8+H17</x:f>
        <x:v>615.1</x:v>
      </x:c>
      <x:c r="J20" s="12" t="s">
        <x:v>94</x:v>
      </x:c>
    </x:row>
    <x:row r="21">
      <x:c r="B21" s="12" t="s">
        <x:v>83</x:v>
      </x:c>
      <x:c r="C21" s="7"/>
      <x:c r="D21" s="7"/>
      <x:c r="E21" s="7"/>
      <x:c r="F21" s="7"/>
      <x:c r="G21" s="7" t="n">
        <x:f>G20/C8-1</x:f>
        <x:v>0.045024918370854206</x:v>
      </x:c>
      <x:c r="H21" s="17" t="n">
        <x:f>H20/C20-1</x:f>
        <x:v>0.03972278566599052</x:v>
      </x:c>
    </x:row>
    <x:row r="22">
      <x:c r="B22" s="12" t="s">
        <x:v>84</x:v>
      </x:c>
      <x:c r="C22" s="12"/>
      <x:c r="D22" s="12"/>
      <x:c r="E22" s="5" t="n">
        <x:f>E20-C20</x:f>
        <x:v>-0.6000000000000227</x:v>
      </x:c>
      <x:c r="F22" s="5" t="n">
        <x:f>F20-E20</x:f>
        <x:v>4.2000000000000455</x:v>
      </x:c>
      <x:c r="G22" s="5" t="n">
        <x:f>G20-F20</x:f>
        <x:v>12.899999999999977</x:v>
      </x:c>
      <x:c r="H22" s="21" t="n">
        <x:f>H20-G20</x:f>
        <x:v>7</x:v>
      </x:c>
    </x:row>
    <x:row r="23">
      <x:c r="B23" s="12" t="s">
        <x:v>95</x:v>
      </x:c>
      <x:c r="C23" s="5" t="n">
        <x:f>AVERAGE(C8,C20)</x:f>
        <x:v>586.75</x:v>
      </x:c>
      <x:c r="D23" s="5" t="n">
        <x:f>AVERAGE(D8,D20)</x:f>
        <x:v>580.6500000000001</x:v>
      </x:c>
      <x:c r="E23" s="5" t="n">
        <x:f>AVERAGE(E8,E20)</x:f>
        <x:v>591.3</x:v>
      </x:c>
      <x:c r="F23" s="5" t="n">
        <x:f>AVERAGE(F8,F20)</x:f>
        <x:v>593.1</x:v>
      </x:c>
      <x:c r="G23" s="5" t="n">
        <x:f>AVERAGE(G8,G20)</x:f>
        <x:v>601.6500000000001</x:v>
      </x:c>
      <x:c r="H23" s="21" t="n">
        <x:f>AVERAGE(H8,H20)</x:f>
        <x:v>611.6</x:v>
      </x:c>
    </x:row>
    <x:row r="24">
      <x:c r="B24" s="12" t="s">
        <x:v>83</x:v>
      </x:c>
      <x:c r="C24" s="7"/>
      <x:c r="D24" s="7"/>
      <x:c r="E24" s="7"/>
      <x:c r="F24" s="7"/>
      <x:c r="G24" s="7" t="n">
        <x:f>G23/AVERAGE(Inputs!C106,C8)-1</x:f>
        <x:v>0.04344432882414173</x:v>
      </x:c>
      <x:c r="H24" s="17" t="n">
        <x:f>H23/C23-1</x:f>
        <x:v>0.0423519386450788</x:v>
      </x:c>
    </x:row>
    <x:row r="25">
      <x:c r="B25" s="12" t="s">
        <x:v>84</x:v>
      </x:c>
      <x:c r="C25" s="12"/>
      <x:c r="D25" s="12"/>
      <x:c r="E25" s="5" t="n">
        <x:f>E23-C23</x:f>
        <x:v>4.5499999999999545</x:v>
      </x:c>
      <x:c r="F25" s="5" t="n">
        <x:f>F23-E23</x:f>
        <x:v>1.8000000000000682</x:v>
      </x:c>
      <x:c r="G25" s="5" t="n">
        <x:f>G23-F23</x:f>
        <x:v>8.550000000000068</x:v>
      </x:c>
      <x:c r="H25" s="21" t="n">
        <x:f>H23-G23</x:f>
        <x:v>9.949999999999932</x:v>
      </x:c>
    </x:row>
    <x:row r="26">
      <x:c r="B26" s="12" t="s">
        <x:v>96</x:v>
      </x:c>
      <x:c r="C26" s="7" t="n">
        <x:f>C20/D8-1</x:f>
        <x:v>0.038441284886782556</x:v>
      </x:c>
      <x:c r="D26" s="7" t="n">
        <x:f>D20/D8-1</x:f>
        <x:v>0.038441284886782556</x:v>
      </x:c>
      <x:c r="E26" s="13" t="n">
        <x:f>E20/Inputs!C103-1</x:f>
        <x:v>0.032494758909853205</x:v>
      </x:c>
      <x:c r="F26" s="13" t="n">
        <x:f>F20/Inputs!C106-1</x:f>
        <x:v>0.041834412742867366</x:v>
      </x:c>
      <x:c r="G26" s="7" t="n">
        <x:f>G20/C8-1</x:f>
        <x:v>0.045024918370854206</x:v>
      </x:c>
      <x:c r="H26" s="17" t="n">
        <x:f>H20/C20-1</x:f>
        <x:v>0.03972278566599052</x:v>
      </x:c>
    </x:row>
    <x:row r="27">
      <x:c r="B27" s="12" t="s">
        <x:v>97</x:v>
      </x:c>
      <x:c r="C27" s="5"/>
      <x:c r="D27" s="5"/>
      <x:c r="E27" s="5" t="n">
        <x:f>E20-C20</x:f>
        <x:v>-0.6000000000000227</x:v>
      </x:c>
      <x:c r="F27" s="5" t="n">
        <x:f>F20-E20</x:f>
        <x:v>4.2000000000000455</x:v>
      </x:c>
      <x:c r="G27" s="5" t="n">
        <x:f>G20-F20</x:f>
        <x:v>12.899999999999977</x:v>
      </x:c>
      <x:c r="H27" s="21" t="n">
        <x:f>H20-G20</x:f>
        <x:v>7</x:v>
      </x:c>
    </x:row>
    <x:row r="28">
      <x:c r="B28" s="12" t="s">
        <x:v>98</x:v>
      </x:c>
      <x:c r="C28" s="7"/>
      <x:c r="D28" s="7"/>
      <x:c r="E28" s="7"/>
      <x:c r="F28" s="7"/>
      <x:c r="G28" s="7"/>
      <x:c r="H28" s="17" t="n">
        <x:f>H11/H8</x:f>
        <x:v>0.02302252918927808</x:v>
      </x:c>
    </x:row>
    <x:row r="29">
      <x:c r="B29" s="12" t="s">
        <x:v>99</x:v>
      </x:c>
      <x:c r="C29" s="37"/>
      <x:c r="D29" s="37"/>
      <x:c r="E29" s="37"/>
      <x:c r="F29" s="37"/>
      <x:c r="G29" s="37"/>
      <x:c r="H29" s="57" t="s">
        <x:v>69</x:v>
      </x:c>
    </x:row>
    <x:row r="30">
      <x:c r="B30" s="12" t="s">
        <x:v>100</x:v>
      </x:c>
      <x:c r="C30" s="7"/>
      <x:c r="D30" s="7"/>
      <x:c r="E30" s="7"/>
      <x:c r="F30" s="7"/>
      <x:c r="G30" s="7"/>
      <x:c r="H30" s="58" t="n">
        <x:f>-H14/H8</x:f>
        <x:v>0.01151126459463904</x:v>
      </x:c>
    </x:row>
    <x:row r="31">
      <x:c r="B31" s="12" t="s">
        <x:v>101</x:v>
      </x:c>
      <x:c r="C31" s="37"/>
      <x:c r="D31" s="37"/>
      <x:c r="E31" s="37"/>
      <x:c r="F31" s="37"/>
      <x:c r="G31" s="37"/>
      <x:c r="H31" s="57" t="s">
        <x:v>69</x:v>
      </x:c>
    </x:row>
    <x:row r="32">
      <x:c r="B32" s="12" t="s">
        <x:v>102</x:v>
      </x:c>
      <x:c r="C32" s="20">
        <x:v>0.042</x:v>
      </x:c>
      <x:c r="D32" s="7"/>
      <x:c r="E32" s="20">
        <x:v>0.037</x:v>
      </x:c>
      <x:c r="F32" s="20">
        <x:v>0.043</x:v>
      </x:c>
      <x:c r="G32" s="20">
        <x:v>0.056</x:v>
      </x:c>
      <x:c r="H32" s="58" t="n">
        <x:f>H20/C20-1</x:f>
        <x:v>0.03972278566599052</x:v>
      </x:c>
    </x:row>
    <x:row r="33">
      <x:c r="B33" s="12" t="s">
        <x:v>103</x:v>
      </x:c>
      <x:c r="C33" s="37"/>
      <x:c r="D33" s="37"/>
      <x:c r="E33" s="37" t="n">
        <x:f>(E32-C32)*10000</x:f>
        <x:v>-50.00000000000004</x:v>
      </x:c>
      <x:c r="F33" s="37" t="n">
        <x:f>(F32-E32)*10000</x:f>
        <x:v>59.999999999999986</x:v>
      </x:c>
      <x:c r="G33" s="37" t="n">
        <x:f>(G32-F32)*10000</x:f>
        <x:v>130.00000000000006</x:v>
      </x:c>
      <x:c r="H33" s="57" t="s">
        <x:v>69</x:v>
      </x:c>
    </x:row>
    <x:row r="34">
      <x:c r="B34" s="12" t="s">
        <x:v>104</x:v>
      </x:c>
      <x:c r="C34" s="13" t="n">
        <x:f>C20/SUM('Segment - Americas'!C20,'Segment - EMEA'!C20,'Segment - Asia Pacific'!C20)</x:f>
        <x:v>0.2459261722647157</x:v>
      </x:c>
      <x:c r="D34" s="13" t="n">
        <x:f>D20/SUM('Segment - Americas'!D20,'Segment - EMEA'!D20,'Segment - Asia Pacific'!D20)</x:f>
        <x:v>0.2459261722647157</x:v>
      </x:c>
      <x:c r="E34" s="13" t="n">
        <x:f>E20/SUM('Segment - Americas'!E20,'Segment - EMEA'!E20,'Segment - Asia Pacific'!E20)</x:f>
        <x:v>0.24511633694164486</x:v>
      </x:c>
      <x:c r="F34" s="13" t="n">
        <x:f>F20/SUM('Segment - Americas'!F20,'Segment - EMEA'!F20,'Segment - Asia Pacific'!F20)</x:f>
        <x:v>0.24291894539221287</x:v>
      </x:c>
      <x:c r="G34" s="13" t="n">
        <x:f>G20/SUM('Segment - Americas'!G20,'Segment - EMEA'!G20,'Segment - Asia Pacific'!G20)</x:f>
        <x:v>0.2447772008211569</x:v>
      </x:c>
      <x:c r="H34" s="35" t="n">
        <x:f>H20/SUM('Segment - Americas'!H20,'Segment - EMEA'!H20,'Segment - Asia Pacific'!H20)</x:f>
        <x:v>0.24328600245224066</x:v>
      </x:c>
    </x:row>
    <x:row r="35">
      <x:c r="B35" s="12" t="s">
        <x:v>105</x:v>
      </x:c>
      <x:c r="C35" s="37"/>
      <x:c r="D35" s="37"/>
      <x:c r="E35" s="37" t="n">
        <x:f>(E34-C34)*10000</x:f>
        <x:v>-8.098353230708287</x:v>
      </x:c>
      <x:c r="F35" s="37" t="n">
        <x:f>(F34-E34)*10000</x:f>
        <x:v>-21.97391549431993</x:v>
      </x:c>
      <x:c r="G35" s="37" t="n">
        <x:f>(G34-F34)*10000</x:f>
        <x:v>18.582554289440225</x:v>
      </x:c>
      <x:c r="H35" s="41" t="n">
        <x:f>(H34-G34)*10000</x:f>
        <x:v>-14.9119836891623</x:v>
      </x:c>
    </x:row>
    <x:row r="36">
      <x:c r="B36" s="12" t="s">
        <x:v>106</x:v>
      </x:c>
      <x:c r="C36" s="7" t="n">
        <x:f>C44/C38</x:f>
        <x:v>1.0050685982104814</x:v>
      </x:c>
      <x:c r="D36" s="7" t="n">
        <x:f>D44/D38</x:f>
        <x:v>0.9993696719194005</x:v>
      </x:c>
      <x:c r="E36" s="7" t="n">
        <x:f>E44/E38</x:f>
        <x:v>1.0114459665144597</x:v>
      </x:c>
      <x:c r="F36" s="7" t="n">
        <x:f>F44/F38</x:f>
        <x:v>1.0056988703422693</x:v>
      </x:c>
      <x:c r="G36" s="7" t="n">
        <x:f>G44/G38</x:f>
        <x:v>1.0101554059669242</x:v>
      </x:c>
      <x:c r="H36" s="17" t="n">
        <x:f>H44/H38</x:f>
        <x:v>0.9973839110529757</x:v>
      </x:c>
    </x:row>
    <x:row r="37">
      <x:c r="B37" s="12" t="s">
        <x:v>107</x:v>
      </x:c>
      <x:c r="C37" s="37"/>
      <x:c r="D37" s="37"/>
      <x:c r="E37" s="37" t="n">
        <x:f>(E36-C36)*10000</x:f>
        <x:v>63.77368303978281</x:v>
      </x:c>
      <x:c r="F37" s="37" t="n">
        <x:f>(F36-E36)*10000</x:f>
        <x:v>-57.470961721903805</x:v>
      </x:c>
      <x:c r="G37" s="37" t="n">
        <x:f>(G36-F36)*10000</x:f>
        <x:v>44.565356246548674</x:v>
      </x:c>
      <x:c r="H37" s="41" t="n">
        <x:f>(H36-G36)*10000</x:f>
        <x:v>-127.71494913948467</x:v>
      </x:c>
    </x:row>
    <x:row r="38">
      <x:c r="B38" s="16" t="s">
        <x:v>108</x:v>
      </x:c>
      <x:c r="C38" s="9" t="n">
        <x:f>C23/Inputs!$C$111</x:f>
        <x:v>146.6875</x:v>
      </x:c>
      <x:c r="D38" s="11" t="n">
        <x:f>D23</x:f>
        <x:v>580.6500000000001</x:v>
      </x:c>
      <x:c r="E38" s="9" t="n">
        <x:f>E23/Inputs!$C$111</x:f>
        <x:v>147.825</x:v>
      </x:c>
      <x:c r="F38" s="9" t="n">
        <x:f>F23/Inputs!$C$111</x:f>
        <x:v>148.275</x:v>
      </x:c>
      <x:c r="G38" s="9" t="n">
        <x:f>G23/Inputs!$C$111</x:f>
        <x:v>150.41250000000002</x:v>
      </x:c>
      <x:c r="H38" s="24" t="n">
        <x:f>H23/Inputs!$C$111</x:f>
        <x:v>152.9</x:v>
      </x:c>
    </x:row>
    <x:row r="39">
      <x:c r="B39" s="12" t="s">
        <x:v>109</x:v>
      </x:c>
      <x:c r="C39" s="7"/>
      <x:c r="D39" s="7"/>
      <x:c r="E39" s="7"/>
      <x:c r="F39" s="7"/>
      <x:c r="G39" s="7"/>
      <x:c r="H39" s="17" t="n">
        <x:f>IF(C38=0,"unavailable",H38/C38-1)</x:f>
        <x:v>0.0423519386450788</x:v>
      </x:c>
    </x:row>
    <x:row r="40">
      <x:c r="B40" s="12" t="s">
        <x:v>84</x:v>
      </x:c>
      <x:c r="C40" s="5"/>
      <x:c r="D40" s="5"/>
      <x:c r="E40" s="5" t="n">
        <x:f>E38-C38</x:f>
        <x:v>1.1374999999999886</x:v>
      </x:c>
      <x:c r="F40" s="5" t="n">
        <x:f>F38-E38</x:f>
        <x:v>0.45000000000001705</x:v>
      </x:c>
      <x:c r="G40" s="5" t="n">
        <x:f>G38-F38</x:f>
        <x:v>2.137500000000017</x:v>
      </x:c>
      <x:c r="H40" s="21" t="n">
        <x:f>H38-G38</x:f>
        <x:v>2.487499999999983</x:v>
      </x:c>
    </x:row>
    <x:row r="41">
      <x:c r="B41" s="12" t="s">
        <x:v>110</x:v>
      </x:c>
      <x:c r="C41" s="5" t="n">
        <x:f>C44-C38</x:f>
        <x:v>0.7435000000000116</x:v>
      </x:c>
      <x:c r="D41" s="5" t="n">
        <x:f>D44-D38</x:f>
        <x:v>-0.36600000000009913</x:v>
      </x:c>
      <x:c r="E41" s="5" t="n">
        <x:f>E44-E38</x:f>
        <x:v>1.6920000000000073</x:v>
      </x:c>
      <x:c r="F41" s="5" t="n">
        <x:f>F44-F38</x:f>
        <x:v>0.8449999999999989</x:v>
      </x:c>
      <x:c r="G41" s="5" t="n">
        <x:f>G44-G38</x:f>
        <x:v>1.527499999999975</x:v>
      </x:c>
      <x:c r="H41" s="10">
        <x:v>-0.4</x:v>
      </x:c>
    </x:row>
    <x:row r="42">
      <x:c r="B42" s="12" t="s">
        <x:v>111</x:v>
      </x:c>
      <x:c r="C42" s="7"/>
      <x:c r="D42" s="7"/>
      <x:c r="E42" s="7"/>
      <x:c r="F42" s="7"/>
      <x:c r="G42" s="7"/>
      <x:c r="H42" s="17" t="n">
        <x:f>IF(C41=0,"unavailable",H41/C41-1)</x:f>
        <x:v>-1.537995965030254</x:v>
      </x:c>
    </x:row>
    <x:row r="43">
      <x:c r="B43" s="12" t="s">
        <x:v>84</x:v>
      </x:c>
      <x:c r="C43" s="5"/>
      <x:c r="D43" s="5"/>
      <x:c r="E43" s="5" t="n">
        <x:f>E41-C41</x:f>
        <x:v>0.9484999999999957</x:v>
      </x:c>
      <x:c r="F43" s="5" t="n">
        <x:f>F41-E41</x:f>
        <x:v>-0.8470000000000084</x:v>
      </x:c>
      <x:c r="G43" s="5" t="n">
        <x:f>G41-F41</x:f>
        <x:v>0.6824999999999761</x:v>
      </x:c>
      <x:c r="H43" s="21" t="n">
        <x:f>H41-G41</x:f>
        <x:v>-1.927499999999975</x:v>
      </x:c>
    </x:row>
    <x:row r="44">
      <x:c r="B44" s="16" t="s">
        <x:v>112</x:v>
      </x:c>
      <x:c r="C44" s="3">
        <x:v>147.431</x:v>
      </x:c>
      <x:c r="D44" s="3">
        <x:v>580.284</x:v>
      </x:c>
      <x:c r="E44" s="3">
        <x:v>149.517</x:v>
      </x:c>
      <x:c r="F44" s="3">
        <x:v>149.12</x:v>
      </x:c>
      <x:c r="G44" s="3">
        <x:v>151.94</x:v>
      </x:c>
      <x:c r="H44" s="15" t="n">
        <x:f>SUM(H38,H41)</x:f>
        <x:v>152.5</x:v>
      </x:c>
    </x:row>
    <x:row r="45">
      <x:c r="B45" s="12" t="s">
        <x:v>45</x:v>
      </x:c>
      <x:c r="C45" s="20">
        <x:v>0.017</x:v>
      </x:c>
      <x:c r="D45" s="7"/>
      <x:c r="E45" s="20">
        <x:v>0.04</x:v>
      </x:c>
      <x:c r="F45" s="20">
        <x:v>0.04</x:v>
      </x:c>
      <x:c r="G45" s="7" t="n">
        <x:f>(1+G48)/((1+G46)*(1+G47))-1</x:f>
        <x:v>0.05314479268323091</x:v>
      </x:c>
      <x:c r="H45" s="17" t="n">
        <x:f>(1+H48)/((1+H46)*(1+H47))-1</x:f>
        <x:v>0.03438218556477257</x:v>
      </x:c>
    </x:row>
    <x:row r="46">
      <x:c r="B46" s="12" t="s">
        <x:v>46</x:v>
      </x:c>
      <x:c r="C46" s="59" t="s">
        <x:v>69</x:v>
      </x:c>
      <x:c r="D46" s="59" t="s">
        <x:v>69</x:v>
      </x:c>
      <x:c r="E46" s="59" t="s">
        <x:v>69</x:v>
      </x:c>
      <x:c r="F46" s="59" t="s">
        <x:v>69</x:v>
      </x:c>
      <x:c r="G46" s="20">
        <x:v>-0.015</x:v>
      </x:c>
      <x:c r="H46" s="38">
        <x:v>0</x:v>
      </x:c>
    </x:row>
    <x:row r="47">
      <x:c r="B47" s="12" t="s">
        <x:v>47</x:v>
      </x:c>
      <x:c r="C47" s="59" t="s">
        <x:v>69</x:v>
      </x:c>
      <x:c r="D47" s="59" t="s">
        <x:v>69</x:v>
      </x:c>
      <x:c r="E47" s="59" t="s">
        <x:v>69</x:v>
      </x:c>
      <x:c r="F47" s="59" t="s">
        <x:v>69</x:v>
      </x:c>
      <x:c r="G47" s="20">
        <x:v>0.005</x:v>
      </x:c>
      <x:c r="H47" s="38">
        <x:v>0</x:v>
      </x:c>
    </x:row>
    <x:row r="48">
      <x:c r="B48" s="12" t="s">
        <x:v>58</x:v>
      </x:c>
      <x:c r="C48" s="7"/>
      <x:c r="D48" s="7"/>
      <x:c r="E48" s="13" t="n">
        <x:f>E44/Inputs!C93-1</x:f>
        <x:v>0.04029918246651598</x:v>
      </x:c>
      <x:c r="F48" s="13" t="n">
        <x:f>F44/Inputs!C96-1</x:f>
        <x:v>0.03998270415030647</x:v>
      </x:c>
      <x:c r="G48" s="13" t="n">
        <x:f>G44/Inputs!C90-1</x:f>
        <x:v>0.04253435889694712</x:v>
      </x:c>
      <x:c r="H48" s="17" t="n">
        <x:f>H44/C44-1</x:f>
        <x:v>0.03438218556477257</x:v>
      </x:c>
    </x:row>
    <x:row r="49">
      <x:c r="B49" s="12" t="s">
        <x:v>49</x:v>
      </x:c>
      <x:c r="C49" s="7"/>
      <x:c r="D49" s="7"/>
      <x:c r="E49" s="7" t="n">
        <x:f>E44/C44-1</x:f>
        <x:v>0.014148991731725236</x:v>
      </x:c>
      <x:c r="F49" s="7" t="n">
        <x:f>F44/E44-1</x:f>
        <x:v>-0.0026552164636796105</x:v>
      </x:c>
      <x:c r="G49" s="7" t="n">
        <x:f>G44/F44-1</x:f>
        <x:v>0.018910944206008473</x:v>
      </x:c>
      <x:c r="H49" s="17" t="n">
        <x:f>H44/G44-1</x:f>
        <x:v>0.0036856653942345385</x:v>
      </x:c>
    </x:row>
    <x:row r="50">
      <x:c r="B50" s="12" t="s">
        <x:v>50</x:v>
      </x:c>
      <x:c r="C50" s="13" t="n">
        <x:f>C44/'Revenue summary'!C32</x:f>
        <x:v>0.2469940576410494</x:v>
      </x:c>
      <x:c r="D50" s="13" t="n">
        <x:f>D44/'Revenue summary'!D32</x:f>
        <x:v>0.2499341013753431</x:v>
      </x:c>
      <x:c r="E50" s="13" t="n">
        <x:f>E44/'Revenue summary'!E32</x:f>
        <x:v>0.24606950714343315</x:v>
      </x:c>
      <x:c r="F50" s="13" t="n">
        <x:f>F44/'Revenue summary'!F32</x:f>
        <x:v>0.2440513306460192</x:v>
      </x:c>
      <x:c r="G50" s="13" t="n">
        <x:f>G44/'Revenue summary'!G32</x:f>
        <x:v>0.24391653476059444</x:v>
      </x:c>
      <x:c r="H50" s="35" t="n">
        <x:f>H44/'Revenue summary'!H32</x:f>
        <x:v>0.2424483306836248</x:v>
      </x:c>
    </x:row>
    <x:row r="51">
      <x:c r="B51" s="12" t="s">
        <x:v>113</x:v>
      </x:c>
      <x:c r="C51" s="5" t="n">
        <x:f>C44-C54</x:f>
        <x:v>82.06200000000001</x:v>
      </x:c>
      <x:c r="D51" s="5" t="n">
        <x:f>D44-D54</x:f>
        <x:v>306.282</x:v>
      </x:c>
      <x:c r="E51" s="5" t="n">
        <x:f>E44-E54</x:f>
        <x:v>81.363</x:v>
      </x:c>
      <x:c r="F51" s="5" t="n">
        <x:f>F44-F54</x:f>
        <x:v>82.878</x:v>
      </x:c>
      <x:c r="G51" s="5" t="n">
        <x:f>G44-G54</x:f>
        <x:v>93.758</x:v>
      </x:c>
      <x:c r="H51" s="6" t="n">
        <x:f>('Income Statement'!H10+'Income Statement'!H14)*G51/SUM('Segment - Americas'!G51,'Segment - EMEA'!G51,'Segment - Asia Pacific'!G51)</x:f>
        <x:v>91.06466250709018</x:v>
      </x:c>
    </x:row>
    <x:row r="52">
      <x:c r="B52" s="12" t="s">
        <x:v>114</x:v>
      </x:c>
      <x:c r="C52" s="7"/>
      <x:c r="D52" s="7"/>
      <x:c r="E52" s="7"/>
      <x:c r="F52" s="7"/>
      <x:c r="G52" s="7"/>
      <x:c r="H52" s="17" t="n">
        <x:f>IF(C51=0,"unavailable",H51/C51-1)</x:f>
        <x:v>0.10970561900867826</x:v>
      </x:c>
    </x:row>
    <x:row r="53">
      <x:c r="B53" s="12" t="s">
        <x:v>84</x:v>
      </x:c>
      <x:c r="C53" s="5"/>
      <x:c r="D53" s="5"/>
      <x:c r="E53" s="5" t="n">
        <x:f>E51-C51</x:f>
        <x:v>-0.6990000000000123</x:v>
      </x:c>
      <x:c r="F53" s="5" t="n">
        <x:f>F51-E51</x:f>
        <x:v>1.5150000000000006</x:v>
      </x:c>
      <x:c r="G53" s="5" t="n">
        <x:f>G51-F51</x:f>
        <x:v>10.879999999999995</x:v>
      </x:c>
      <x:c r="H53" s="21" t="n">
        <x:f>H51-G51</x:f>
        <x:v>-2.6933374929098193</x:v>
      </x:c>
    </x:row>
    <x:row r="54">
      <x:c r="B54" s="16" t="s">
        <x:v>115</x:v>
      </x:c>
      <x:c r="C54" s="3">
        <x:v>65.369</x:v>
      </x:c>
      <x:c r="D54" s="3">
        <x:v>274.002</x:v>
      </x:c>
      <x:c r="E54" s="3">
        <x:v>68.154</x:v>
      </x:c>
      <x:c r="F54" s="3">
        <x:v>66.242</x:v>
      </x:c>
      <x:c r="G54" s="3">
        <x:v>58.182</x:v>
      </x:c>
      <x:c r="H54" s="15" t="n">
        <x:f>H44-H51</x:f>
        <x:v>61.435337492909824</x:v>
      </x:c>
    </x:row>
    <x:row r="55">
      <x:c r="B55" s="12" t="s">
        <x:v>116</x:v>
      </x:c>
      <x:c r="C55" s="7"/>
      <x:c r="D55" s="7"/>
      <x:c r="E55" s="7"/>
      <x:c r="F55" s="7"/>
      <x:c r="G55" s="7"/>
      <x:c r="H55" s="17" t="n">
        <x:f>IF(C54=0,"unavailable",H54/C54-1)</x:f>
        <x:v>-0.06017626867613357</x:v>
      </x:c>
    </x:row>
    <x:row r="56">
      <x:c r="B56" s="12" t="s">
        <x:v>84</x:v>
      </x:c>
      <x:c r="C56" s="5"/>
      <x:c r="D56" s="5"/>
      <x:c r="E56" s="5" t="n">
        <x:f>E54-C54</x:f>
        <x:v>2.7849999999999966</x:v>
      </x:c>
      <x:c r="F56" s="5" t="n">
        <x:f>F54-E54</x:f>
        <x:v>-1.911999999999992</x:v>
      </x:c>
      <x:c r="G56" s="5" t="n">
        <x:f>G54-F54</x:f>
        <x:v>-8.060000000000002</x:v>
      </x:c>
      <x:c r="H56" s="21" t="n">
        <x:f>H54-G54</x:f>
        <x:v>3.2533374929098215</x:v>
      </x:c>
    </x:row>
    <x:row r="57">
      <x:c r="B57" s="12" t="s">
        <x:v>117</x:v>
      </x:c>
      <x:c r="C57" s="7" t="n">
        <x:f>C54/C44</x:f>
        <x:v>0.4433870759880893</x:v>
      </x:c>
      <x:c r="D57" s="7" t="n">
        <x:f>D54/D44</x:f>
        <x:v>0.4721860330458879</x:v>
      </x:c>
      <x:c r="E57" s="7" t="n">
        <x:f>E54/E44</x:f>
        <x:v>0.4558277654046028</x:v>
      </x:c>
      <x:c r="F57" s="7" t="n">
        <x:f>F54/F44</x:f>
        <x:v>0.4442194206008584</x:v>
      </x:c>
      <x:c r="G57" s="7" t="n">
        <x:f>G54/G44</x:f>
        <x:v>0.38292747137027777</x:v>
      </x:c>
      <x:c r="H57" s="17" t="n">
        <x:f>H54/H44</x:f>
        <x:v>0.4028546720846546</x:v>
      </x:c>
    </x:row>
    <x:row r="58">
      <x:c r="B58" s="12" t="s">
        <x:v>118</x:v>
      </x:c>
      <x:c r="C58" s="37"/>
      <x:c r="D58" s="37"/>
      <x:c r="E58" s="37"/>
      <x:c r="F58" s="37"/>
      <x:c r="G58" s="37" t="n">
        <x:f>(G57-C57)*10000</x:f>
        <x:v>-604.5960461781152</x:v>
      </x:c>
      <x:c r="H58" s="41" t="n">
        <x:f>(H57-G57)*10000</x:f>
        <x:v>199.27200714376815</x:v>
      </x:c>
    </x:row>
    <x:row r="59">
      <x:c r="B59" s="12" t="s">
        <x:v>119</x:v>
      </x:c>
      <x:c r="C59" s="5" t="s">
        <x:v>120</x:v>
      </x:c>
      <x:c r="D59" s="5"/>
      <x:c r="E59" s="5"/>
      <x:c r="F59" s="5"/>
      <x:c r="G59" s="5"/>
      <x:c r="H59" s="21"/>
    </x:row>
    <x:row r="60">
      <x:c r="B60" s="12" t="s">
        <x:v>121</x:v>
      </x:c>
      <x:c r="C60" s="5" t="s">
        <x:v>122</x:v>
      </x:c>
      <x:c r="D60" s="5"/>
      <x:c r="E60" s="5"/>
      <x:c r="F60" s="5"/>
      <x:c r="G60" s="5"/>
      <x:c r="H60" s="21"/>
    </x:row>
    <x:row r="61">
      <x:c r="B61" s="12" t="s">
        <x:v>123</x:v>
      </x:c>
      <x:c r="C61" s="5"/>
      <x:c r="D61" s="5"/>
      <x:c r="E61" s="5"/>
      <x:c r="F61" s="5"/>
      <x:c r="G61" s="5"/>
      <x:c r="H61" s="2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2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125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82</x:v>
      </x:c>
      <x:c r="C8" s="18">
        <x:v>240.1</x:v>
      </x:c>
      <x:c r="D8" s="18">
        <x:v>230.3</x:v>
      </x:c>
      <x:c r="E8" s="5" t="n">
        <x:f>C20</x:f>
        <x:v>243.9</x:v>
      </x:c>
      <x:c r="F8" s="5" t="n">
        <x:f>E20</x:f>
        <x:v>244.3</x:v>
      </x:c>
      <x:c r="G8" s="5" t="n">
        <x:f>F20</x:f>
        <x:v>249.1</x:v>
      </x:c>
      <x:c r="H8" s="21" t="n">
        <x:f>G20</x:f>
        <x:v>255.2</x:v>
      </x:c>
      <x:c r="J8" s="12" t="s">
        <x:v>12</x:v>
      </x:c>
    </x:row>
    <x:row r="9">
      <x:c r="B9" s="12" t="s">
        <x:v>83</x:v>
      </x:c>
      <x:c r="C9" s="7"/>
      <x:c r="D9" s="7"/>
      <x:c r="E9" s="7"/>
      <x:c r="F9" s="7"/>
      <x:c r="G9" s="7"/>
      <x:c r="H9" s="17" t="n">
        <x:f>H8/C8-1</x:f>
        <x:v>0.06289046230737183</x:v>
      </x:c>
      <x:c r="J9" s="12"/>
    </x:row>
    <x:row r="10">
      <x:c r="B10" s="12" t="s">
        <x:v>84</x:v>
      </x:c>
      <x:c r="C10" s="12"/>
      <x:c r="D10" s="12"/>
      <x:c r="E10" s="5" t="n">
        <x:f>E8-C8</x:f>
        <x:v>3.8000000000000114</x:v>
      </x:c>
      <x:c r="F10" s="5" t="n">
        <x:f>F8-E8</x:f>
        <x:v>0.4000000000000057</x:v>
      </x:c>
      <x:c r="G10" s="5" t="n">
        <x:f>G8-F8</x:f>
        <x:v>4.799999999999983</x:v>
      </x:c>
      <x:c r="H10" s="21" t="n">
        <x:f>H8-G8</x:f>
        <x:v>6.099999999999994</x:v>
      </x:c>
      <x:c r="J10" s="12"/>
    </x:row>
    <x:row r="11">
      <x:c r="B11" s="12" t="s">
        <x:v>85</x:v>
      </x:c>
      <x:c r="C11" s="5"/>
      <x:c r="D11" s="5"/>
      <x:c r="E11" s="5"/>
      <x:c r="F11" s="5"/>
      <x:c r="G11" s="5"/>
      <x:c r="H11" s="10">
        <x:v>9</x:v>
      </x:c>
      <x:c r="J11" s="12" t="s">
        <x:v>86</x:v>
      </x:c>
    </x:row>
    <x:row r="12">
      <x:c r="B12" s="12" t="s">
        <x:v>83</x:v>
      </x:c>
      <x:c r="C12" s="12"/>
      <x:c r="D12" s="12"/>
      <x:c r="E12" s="12"/>
      <x:c r="F12" s="12"/>
      <x:c r="G12" s="12"/>
      <x:c r="H12" s="55" t="s">
        <x:v>69</x:v>
      </x:c>
      <x:c r="J12" s="12"/>
    </x:row>
    <x:row r="13">
      <x:c r="B13" s="12" t="s">
        <x:v>84</x:v>
      </x:c>
      <x:c r="C13" s="12"/>
      <x:c r="D13" s="12"/>
      <x:c r="E13" s="12"/>
      <x:c r="F13" s="12"/>
      <x:c r="G13" s="12"/>
      <x:c r="H13" s="55" t="s">
        <x:v>69</x:v>
      </x:c>
      <x:c r="J13" s="12" t="s">
        <x:v>87</x:v>
      </x:c>
    </x:row>
    <x:row r="14">
      <x:c r="B14" s="12" t="s">
        <x:v>88</x:v>
      </x:c>
      <x:c r="C14" s="5"/>
      <x:c r="D14" s="5"/>
      <x:c r="E14" s="5"/>
      <x:c r="F14" s="5"/>
      <x:c r="G14" s="5"/>
      <x:c r="H14" s="56">
        <x:v>-4</x:v>
      </x:c>
      <x:c r="J14" s="12" t="s">
        <x:v>89</x:v>
      </x:c>
    </x:row>
    <x:row r="15">
      <x:c r="B15" s="12" t="s">
        <x:v>90</x:v>
      </x:c>
      <x:c r="C15" s="12"/>
      <x:c r="D15" s="12"/>
      <x:c r="E15" s="12"/>
      <x:c r="F15" s="12"/>
      <x:c r="G15" s="12"/>
      <x:c r="H15" s="55" t="s">
        <x:v>69</x:v>
      </x:c>
    </x:row>
    <x:row r="16">
      <x:c r="B16" s="12" t="s">
        <x:v>84</x:v>
      </x:c>
      <x:c r="C16" s="12"/>
      <x:c r="D16" s="12"/>
      <x:c r="E16" s="12"/>
      <x:c r="F16" s="12"/>
      <x:c r="G16" s="12"/>
      <x:c r="H16" s="55" t="s">
        <x:v>69</x:v>
      </x:c>
    </x:row>
    <x:row r="17">
      <x:c r="B17" s="16" t="s">
        <x:v>91</x:v>
      </x:c>
      <x:c r="C17" s="11" t="n">
        <x:f>C20-C8</x:f>
        <x:v>3.8000000000000114</x:v>
      </x:c>
      <x:c r="D17" s="11" t="n">
        <x:f>D20-D8</x:f>
        <x:v>13.599999999999994</x:v>
      </x:c>
      <x:c r="E17" s="11" t="n">
        <x:f>E20-E8</x:f>
        <x:v>0.4000000000000057</x:v>
      </x:c>
      <x:c r="F17" s="11" t="n">
        <x:f>F20-F8</x:f>
        <x:v>4.799999999999983</x:v>
      </x:c>
      <x:c r="G17" s="11" t="n">
        <x:f>G20-G8</x:f>
        <x:v>6.099999999999994</x:v>
      </x:c>
      <x:c r="H17" s="15" t="n">
        <x:f>H11+H14</x:f>
        <x:v>5</x:v>
      </x:c>
      <x:c r="J17" s="12" t="s">
        <x:v>92</x:v>
      </x:c>
    </x:row>
    <x:row r="18">
      <x:c r="B18" s="12" t="s">
        <x:v>83</x:v>
      </x:c>
      <x:c r="C18" s="7"/>
      <x:c r="D18" s="7"/>
      <x:c r="E18" s="7"/>
      <x:c r="F18" s="7"/>
      <x:c r="G18" s="7"/>
      <x:c r="H18" s="17" t="n">
        <x:f>H17/C17-1</x:f>
        <x:v>0.3157894736842066</x:v>
      </x:c>
    </x:row>
    <x:row r="19">
      <x:c r="B19" s="12" t="s">
        <x:v>84</x:v>
      </x:c>
      <x:c r="C19" s="12"/>
      <x:c r="D19" s="12"/>
      <x:c r="E19" s="5" t="n">
        <x:f>E17-C17</x:f>
        <x:v>-3.4000000000000057</x:v>
      </x:c>
      <x:c r="F19" s="5" t="n">
        <x:f>F17-E17</x:f>
        <x:v>4.399999999999977</x:v>
      </x:c>
      <x:c r="G19" s="5" t="n">
        <x:f>G17-F17</x:f>
        <x:v>1.3000000000000114</x:v>
      </x:c>
      <x:c r="H19" s="21" t="n">
        <x:f>H17-G17</x:f>
        <x:v>-1.0999999999999943</x:v>
      </x:c>
    </x:row>
    <x:row r="20">
      <x:c r="B20" s="16" t="s">
        <x:v>93</x:v>
      </x:c>
      <x:c r="C20" s="3">
        <x:v>243.9</x:v>
      </x:c>
      <x:c r="D20" s="11" t="n">
        <x:f>C20</x:f>
        <x:v>243.9</x:v>
      </x:c>
      <x:c r="E20" s="3">
        <x:v>244.3</x:v>
      </x:c>
      <x:c r="F20" s="3">
        <x:v>249.1</x:v>
      </x:c>
      <x:c r="G20" s="3">
        <x:v>255.2</x:v>
      </x:c>
      <x:c r="H20" s="15" t="n">
        <x:f>H8+H17</x:f>
        <x:v>260.2</x:v>
      </x:c>
      <x:c r="J20" s="12" t="s">
        <x:v>94</x:v>
      </x:c>
    </x:row>
    <x:row r="21">
      <x:c r="B21" s="12" t="s">
        <x:v>83</x:v>
      </x:c>
      <x:c r="C21" s="7"/>
      <x:c r="D21" s="7"/>
      <x:c r="E21" s="7"/>
      <x:c r="F21" s="7"/>
      <x:c r="G21" s="7" t="n">
        <x:f>G20/C8-1</x:f>
        <x:v>0.06289046230737183</x:v>
      </x:c>
      <x:c r="H21" s="17" t="n">
        <x:f>H20/C20-1</x:f>
        <x:v>0.06683066830668305</x:v>
      </x:c>
    </x:row>
    <x:row r="22">
      <x:c r="B22" s="12" t="s">
        <x:v>84</x:v>
      </x:c>
      <x:c r="C22" s="12"/>
      <x:c r="D22" s="12"/>
      <x:c r="E22" s="5" t="n">
        <x:f>E20-C20</x:f>
        <x:v>0.4000000000000057</x:v>
      </x:c>
      <x:c r="F22" s="5" t="n">
        <x:f>F20-E20</x:f>
        <x:v>4.799999999999983</x:v>
      </x:c>
      <x:c r="G22" s="5" t="n">
        <x:f>G20-F20</x:f>
        <x:v>6.099999999999994</x:v>
      </x:c>
      <x:c r="H22" s="21" t="n">
        <x:f>H20-G20</x:f>
        <x:v>5</x:v>
      </x:c>
    </x:row>
    <x:row r="23">
      <x:c r="B23" s="12" t="s">
        <x:v>95</x:v>
      </x:c>
      <x:c r="C23" s="5" t="n">
        <x:f>AVERAGE(C8,C20)</x:f>
        <x:v>242</x:v>
      </x:c>
      <x:c r="D23" s="5" t="n">
        <x:f>AVERAGE(D8,D20)</x:f>
        <x:v>237.10000000000002</x:v>
      </x:c>
      <x:c r="E23" s="5" t="n">
        <x:f>AVERAGE(E8,E20)</x:f>
        <x:v>244.10000000000002</x:v>
      </x:c>
      <x:c r="F23" s="5" t="n">
        <x:f>AVERAGE(F8,F20)</x:f>
        <x:v>246.7</x:v>
      </x:c>
      <x:c r="G23" s="5" t="n">
        <x:f>AVERAGE(G8,G20)</x:f>
        <x:v>252.14999999999998</x:v>
      </x:c>
      <x:c r="H23" s="21" t="n">
        <x:f>AVERAGE(H8,H20)</x:f>
        <x:v>257.7</x:v>
      </x:c>
    </x:row>
    <x:row r="24">
      <x:c r="B24" s="12" t="s">
        <x:v>83</x:v>
      </x:c>
      <x:c r="C24" s="7"/>
      <x:c r="D24" s="7"/>
      <x:c r="E24" s="7"/>
      <x:c r="F24" s="7"/>
      <x:c r="G24" s="7" t="n">
        <x:f>G23/AVERAGE(Inputs!C107,C8)-1</x:f>
        <x:v>0.06437315322921067</x:v>
      </x:c>
      <x:c r="H24" s="17" t="n">
        <x:f>H23/C23-1</x:f>
        <x:v>0.06487603305785128</x:v>
      </x:c>
    </x:row>
    <x:row r="25">
      <x:c r="B25" s="12" t="s">
        <x:v>84</x:v>
      </x:c>
      <x:c r="C25" s="12"/>
      <x:c r="D25" s="12"/>
      <x:c r="E25" s="5" t="n">
        <x:f>E23-C23</x:f>
        <x:v>2.1000000000000227</x:v>
      </x:c>
      <x:c r="F25" s="5" t="n">
        <x:f>F23-E23</x:f>
        <x:v>2.599999999999966</x:v>
      </x:c>
      <x:c r="G25" s="5" t="n">
        <x:f>G23-F23</x:f>
        <x:v>5.449999999999989</x:v>
      </x:c>
      <x:c r="H25" s="21" t="n">
        <x:f>H23-G23</x:f>
        <x:v>5.550000000000011</x:v>
      </x:c>
    </x:row>
    <x:row r="26">
      <x:c r="B26" s="12" t="s">
        <x:v>96</x:v>
      </x:c>
      <x:c r="C26" s="7" t="n">
        <x:f>C20/D8-1</x:f>
        <x:v>0.05905340859748143</x:v>
      </x:c>
      <x:c r="D26" s="7" t="n">
        <x:f>D20/D8-1</x:f>
        <x:v>0.05905340859748143</x:v>
      </x:c>
      <x:c r="E26" s="13" t="n">
        <x:f>E20/Inputs!C104-1</x:f>
        <x:v>0.06681222707423595</x:v>
      </x:c>
      <x:c r="F26" s="13" t="n">
        <x:f>F20/Inputs!C107-1</x:f>
        <x:v>0.06589644843816855</x:v>
      </x:c>
      <x:c r="G26" s="7" t="n">
        <x:f>G20/C8-1</x:f>
        <x:v>0.06289046230737183</x:v>
      </x:c>
      <x:c r="H26" s="17" t="n">
        <x:f>H20/C20-1</x:f>
        <x:v>0.06683066830668305</x:v>
      </x:c>
    </x:row>
    <x:row r="27">
      <x:c r="B27" s="12" t="s">
        <x:v>97</x:v>
      </x:c>
      <x:c r="C27" s="5"/>
      <x:c r="D27" s="5"/>
      <x:c r="E27" s="5" t="n">
        <x:f>E20-C20</x:f>
        <x:v>0.4000000000000057</x:v>
      </x:c>
      <x:c r="F27" s="5" t="n">
        <x:f>F20-E20</x:f>
        <x:v>4.799999999999983</x:v>
      </x:c>
      <x:c r="G27" s="5" t="n">
        <x:f>G20-F20</x:f>
        <x:v>6.099999999999994</x:v>
      </x:c>
      <x:c r="H27" s="21" t="n">
        <x:f>H20-G20</x:f>
        <x:v>5</x:v>
      </x:c>
    </x:row>
    <x:row r="28">
      <x:c r="B28" s="12" t="s">
        <x:v>98</x:v>
      </x:c>
      <x:c r="C28" s="7"/>
      <x:c r="D28" s="7"/>
      <x:c r="E28" s="7"/>
      <x:c r="F28" s="7"/>
      <x:c r="G28" s="7"/>
      <x:c r="H28" s="17" t="n">
        <x:f>H11/H8</x:f>
        <x:v>0.03526645768025079</x:v>
      </x:c>
    </x:row>
    <x:row r="29">
      <x:c r="B29" s="12" t="s">
        <x:v>99</x:v>
      </x:c>
      <x:c r="C29" s="37"/>
      <x:c r="D29" s="37"/>
      <x:c r="E29" s="37"/>
      <x:c r="F29" s="37"/>
      <x:c r="G29" s="37"/>
      <x:c r="H29" s="57" t="s">
        <x:v>69</x:v>
      </x:c>
    </x:row>
    <x:row r="30">
      <x:c r="B30" s="12" t="s">
        <x:v>100</x:v>
      </x:c>
      <x:c r="C30" s="7"/>
      <x:c r="D30" s="7"/>
      <x:c r="E30" s="7"/>
      <x:c r="F30" s="7"/>
      <x:c r="G30" s="7"/>
      <x:c r="H30" s="58" t="n">
        <x:f>-H14/H8</x:f>
        <x:v>0.015673981191222573</x:v>
      </x:c>
    </x:row>
    <x:row r="31">
      <x:c r="B31" s="12" t="s">
        <x:v>101</x:v>
      </x:c>
      <x:c r="C31" s="37"/>
      <x:c r="D31" s="37"/>
      <x:c r="E31" s="37"/>
      <x:c r="F31" s="37"/>
      <x:c r="G31" s="37"/>
      <x:c r="H31" s="57" t="s">
        <x:v>69</x:v>
      </x:c>
    </x:row>
    <x:row r="32">
      <x:c r="B32" s="12" t="s">
        <x:v>102</x:v>
      </x:c>
      <x:c r="C32" s="20">
        <x:v>0.072</x:v>
      </x:c>
      <x:c r="D32" s="7"/>
      <x:c r="E32" s="20">
        <x:v>0.084</x:v>
      </x:c>
      <x:c r="F32" s="20">
        <x:v>0.1</x:v>
      </x:c>
      <x:c r="G32" s="20">
        <x:v>0.1</x:v>
      </x:c>
      <x:c r="H32" s="58" t="n">
        <x:f>H20/C20-1</x:f>
        <x:v>0.06683066830668305</x:v>
      </x:c>
    </x:row>
    <x:row r="33">
      <x:c r="B33" s="12" t="s">
        <x:v>103</x:v>
      </x:c>
      <x:c r="C33" s="37"/>
      <x:c r="D33" s="37"/>
      <x:c r="E33" s="37" t="n">
        <x:f>(E32-C32)*10000</x:f>
        <x:v>120.00000000000011</x:v>
      </x:c>
      <x:c r="F33" s="37" t="n">
        <x:f>(F32-E32)*10000</x:f>
        <x:v>160</x:v>
      </x:c>
      <x:c r="G33" s="37" t="n">
        <x:f>(G32-F32)*10000</x:f>
        <x:v>0</x:v>
      </x:c>
      <x:c r="H33" s="57" t="s">
        <x:v>69</x:v>
      </x:c>
    </x:row>
    <x:row r="34">
      <x:c r="B34" s="12" t="s">
        <x:v>104</x:v>
      </x:c>
      <x:c r="C34" s="13" t="n">
        <x:f>C20/SUM('Segment - Americas'!C20,'Segment - EMEA'!C20,'Segment - Asia Pacific'!C20)</x:f>
        <x:v>0.10138842700365813</x:v>
      </x:c>
      <x:c r="D34" s="13" t="n">
        <x:f>D20/SUM('Segment - Americas'!D20,'Segment - EMEA'!D20,'Segment - Asia Pacific'!D20)</x:f>
        <x:v>0.10138842700365813</x:v>
      </x:c>
      <x:c r="E34" s="13" t="n">
        <x:f>E20/SUM('Segment - Americas'!E20,'Segment - EMEA'!E20,'Segment - Asia Pacific'!E20)</x:f>
        <x:v>0.10132304757164778</x:v>
      </x:c>
      <x:c r="F34" s="13" t="n">
        <x:f>F20/SUM('Segment - Americas'!F20,'Segment - EMEA'!F20,'Segment - Asia Pacific'!F20)</x:f>
        <x:v>0.10166517019018854</x:v>
      </x:c>
      <x:c r="G34" s="13" t="n">
        <x:f>G20/SUM('Segment - Americas'!G20,'Segment - EMEA'!G20,'Segment - Asia Pacific'!G20)</x:f>
        <x:v>0.10272511371412471</x:v>
      </x:c>
      <x:c r="H34" s="35" t="n">
        <x:f>H20/SUM('Segment - Americas'!H20,'Segment - EMEA'!H20,'Segment - Asia Pacific'!H20)</x:f>
        <x:v>0.10291500217537476</x:v>
      </x:c>
    </x:row>
    <x:row r="35">
      <x:c r="B35" s="12" t="s">
        <x:v>105</x:v>
      </x:c>
      <x:c r="C35" s="37"/>
      <x:c r="D35" s="37"/>
      <x:c r="E35" s="37" t="n">
        <x:f>(E34-C34)*10000</x:f>
        <x:v>-0.6537943201034846</x:v>
      </x:c>
      <x:c r="F35" s="37" t="n">
        <x:f>(F34-E34)*10000</x:f>
        <x:v>3.4212261854076056</x:v>
      </x:c>
      <x:c r="G35" s="37" t="n">
        <x:f>(G34-F34)*10000</x:f>
        <x:v>10.599435239361659</x:v>
      </x:c>
      <x:c r="H35" s="41" t="n">
        <x:f>(H34-G34)*10000</x:f>
        <x:v>1.898884612500512</x:v>
      </x:c>
    </x:row>
    <x:row r="36">
      <x:c r="B36" s="12" t="s">
        <x:v>106</x:v>
      </x:c>
      <x:c r="C36" s="7" t="n">
        <x:f>C44/C38</x:f>
        <x:v>1.004396694214876</x:v>
      </x:c>
      <x:c r="D36" s="7" t="n">
        <x:f>D44/D38</x:f>
        <x:v>0.9926444538169548</x:v>
      </x:c>
      <x:c r="E36" s="7" t="n">
        <x:f>E44/E38</x:f>
        <x:v>1.014797214256452</x:v>
      </x:c>
      <x:c r="F36" s="7" t="n">
        <x:f>F44/F38</x:f>
        <x:v>1.0087717875962707</x:v>
      </x:c>
      <x:c r="G36" s="7" t="n">
        <x:f>G44/G38</x:f>
        <x:v>1.0111124330755503</x:v>
      </x:c>
      <x:c r="H36" s="17" t="n">
        <x:f>H44/H38</x:f>
        <x:v>0.9856422196352348</x:v>
      </x:c>
    </x:row>
    <x:row r="37">
      <x:c r="B37" s="12" t="s">
        <x:v>107</x:v>
      </x:c>
      <x:c r="C37" s="37"/>
      <x:c r="D37" s="37"/>
      <x:c r="E37" s="37" t="n">
        <x:f>(E36-C36)*10000</x:f>
        <x:v>104.00520041575989</x:v>
      </x:c>
      <x:c r="F37" s="37" t="n">
        <x:f>(F36-E36)*10000</x:f>
        <x:v>-60.25426660181354</x:v>
      </x:c>
      <x:c r="G37" s="37" t="n">
        <x:f>(G36-F36)*10000</x:f>
        <x:v>23.406454792795905</x:v>
      </x:c>
      <x:c r="H37" s="41" t="n">
        <x:f>(H36-G36)*10000</x:f>
        <x:v>-254.70213440315524</x:v>
      </x:c>
    </x:row>
    <x:row r="38">
      <x:c r="B38" s="16" t="s">
        <x:v>108</x:v>
      </x:c>
      <x:c r="C38" s="9" t="n">
        <x:f>C23/Inputs!$C$111</x:f>
        <x:v>60.5</x:v>
      </x:c>
      <x:c r="D38" s="11" t="n">
        <x:f>D23</x:f>
        <x:v>237.10000000000002</x:v>
      </x:c>
      <x:c r="E38" s="9" t="n">
        <x:f>E23/Inputs!$C$111</x:f>
        <x:v>61.025000000000006</x:v>
      </x:c>
      <x:c r="F38" s="9" t="n">
        <x:f>F23/Inputs!$C$111</x:f>
        <x:v>61.675</x:v>
      </x:c>
      <x:c r="G38" s="9" t="n">
        <x:f>G23/Inputs!$C$111</x:f>
        <x:v>63.037499999999994</x:v>
      </x:c>
      <x:c r="H38" s="24" t="n">
        <x:f>H23/Inputs!$C$111</x:f>
        <x:v>64.425</x:v>
      </x:c>
    </x:row>
    <x:row r="39">
      <x:c r="B39" s="12" t="s">
        <x:v>109</x:v>
      </x:c>
      <x:c r="C39" s="7"/>
      <x:c r="D39" s="7"/>
      <x:c r="E39" s="7"/>
      <x:c r="F39" s="7"/>
      <x:c r="G39" s="7"/>
      <x:c r="H39" s="17" t="n">
        <x:f>IF(C38=0,"unavailable",H38/C38-1)</x:f>
        <x:v>0.06487603305785128</x:v>
      </x:c>
    </x:row>
    <x:row r="40">
      <x:c r="B40" s="12" t="s">
        <x:v>84</x:v>
      </x:c>
      <x:c r="C40" s="5"/>
      <x:c r="D40" s="5"/>
      <x:c r="E40" s="5" t="n">
        <x:f>E38-C38</x:f>
        <x:v>0.5250000000000057</x:v>
      </x:c>
      <x:c r="F40" s="5" t="n">
        <x:f>F38-E38</x:f>
        <x:v>0.6499999999999915</x:v>
      </x:c>
      <x:c r="G40" s="5" t="n">
        <x:f>G38-F38</x:f>
        <x:v>1.3624999999999972</x:v>
      </x:c>
      <x:c r="H40" s="21" t="n">
        <x:f>H38-G38</x:f>
        <x:v>1.3875000000000028</x:v>
      </x:c>
    </x:row>
    <x:row r="41">
      <x:c r="B41" s="12" t="s">
        <x:v>110</x:v>
      </x:c>
      <x:c r="C41" s="5" t="n">
        <x:f>C44-C38</x:f>
        <x:v>0.26599999999999824</x:v>
      </x:c>
      <x:c r="D41" s="5" t="n">
        <x:f>D44-D38</x:f>
        <x:v>-1.7440000000000282</x:v>
      </x:c>
      <x:c r="E41" s="5" t="n">
        <x:f>E44-E38</x:f>
        <x:v>0.9029999999999916</x:v>
      </x:c>
      <x:c r="F41" s="5" t="n">
        <x:f>F44-F38</x:f>
        <x:v>0.5410000000000039</x:v>
      </x:c>
      <x:c r="G41" s="5" t="n">
        <x:f>G44-G38</x:f>
        <x:v>0.7005000000000052</x:v>
      </x:c>
      <x:c r="H41" s="10">
        <x:v>-0.925</x:v>
      </x:c>
    </x:row>
    <x:row r="42">
      <x:c r="B42" s="12" t="s">
        <x:v>111</x:v>
      </x:c>
      <x:c r="C42" s="7"/>
      <x:c r="D42" s="7"/>
      <x:c r="E42" s="7"/>
      <x:c r="F42" s="7"/>
      <x:c r="G42" s="7"/>
      <x:c r="H42" s="17" t="n">
        <x:f>IF(C41=0,"unavailable",H41/C41-1)</x:f>
        <x:v>-4.477443609022579</x:v>
      </x:c>
    </x:row>
    <x:row r="43">
      <x:c r="B43" s="12" t="s">
        <x:v>84</x:v>
      </x:c>
      <x:c r="C43" s="5"/>
      <x:c r="D43" s="5"/>
      <x:c r="E43" s="5" t="n">
        <x:f>E41-C41</x:f>
        <x:v>0.6369999999999933</x:v>
      </x:c>
      <x:c r="F43" s="5" t="n">
        <x:f>F41-E41</x:f>
        <x:v>-0.36199999999998766</x:v>
      </x:c>
      <x:c r="G43" s="5" t="n">
        <x:f>G41-F41</x:f>
        <x:v>0.1595000000000013</x:v>
      </x:c>
      <x:c r="H43" s="21" t="n">
        <x:f>H41-G41</x:f>
        <x:v>-1.6255000000000053</x:v>
      </x:c>
    </x:row>
    <x:row r="44">
      <x:c r="B44" s="16" t="s">
        <x:v>112</x:v>
      </x:c>
      <x:c r="C44" s="3">
        <x:v>60.766</x:v>
      </x:c>
      <x:c r="D44" s="3">
        <x:v>235.356</x:v>
      </x:c>
      <x:c r="E44" s="3">
        <x:v>61.928</x:v>
      </x:c>
      <x:c r="F44" s="3">
        <x:v>62.216</x:v>
      </x:c>
      <x:c r="G44" s="3">
        <x:v>63.738</x:v>
      </x:c>
      <x:c r="H44" s="15" t="n">
        <x:f>SUM(H38,H41)</x:f>
        <x:v>63.5</x:v>
      </x:c>
    </x:row>
    <x:row r="45">
      <x:c r="B45" s="12" t="s">
        <x:v>45</x:v>
      </x:c>
      <x:c r="C45" s="20">
        <x:v>0.059</x:v>
      </x:c>
      <x:c r="D45" s="7"/>
      <x:c r="E45" s="20">
        <x:v>0.083</x:v>
      </x:c>
      <x:c r="F45" s="20">
        <x:v>0.097</x:v>
      </x:c>
      <x:c r="G45" s="7" t="n">
        <x:f>(1+G48)/((1+G46)*(1+G47))-1</x:f>
        <x:v>0.1082650028440566</x:v>
      </x:c>
      <x:c r="H45" s="17" t="n">
        <x:f>(1+H48)/((1+H46)*(1+H47))-1</x:f>
        <x:v>0.04499226541157886</x:v>
      </x:c>
    </x:row>
    <x:row r="46">
      <x:c r="B46" s="12" t="s">
        <x:v>46</x:v>
      </x:c>
      <x:c r="C46" s="59" t="s">
        <x:v>69</x:v>
      </x:c>
      <x:c r="D46" s="59" t="s">
        <x:v>69</x:v>
      </x:c>
      <x:c r="E46" s="59" t="s">
        <x:v>69</x:v>
      </x:c>
      <x:c r="F46" s="59" t="s">
        <x:v>69</x:v>
      </x:c>
      <x:c r="G46" s="20">
        <x:v>-0.02</x:v>
      </x:c>
      <x:c r="H46" s="38">
        <x:v>0</x:v>
      </x:c>
    </x:row>
    <x:row r="47">
      <x:c r="B47" s="12" t="s">
        <x:v>47</x:v>
      </x:c>
      <x:c r="C47" s="59" t="s">
        <x:v>69</x:v>
      </x:c>
      <x:c r="D47" s="59" t="s">
        <x:v>69</x:v>
      </x:c>
      <x:c r="E47" s="59" t="s">
        <x:v>69</x:v>
      </x:c>
      <x:c r="F47" s="59" t="s">
        <x:v>69</x:v>
      </x:c>
      <x:c r="G47" s="20">
        <x:v>-0.01</x:v>
      </x:c>
      <x:c r="H47" s="38">
        <x:v>0</x:v>
      </x:c>
    </x:row>
    <x:row r="48">
      <x:c r="B48" s="12" t="s">
        <x:v>58</x:v>
      </x:c>
      <x:c r="C48" s="7"/>
      <x:c r="D48" s="7"/>
      <x:c r="E48" s="13" t="n">
        <x:f>E44/Inputs!C94-1</x:f>
        <x:v>0.07327556325823203</x:v>
      </x:c>
      <x:c r="F48" s="13" t="n">
        <x:f>F44/Inputs!C97-1</x:f>
        <x:v>0.07991390682496702</x:v>
      </x:c>
      <x:c r="G48" s="13" t="n">
        <x:f>G44/Inputs!C91-1</x:f>
        <x:v>0.07523870575930358</x:v>
      </x:c>
      <x:c r="H48" s="17" t="n">
        <x:f>H44/C44-1</x:f>
        <x:v>0.04499226541157886</x:v>
      </x:c>
    </x:row>
    <x:row r="49">
      <x:c r="B49" s="12" t="s">
        <x:v>49</x:v>
      </x:c>
      <x:c r="C49" s="7"/>
      <x:c r="D49" s="7"/>
      <x:c r="E49" s="7" t="n">
        <x:f>E44/C44-1</x:f>
        <x:v>0.019122535628476545</x:v>
      </x:c>
      <x:c r="F49" s="7" t="n">
        <x:f>F44/E44-1</x:f>
        <x:v>0.004650561942901588</x:v>
      </x:c>
      <x:c r="G49" s="7" t="n">
        <x:f>G44/F44-1</x:f>
        <x:v>0.024463160601774447</x:v>
      </x:c>
      <x:c r="H49" s="17" t="n">
        <x:f>H44/G44-1</x:f>
        <x:v>-0.0037340362107376457</x:v>
      </x:c>
    </x:row>
    <x:row r="50">
      <x:c r="B50" s="12" t="s">
        <x:v>50</x:v>
      </x:c>
      <x:c r="C50" s="13" t="n">
        <x:f>C44/'Revenue summary'!C32</x:f>
        <x:v>0.10180247645757003</x:v>
      </x:c>
      <x:c r="D50" s="13" t="n">
        <x:f>D44/'Revenue summary'!D32</x:f>
        <x:v>0.10137017454090626</x:v>
      </x:c>
      <x:c r="E50" s="13" t="n">
        <x:f>E44/'Revenue summary'!E32</x:f>
        <x:v>0.10191879477503246</x:v>
      </x:c>
      <x:c r="F50" s="13" t="n">
        <x:f>F44/'Revenue summary'!F32</x:f>
        <x:v>0.10182334755547699</x:v>
      </x:c>
      <x:c r="G50" s="13" t="n">
        <x:f>G44/'Revenue summary'!G32</x:f>
        <x:v>0.10232165389344984</x:v>
      </x:c>
      <x:c r="H50" s="35" t="n">
        <x:f>H44/'Revenue summary'!H32</x:f>
        <x:v>0.10095389507154214</x:v>
      </x:c>
    </x:row>
    <x:row r="51">
      <x:c r="B51" s="12" t="s">
        <x:v>113</x:v>
      </x:c>
      <x:c r="C51" s="5" t="n">
        <x:f>C44-C54</x:f>
        <x:v>18.287</x:v>
      </x:c>
      <x:c r="D51" s="5" t="n">
        <x:f>D44-D54</x:f>
        <x:v>67.018</x:v>
      </x:c>
      <x:c r="E51" s="5" t="n">
        <x:f>E44-E54</x:f>
        <x:v>16.543999999999997</x:v>
      </x:c>
      <x:c r="F51" s="5" t="n">
        <x:f>F44-F54</x:f>
        <x:v>17.698</x:v>
      </x:c>
      <x:c r="G51" s="5" t="n">
        <x:f>G44-G54</x:f>
        <x:v>19.206000000000003</x:v>
      </x:c>
      <x:c r="H51" s="6" t="n">
        <x:f>('Income Statement'!H10+'Income Statement'!H14)*G51/SUM('Segment - Americas'!G51,'Segment - EMEA'!G51,'Segment - Asia Pacific'!G51)</x:f>
        <x:v>18.65427918802848</x:v>
      </x:c>
    </x:row>
    <x:row r="52">
      <x:c r="B52" s="12" t="s">
        <x:v>114</x:v>
      </x:c>
      <x:c r="C52" s="7"/>
      <x:c r="D52" s="7"/>
      <x:c r="E52" s="7"/>
      <x:c r="F52" s="7"/>
      <x:c r="G52" s="7"/>
      <x:c r="H52" s="17" t="n">
        <x:f>IF(C51=0,"unavailable",H51/C51-1)</x:f>
        <x:v>0.020084168427215054</x:v>
      </x:c>
    </x:row>
    <x:row r="53">
      <x:c r="B53" s="12" t="s">
        <x:v>84</x:v>
      </x:c>
      <x:c r="C53" s="5"/>
      <x:c r="D53" s="5"/>
      <x:c r="E53" s="5" t="n">
        <x:f>E51-C51</x:f>
        <x:v>-1.743000000000002</x:v>
      </x:c>
      <x:c r="F53" s="5" t="n">
        <x:f>F51-E51</x:f>
        <x:v>1.1540000000000035</x:v>
      </x:c>
      <x:c r="G53" s="5" t="n">
        <x:f>G51-F51</x:f>
        <x:v>1.5080000000000027</x:v>
      </x:c>
      <x:c r="H53" s="21" t="n">
        <x:f>H51-G51</x:f>
        <x:v>-0.5517208119715242</x:v>
      </x:c>
    </x:row>
    <x:row r="54">
      <x:c r="B54" s="16" t="s">
        <x:v>115</x:v>
      </x:c>
      <x:c r="C54" s="3">
        <x:v>42.479</x:v>
      </x:c>
      <x:c r="D54" s="3">
        <x:v>168.338</x:v>
      </x:c>
      <x:c r="E54" s="3">
        <x:v>45.384</x:v>
      </x:c>
      <x:c r="F54" s="3">
        <x:v>44.518</x:v>
      </x:c>
      <x:c r="G54" s="3">
        <x:v>44.532</x:v>
      </x:c>
      <x:c r="H54" s="15" t="n">
        <x:f>H44-H51</x:f>
        <x:v>44.84572081197152</x:v>
      </x:c>
    </x:row>
    <x:row r="55">
      <x:c r="B55" s="12" t="s">
        <x:v>116</x:v>
      </x:c>
      <x:c r="C55" s="7"/>
      <x:c r="D55" s="7"/>
      <x:c r="E55" s="7"/>
      <x:c r="F55" s="7"/>
      <x:c r="G55" s="7"/>
      <x:c r="H55" s="17" t="n">
        <x:f>IF(C54=0,"unavailable",H54/C54-1)</x:f>
        <x:v>0.05571507832038236</x:v>
      </x:c>
    </x:row>
    <x:row r="56">
      <x:c r="B56" s="12" t="s">
        <x:v>84</x:v>
      </x:c>
      <x:c r="C56" s="5"/>
      <x:c r="D56" s="5"/>
      <x:c r="E56" s="5" t="n">
        <x:f>E54-C54</x:f>
        <x:v>2.905000000000001</x:v>
      </x:c>
      <x:c r="F56" s="5" t="n">
        <x:f>F54-E54</x:f>
        <x:v>-0.8659999999999997</x:v>
      </x:c>
      <x:c r="G56" s="5" t="n">
        <x:f>G54-F54</x:f>
        <x:v>0.013999999999995794</x:v>
      </x:c>
      <x:c r="H56" s="21" t="n">
        <x:f>H54-G54</x:f>
        <x:v>0.31372081197152113</x:v>
      </x:c>
    </x:row>
    <x:row r="57">
      <x:c r="B57" s="12" t="s">
        <x:v>117</x:v>
      </x:c>
      <x:c r="C57" s="7" t="n">
        <x:f>C54/C44</x:f>
        <x:v>0.6990586841325741</x:v>
      </x:c>
      <x:c r="D57" s="7" t="n">
        <x:f>D54/D44</x:f>
        <x:v>0.7152483896735159</x:v>
      </x:c>
      <x:c r="E57" s="7" t="n">
        <x:f>E54/E44</x:f>
        <x:v>0.732851052835551</x:v>
      </x:c>
      <x:c r="F57" s="7" t="n">
        <x:f>F54/F44</x:f>
        <x:v>0.7155394110839656</x:v>
      </x:c>
      <x:c r="G57" s="7" t="n">
        <x:f>G54/G44</x:f>
        <x:v>0.6986726913301327</x:v>
      </x:c>
      <x:c r="H57" s="17" t="n">
        <x:f>H54/H44</x:f>
        <x:v>0.706231823810575</x:v>
      </x:c>
    </x:row>
    <x:row r="58">
      <x:c r="B58" s="12" t="s">
        <x:v>118</x:v>
      </x:c>
      <x:c r="C58" s="37"/>
      <x:c r="D58" s="37"/>
      <x:c r="E58" s="37"/>
      <x:c r="F58" s="37"/>
      <x:c r="G58" s="37" t="n">
        <x:f>(G57-C57)*10000</x:f>
        <x:v>-3.859928024414483</x:v>
      </x:c>
      <x:c r="H58" s="41" t="n">
        <x:f>(H57-G57)*10000</x:f>
        <x:v>75.59132480442376</x:v>
      </x:c>
    </x:row>
    <x:row r="59">
      <x:c r="B59" s="12" t="s">
        <x:v>119</x:v>
      </x:c>
      <x:c r="C59" s="5" t="s">
        <x:v>120</x:v>
      </x:c>
      <x:c r="D59" s="5"/>
      <x:c r="E59" s="5"/>
      <x:c r="F59" s="5"/>
      <x:c r="G59" s="5"/>
      <x:c r="H59" s="21"/>
    </x:row>
    <x:row r="60">
      <x:c r="B60" s="12" t="s">
        <x:v>121</x:v>
      </x:c>
      <x:c r="C60" s="5" t="s">
        <x:v>122</x:v>
      </x:c>
      <x:c r="D60" s="5"/>
      <x:c r="E60" s="5"/>
      <x:c r="F60" s="5"/>
      <x:c r="G60" s="5"/>
      <x:c r="H60" s="21"/>
    </x:row>
    <x:row r="61">
      <x:c r="B61" s="12" t="s">
        <x:v>123</x:v>
      </x:c>
      <x:c r="C61" s="5"/>
      <x:c r="D61" s="5"/>
      <x:c r="E61" s="5"/>
      <x:c r="F61" s="5"/>
      <x:c r="G61" s="5"/>
      <x:c r="H61" s="2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5" hidden="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126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6" t="s">
        <x:v>127</x:v>
      </x:c>
      <x:c r="C8" s="9" t="n">
        <x:f>'Revenue summary'!C32</x:f>
        <x:v>596.901</x:v>
      </x:c>
      <x:c r="D8" s="9" t="n">
        <x:f>'Revenue summary'!D32</x:f>
        <x:v>2321.7479999999996</x:v>
      </x:c>
      <x:c r="E8" s="9" t="n">
        <x:f>'Revenue summary'!E32</x:f>
        <x:v>607.621</x:v>
      </x:c>
      <x:c r="F8" s="9" t="n">
        <x:f>'Revenue summary'!F32</x:f>
        <x:v>611.019</x:v>
      </x:c>
      <x:c r="G8" s="9" t="n">
        <x:f>'Revenue summary'!G32</x:f>
        <x:v>622.9180000000001</x:v>
      </x:c>
      <x:c r="H8" s="24" t="n">
        <x:f>'Revenue summary'!H32</x:f>
        <x:v>629</x:v>
      </x:c>
    </x:row>
    <x:row r="9">
      <x:c r="B9" s="12" t="s">
        <x:v>128</x:v>
      </x:c>
      <x:c r="C9" s="7"/>
      <x:c r="D9" s="7" t="n">
        <x:f>D8/Inputs!C85-1</x:f>
        <x:v>0.05387607033139408</x:v>
      </x:c>
      <x:c r="E9" s="7" t="n">
        <x:f>E8/Inputs!C86-1</x:f>
        <x:v>0.06850054601374778</x:v>
      </x:c>
      <x:c r="F9" s="7" t="n">
        <x:f>F8/Inputs!C87-1</x:f>
        <x:v>0.0707233729365997</x:v>
      </x:c>
      <x:c r="G9" s="13" t="n">
        <x:f>G8/Inputs!H11-1</x:f>
        <x:v>0.06387143052329569</x:v>
      </x:c>
      <x:c r="H9" s="17" t="n">
        <x:f>H8/C8-1</x:f>
        <x:v>0.05377608682176782</x:v>
      </x:c>
    </x:row>
    <x:row r="10">
      <x:c r="B10" s="12" t="s">
        <x:v>129</x:v>
      </x:c>
      <x:c r="C10" s="18">
        <x:v>288.67</x:v>
      </x:c>
      <x:c r="D10" s="18">
        <x:v>1097.782</x:v>
      </x:c>
      <x:c r="E10" s="18">
        <x:v>287.916</x:v>
      </x:c>
      <x:c r="F10" s="18">
        <x:v>296.742</x:v>
      </x:c>
      <x:c r="G10" s="18">
        <x:v>312.19</x:v>
      </x:c>
      <x:c r="H10" s="10">
        <x:v>315.5</x:v>
      </x:c>
    </x:row>
    <x:row r="11">
      <x:c r="B11" s="16" t="s">
        <x:v>130</x:v>
      </x:c>
      <x:c r="C11" s="11" t="n">
        <x:f>C8-C10</x:f>
        <x:v>308.23099999999994</x:v>
      </x:c>
      <x:c r="D11" s="11" t="n">
        <x:f>D8-D10</x:f>
        <x:v>1223.9659999999997</x:v>
      </x:c>
      <x:c r="E11" s="11" t="n">
        <x:f>E8-E10</x:f>
        <x:v>319.705</x:v>
      </x:c>
      <x:c r="F11" s="11" t="n">
        <x:f>F8-F10</x:f>
        <x:v>314.277</x:v>
      </x:c>
      <x:c r="G11" s="11" t="n">
        <x:f>G8-G10</x:f>
        <x:v>310.7280000000001</x:v>
      </x:c>
      <x:c r="H11" s="15" t="n">
        <x:f>H8-H10</x:f>
        <x:v>313.5</x:v>
      </x:c>
    </x:row>
    <x:row r="12">
      <x:c r="B12" s="12" t="s">
        <x:v>131</x:v>
      </x:c>
      <x:c r="C12" s="7" t="n">
        <x:f>C11/C8</x:f>
        <x:v>0.5163854642562167</x:v>
      </x:c>
      <x:c r="D12" s="7" t="n">
        <x:f>D11/D8</x:f>
        <x:v>0.5271743531167034</x:v>
      </x:c>
      <x:c r="E12" s="7" t="n">
        <x:f>E11/E8</x:f>
        <x:v>0.5261585758227579</x:v>
      </x:c>
      <x:c r="F12" s="7" t="n">
        <x:f>F11/F8</x:f>
        <x:v>0.5143489809645854</x:v>
      </x:c>
      <x:c r="G12" s="7" t="n">
        <x:f>G11/G8</x:f>
        <x:v>0.49882649080617364</x:v>
      </x:c>
      <x:c r="H12" s="17" t="n">
        <x:f>H11/H8</x:f>
        <x:v>0.4984101748807631</x:v>
      </x:c>
    </x:row>
    <x:row r="13">
      <x:c r="B13" s="12" t="s">
        <x:v>132</x:v>
      </x:c>
      <x:c r="C13" s="5"/>
      <x:c r="D13" s="5"/>
      <x:c r="E13" s="5"/>
      <x:c r="F13" s="5"/>
      <x:c r="G13" s="53" t="str">
        <x:v>unavailable</x:v>
      </x:c>
      <x:c r="H13" s="21" t="n">
        <x:f>(H12-C12)*10000</x:f>
        <x:v>-179.75289375453562</x:v>
      </x:c>
    </x:row>
    <x:row r="14">
      <x:c r="B14" s="12" t="s">
        <x:v>133</x:v>
      </x:c>
      <x:c r="C14" s="18">
        <x:v>130.91</x:v>
      </x:c>
      <x:c r="D14" s="18">
        <x:v>475.663</x:v>
      </x:c>
      <x:c r="E14" s="18">
        <x:v>127.634</x:v>
      </x:c>
      <x:c r="F14" s="18">
        <x:v>129.316</x:v>
      </x:c>
      <x:c r="G14" s="18">
        <x:v>144.427</x:v>
      </x:c>
      <x:c r="H14" s="10">
        <x:v>128</x:v>
      </x:c>
    </x:row>
    <x:row r="15">
      <x:c r="B15" s="16" t="s">
        <x:v>134</x:v>
      </x:c>
      <x:c r="C15" s="11" t="n">
        <x:f>C11-C14</x:f>
        <x:v>177.32099999999994</x:v>
      </x:c>
      <x:c r="D15" s="11" t="n">
        <x:f>D11-D14</x:f>
        <x:v>748.3029999999997</x:v>
      </x:c>
      <x:c r="E15" s="11" t="n">
        <x:f>E11-E14</x:f>
        <x:v>192.07099999999997</x:v>
      </x:c>
      <x:c r="F15" s="11" t="n">
        <x:f>F11-F14</x:f>
        <x:v>184.96099999999998</x:v>
      </x:c>
      <x:c r="G15" s="11" t="n">
        <x:f>G11-G14</x:f>
        <x:v>166.30100000000013</x:v>
      </x:c>
      <x:c r="H15" s="15" t="n">
        <x:f>H11-H14</x:f>
        <x:v>185.5</x:v>
      </x:c>
    </x:row>
    <x:row r="16">
      <x:c r="B16" s="12" t="s">
        <x:v>135</x:v>
      </x:c>
      <x:c r="C16" s="7" t="n">
        <x:f>C15/C8</x:f>
        <x:v>0.2970693632612442</x:v>
      </x:c>
      <x:c r="D16" s="7" t="n">
        <x:f>D15/D8</x:f>
        <x:v>0.3223015589977895</x:v>
      </x:c>
      <x:c r="E16" s="7" t="n">
        <x:f>E15/E8</x:f>
        <x:v>0.3161032946524231</x:v>
      </x:c>
      <x:c r="F16" s="7" t="n">
        <x:f>F15/F8</x:f>
        <x:v>0.3027090810596724</x:v>
      </x:c>
      <x:c r="G16" s="7" t="n">
        <x:f>G15/G8</x:f>
        <x:v>0.2669709335739216</x:v>
      </x:c>
      <x:c r="H16" s="17" t="n">
        <x:f>H15/H8</x:f>
        <x:v>0.294912559618442</x:v>
      </x:c>
    </x:row>
    <x:row r="17">
      <x:c r="B17" s="12" t="s">
        <x:v>136</x:v>
      </x:c>
      <x:c r="C17" s="7"/>
      <x:c r="D17" s="7"/>
      <x:c r="E17" s="7"/>
      <x:c r="F17" s="7"/>
      <x:c r="G17" s="59" t="str">
        <x:v>unavailable</x:v>
      </x:c>
      <x:c r="H17" s="17" t="n">
        <x:f>H15/C15-1</x:f>
        <x:v>0.04612538841987157</x:v>
      </x:c>
    </x:row>
    <x:row r="18">
      <x:c r="B18" s="12" t="s">
        <x:v>137</x:v>
      </x:c>
      <x:c r="C18" s="18">
        <x:v>2.05</x:v>
      </x:c>
      <x:c r="D18" s="18">
        <x:v>6.533</x:v>
      </x:c>
      <x:c r="E18" s="18">
        <x:v>1.089</x:v>
      </x:c>
      <x:c r="F18" s="18">
        <x:v>0.891</x:v>
      </x:c>
      <x:c r="G18" s="18">
        <x:v>0.642</x:v>
      </x:c>
      <x:c r="H18" s="10">
        <x:v>0.8</x:v>
      </x:c>
    </x:row>
    <x:row r="19">
      <x:c r="B19" s="12" t="s">
        <x:v>138</x:v>
      </x:c>
      <x:c r="C19" s="18">
        <x:v>-12.886</x:v>
      </x:c>
      <x:c r="D19" s="18">
        <x:v>-56.324</x:v>
      </x:c>
      <x:c r="E19" s="18">
        <x:v>-13.385</x:v>
      </x:c>
      <x:c r="F19" s="18">
        <x:v>-13.062</x:v>
      </x:c>
      <x:c r="G19" s="18">
        <x:v>-13.839</x:v>
      </x:c>
      <x:c r="H19" s="10">
        <x:v>-13</x:v>
      </x:c>
    </x:row>
    <x:row r="20">
      <x:c r="B20" s="12" t="s">
        <x:v>139</x:v>
      </x:c>
      <x:c r="C20" s="18">
        <x:v>22.466</x:v>
      </x:c>
      <x:c r="D20" s="18">
        <x:v>22.446</x:v>
      </x:c>
      <x:c r="E20" s="18">
        <x:v>10.338</x:v>
      </x:c>
      <x:c r="F20" s="18">
        <x:v>-11.679</x:v>
      </x:c>
      <x:c r="G20" s="18">
        <x:v>1.017</x:v>
      </x:c>
      <x:c r="H20" s="10">
        <x:v>0</x:v>
      </x:c>
    </x:row>
    <x:row r="21">
      <x:c r="B21" s="16" t="s">
        <x:v>140</x:v>
      </x:c>
      <x:c r="C21" s="11" t="n">
        <x:f>SUM(C15,C18:C20)</x:f>
        <x:v>188.95099999999994</x:v>
      </x:c>
      <x:c r="D21" s="11" t="n">
        <x:f>SUM(D15,D18:D20)</x:f>
        <x:v>720.9579999999996</x:v>
      </x:c>
      <x:c r="E21" s="11" t="n">
        <x:f>SUM(E15,E18:E20)</x:f>
        <x:v>190.11299999999997</x:v>
      </x:c>
      <x:c r="F21" s="11" t="n">
        <x:f>SUM(F15,F18:F20)</x:f>
        <x:v>161.111</x:v>
      </x:c>
      <x:c r="G21" s="11" t="n">
        <x:f>SUM(G15,G18:G20)</x:f>
        <x:v>154.12100000000012</x:v>
      </x:c>
      <x:c r="H21" s="15" t="n">
        <x:f>SUM(H15,H18:H20)</x:f>
        <x:v>173.3</x:v>
      </x:c>
    </x:row>
    <x:row r="22">
      <x:c r="B22" s="12" t="s">
        <x:v>141</x:v>
      </x:c>
      <x:c r="C22" s="18">
        <x:v>35.335</x:v>
      </x:c>
      <x:c r="D22" s="18">
        <x:v>123.918</x:v>
      </x:c>
      <x:c r="E22" s="18">
        <x:v>37.533</x:v>
      </x:c>
      <x:c r="F22" s="18">
        <x:v>28.055</x:v>
      </x:c>
      <x:c r="G22" s="18">
        <x:v>27.403</x:v>
      </x:c>
      <x:c r="H22" s="21" t="n">
        <x:f>H21*H54</x:f>
        <x:v>32.927</x:v>
      </x:c>
    </x:row>
    <x:row r="23">
      <x:c r="B23" s="12" t="s">
        <x:v>142</x:v>
      </x:c>
      <x:c r="C23" s="7" t="n">
        <x:f>C22/C21</x:f>
        <x:v>0.1870061550349033</x:v>
      </x:c>
      <x:c r="D23" s="7" t="n">
        <x:f>D22/D21</x:f>
        <x:v>0.17187963792620384</x:v>
      </x:c>
      <x:c r="E23" s="7" t="n">
        <x:f>E22/E21</x:f>
        <x:v>0.19742468952675518</x:v>
      </x:c>
      <x:c r="F23" s="7" t="n">
        <x:f>F22/F21</x:f>
        <x:v>0.17413460285145024</x:v>
      </x:c>
      <x:c r="G23" s="7" t="n">
        <x:f>G22/G21</x:f>
        <x:v>0.17780185698250062</x:v>
      </x:c>
      <x:c r="H23" s="17" t="n">
        <x:f>H22/H21</x:f>
        <x:v>0.18999999999999997</x:v>
      </x:c>
    </x:row>
    <x:row r="24">
      <x:c r="B24" s="16" t="s">
        <x:v>143</x:v>
      </x:c>
      <x:c r="C24" s="11" t="n">
        <x:f>C21-C22</x:f>
        <x:v>153.61599999999993</x:v>
      </x:c>
      <x:c r="D24" s="11" t="n">
        <x:f>D21-D22</x:f>
        <x:v>597.0399999999996</x:v>
      </x:c>
      <x:c r="E24" s="11" t="n">
        <x:f>E21-E22</x:f>
        <x:v>152.57999999999998</x:v>
      </x:c>
      <x:c r="F24" s="11" t="n">
        <x:f>F21-F22</x:f>
        <x:v>133.05599999999998</x:v>
      </x:c>
      <x:c r="G24" s="11" t="n">
        <x:f>G21-G22</x:f>
        <x:v>126.71800000000013</x:v>
      </x:c>
      <x:c r="H24" s="15" t="n">
        <x:f>H21-H22</x:f>
        <x:v>140.37300000000002</x:v>
      </x:c>
    </x:row>
    <x:row r="25">
      <x:c r="B25" s="12" t="s">
        <x:v>144</x:v>
      </x:c>
      <x:c r="C25" s="7" t="n">
        <x:f>C24/C8</x:f>
        <x:v>0.25735590994151447</x:v>
      </x:c>
      <x:c r="D25" s="7" t="n">
        <x:f>D24/D8</x:f>
        <x:v>0.2571510775501905</x:v>
      </x:c>
      <x:c r="E25" s="7" t="n">
        <x:f>E24/E8</x:f>
        <x:v>0.25111047840677</x:v>
      </x:c>
      <x:c r="F25" s="7" t="n">
        <x:f>F24/F8</x:f>
        <x:v>0.21776082249488146</x:v>
      </x:c>
      <x:c r="G25" s="7" t="n">
        <x:f>G24/G8</x:f>
        <x:v>0.20342645420424535</x:v>
      </x:c>
      <x:c r="H25" s="17" t="n">
        <x:f>H24/H8</x:f>
        <x:v>0.22316852146263913</x:v>
      </x:c>
    </x:row>
    <x:row r="26">
      <x:c r="B26" s="12" t="s">
        <x:v>145</x:v>
      </x:c>
      <x:c r="C26" s="7"/>
      <x:c r="D26" s="7"/>
      <x:c r="E26" s="7"/>
      <x:c r="F26" s="7"/>
      <x:c r="G26" s="59" t="str">
        <x:v>unavailable</x:v>
      </x:c>
      <x:c r="H26" s="17" t="n">
        <x:f>H24/C24-1</x:f>
        <x:v>-0.0862084678679299</x:v>
      </x:c>
    </x:row>
    <x:row r="27">
      <x:c r="B27" s="12" t="s">
        <x:v>146</x:v>
      </x:c>
      <x:c r="C27" s="18">
        <x:v>37.757</x:v>
      </x:c>
      <x:c r="D27" s="18">
        <x:v>37.924</x:v>
      </x:c>
      <x:c r="E27" s="18">
        <x:v>37.409</x:v>
      </x:c>
      <x:c r="F27" s="18">
        <x:v>36.927</x:v>
      </x:c>
      <x:c r="G27" s="18">
        <x:v>36.122</x:v>
      </x:c>
      <x:c r="H27" s="6" t="n">
        <x:f>'Share Count'!H19</x:f>
        <x:v>35.642453</x:v>
      </x:c>
    </x:row>
    <x:row r="28">
      <x:c r="B28" s="12" t="s">
        <x:v>147</x:v>
      </x:c>
      <x:c r="C28" s="18">
        <x:v>38.158</x:v>
      </x:c>
      <x:c r="D28" s="18">
        <x:v>38.385</x:v>
      </x:c>
      <x:c r="E28" s="18">
        <x:v>37.615</x:v>
      </x:c>
      <x:c r="F28" s="18">
        <x:v>37.063</x:v>
      </x:c>
      <x:c r="G28" s="18">
        <x:v>36.191</x:v>
      </x:c>
      <x:c r="H28" s="6" t="n">
        <x:f>'Share Count'!H20</x:f>
        <x:v>35.699960000000004</x:v>
      </x:c>
    </x:row>
    <x:row r="29">
      <x:c r="B29" s="12" t="s">
        <x:v>148</x:v>
      </x:c>
      <x:c r="C29" s="25" t="n">
        <x:f>C24/C27</x:f>
        <x:v>4.068543581322667</x:v>
      </x:c>
      <x:c r="D29" s="25" t="n">
        <x:f>D24/D27</x:f>
        <x:v>15.743065077523458</x:v>
      </x:c>
      <x:c r="E29" s="25" t="n">
        <x:f>E24/E27</x:f>
        <x:v>4.078697639605442</x:v>
      </x:c>
      <x:c r="F29" s="25" t="n">
        <x:f>F24/F27</x:f>
        <x:v>3.6032171581769434</x:v>
      </x:c>
      <x:c r="G29" s="25" t="n">
        <x:f>G24/G27</x:f>
        <x:v>3.508056032334869</x:v>
      </x:c>
      <x:c r="H29" s="43" t="n">
        <x:f>H24/H27</x:f>
        <x:v>3.9383652971359746</x:v>
      </x:c>
    </x:row>
    <x:row r="30">
      <x:c r="B30" s="16" t="s">
        <x:v>25</x:v>
      </x:c>
      <x:c r="C30" s="29" t="n">
        <x:f>C24/C28</x:f>
        <x:v>4.025787515068922</x:v>
      </x:c>
      <x:c r="D30" s="29" t="n">
        <x:f>D24/D28</x:f>
        <x:v>15.553992444965472</x:v>
      </x:c>
      <x:c r="E30" s="29" t="n">
        <x:f>E24/E28</x:f>
        <x:v>4.056360494483583</x:v>
      </x:c>
      <x:c r="F30" s="29" t="n">
        <x:f>F24/F28</x:f>
        <x:v>3.5899954132153353</x:v>
      </x:c>
      <x:c r="G30" s="29" t="n">
        <x:f>G24/G28</x:f>
        <x:v>3.501367743361613</x:v>
      </x:c>
      <x:c r="H30" s="40" t="n">
        <x:f>H24/H28</x:f>
        <x:v>3.9320212123486975</x:v>
      </x:c>
    </x:row>
    <x:row r="31">
      <x:c r="B31" s="12" t="s">
        <x:v>149</x:v>
      </x:c>
      <x:c r="C31" s="5" t="n">
        <x:f>C30-C24/C28</x:f>
        <x:v>0</x:v>
      </x:c>
      <x:c r="D31" s="5" t="n">
        <x:f>D30-D24/D28</x:f>
        <x:v>0</x:v>
      </x:c>
      <x:c r="E31" s="5" t="n">
        <x:f>E30-E24/E28</x:f>
        <x:v>0</x:v>
      </x:c>
      <x:c r="F31" s="5" t="n">
        <x:f>F30-F24/F28</x:f>
        <x:v>0</x:v>
      </x:c>
      <x:c r="G31" s="5" t="n">
        <x:f>G30-G24/G28</x:f>
        <x:v>0</x:v>
      </x:c>
      <x:c r="H31" s="21" t="n">
        <x:f>H30-H24/H28</x:f>
        <x:v>0</x:v>
      </x:c>
    </x:row>
    <x:row r="32">
      <x:c r="B32" s="12" t="s">
        <x:v>150</x:v>
      </x:c>
      <x:c r="C32" s="5"/>
      <x:c r="D32" s="5"/>
      <x:c r="E32" s="5"/>
      <x:c r="F32" s="5"/>
      <x:c r="G32" s="5"/>
      <x:c r="H32" s="21"/>
    </x:row>
    <x:row r="33" ht="48" customHeight="1">
      <x:c r="B33" s="12" t="s">
        <x:v>151</x:v>
      </x:c>
      <x:c r="C33" s="18">
        <x:v>16.301</x:v>
      </x:c>
      <x:c r="D33" s="18">
        <x:v>54.074</x:v>
      </x:c>
      <x:c r="E33" s="18">
        <x:v>15.404</x:v>
      </x:c>
      <x:c r="F33" s="18">
        <x:v>15.121</x:v>
      </x:c>
      <x:c r="G33" s="18">
        <x:v>14.534</x:v>
      </x:c>
      <x:c r="H33" s="10">
        <x:v>15.1</x:v>
      </x:c>
      <x:c r="J33" s="62" t="str">
        <x:v>Forecast adjustment is assumed after tax, consistent with the normalized-income bridge. Source verification of individual historical adjustments remains limited.</x:v>
      </x:c>
    </x:row>
    <x:row r="34">
      <x:c r="B34" s="12" t="s">
        <x:v>152</x:v>
      </x:c>
      <x:c r="C34" s="5"/>
      <x:c r="D34" s="5"/>
      <x:c r="E34" s="18">
        <x:v>5.376</x:v>
      </x:c>
      <x:c r="F34" s="18">
        <x:v>3.109</x:v>
      </x:c>
      <x:c r="G34" s="18">
        <x:v>3.309</x:v>
      </x:c>
      <x:c r="H34" s="10">
        <x:v>1</x:v>
      </x:c>
    </x:row>
    <x:row r="35">
      <x:c r="B35" s="12" t="s">
        <x:v>153</x:v>
      </x:c>
      <x:c r="C35" s="18">
        <x:v>2.55</x:v>
      </x:c>
      <x:c r="D35" s="18">
        <x:v>13.15</x:v>
      </x:c>
      <x:c r="E35" s="18">
        <x:v>2.14</x:v>
      </x:c>
      <x:c r="F35" s="18">
        <x:v>1.611</x:v>
      </x:c>
      <x:c r="G35" s="18">
        <x:v>1.355</x:v>
      </x:c>
      <x:c r="H35" s="10">
        <x:v>1</x:v>
      </x:c>
    </x:row>
    <x:row r="36">
      <x:c r="B36" s="12" t="s">
        <x:v>154</x:v>
      </x:c>
      <x:c r="C36" s="18">
        <x:v>0.491</x:v>
      </x:c>
      <x:c r="D36" s="18">
        <x:v>0.192</x:v>
      </x:c>
      <x:c r="E36" s="18">
        <x:v>-0.402</x:v>
      </x:c>
      <x:c r="F36" s="18">
        <x:v>0.135</x:v>
      </x:c>
      <x:c r="G36" s="18">
        <x:v>15.03</x:v>
      </x:c>
      <x:c r="H36" s="10">
        <x:v>0</x:v>
      </x:c>
    </x:row>
    <x:row r="37">
      <x:c r="B37" s="12" t="s">
        <x:v>155</x:v>
      </x:c>
      <x:c r="C37" s="5"/>
      <x:c r="D37" s="5"/>
      <x:c r="E37" s="5"/>
      <x:c r="F37" s="18">
        <x:v>10.249</x:v>
      </x:c>
      <x:c r="G37" s="18">
        <x:v>2.297</x:v>
      </x:c>
      <x:c r="H37" s="10">
        <x:v>0</x:v>
      </x:c>
    </x:row>
    <x:row r="38">
      <x:c r="B38" s="12" t="s">
        <x:v>156</x:v>
      </x:c>
      <x:c r="C38" s="5"/>
      <x:c r="D38" s="5"/>
      <x:c r="E38" s="5"/>
      <x:c r="F38" s="5"/>
      <x:c r="G38" s="18">
        <x:v>0.574</x:v>
      </x:c>
      <x:c r="H38" s="10">
        <x:v>0</x:v>
      </x:c>
    </x:row>
    <x:row r="39">
      <x:c r="B39" s="12" t="s">
        <x:v>157</x:v>
      </x:c>
      <x:c r="C39" s="18">
        <x:v>-19.795</x:v>
      </x:c>
      <x:c r="D39" s="18">
        <x:v>-17.205</x:v>
      </x:c>
      <x:c r="E39" s="5"/>
      <x:c r="F39" s="5"/>
      <x:c r="G39" s="5"/>
      <x:c r="H39" s="10">
        <x:v>0</x:v>
      </x:c>
    </x:row>
    <x:row r="40">
      <x:c r="B40" s="12" t="s">
        <x:v>158</x:v>
      </x:c>
      <x:c r="C40" s="5"/>
      <x:c r="D40" s="5"/>
      <x:c r="E40" s="18">
        <x:v>-5.226</x:v>
      </x:c>
      <x:c r="F40" s="5"/>
      <x:c r="G40" s="5"/>
      <x:c r="H40" s="10">
        <x:v>0</x:v>
      </x:c>
    </x:row>
    <x:row r="41">
      <x:c r="B41" s="12" t="s">
        <x:v>159</x:v>
      </x:c>
      <x:c r="C41" s="18">
        <x:v>1.427</x:v>
      </x:c>
      <x:c r="D41" s="18">
        <x:v>1.24</x:v>
      </x:c>
      <x:c r="E41" s="5"/>
      <x:c r="F41" s="5"/>
      <x:c r="G41" s="5"/>
      <x:c r="H41" s="10">
        <x:v>0</x:v>
      </x:c>
    </x:row>
    <x:row r="42">
      <x:c r="B42" s="12" t="s">
        <x:v>160</x:v>
      </x:c>
      <x:c r="C42" s="5"/>
      <x:c r="D42" s="5"/>
      <x:c r="E42" s="5"/>
      <x:c r="F42" s="18">
        <x:v>2.273</x:v>
      </x:c>
      <x:c r="G42" s="5"/>
      <x:c r="H42" s="10">
        <x:v>0</x:v>
      </x:c>
    </x:row>
    <x:row r="43">
      <x:c r="B43" s="12" t="s">
        <x:v>161</x:v>
      </x:c>
      <x:c r="C43" s="5"/>
      <x:c r="D43" s="5"/>
      <x:c r="E43" s="5"/>
      <x:c r="F43" s="18">
        <x:v>0.699</x:v>
      </x:c>
      <x:c r="G43" s="5"/>
      <x:c r="H43" s="10">
        <x:v>0</x:v>
      </x:c>
    </x:row>
    <x:row r="44">
      <x:c r="B44" s="12" t="s">
        <x:v>162</x:v>
      </x:c>
      <x:c r="C44" s="5"/>
      <x:c r="D44" s="18">
        <x:v>1.775</x:v>
      </x:c>
      <x:c r="E44" s="5"/>
      <x:c r="F44" s="5"/>
      <x:c r="G44" s="5"/>
      <x:c r="H44" s="10">
        <x:v>0</x:v>
      </x:c>
    </x:row>
    <x:row r="45">
      <x:c r="B45" s="12" t="s">
        <x:v>163</x:v>
      </x:c>
      <x:c r="C45" s="5"/>
      <x:c r="D45" s="18">
        <x:v>1.351</x:v>
      </x:c>
      <x:c r="E45" s="5"/>
      <x:c r="F45" s="18">
        <x:v>-0.852</x:v>
      </x:c>
      <x:c r="G45" s="5"/>
      <x:c r="H45" s="10">
        <x:v>0</x:v>
      </x:c>
    </x:row>
    <x:row r="46">
      <x:c r="B46" s="12" t="s">
        <x:v>164</x:v>
      </x:c>
      <x:c r="C46" s="5"/>
      <x:c r="D46" s="5"/>
      <x:c r="E46" s="18">
        <x:v>-0.301</x:v>
      </x:c>
      <x:c r="F46" s="18">
        <x:v>-0.13</x:v>
      </x:c>
      <x:c r="G46" s="18">
        <x:v>-0.048</x:v>
      </x:c>
      <x:c r="H46" s="10">
        <x:v>0</x:v>
      </x:c>
    </x:row>
    <x:row r="47">
      <x:c r="B47" s="16" t="s">
        <x:v>165</x:v>
      </x:c>
      <x:c r="C47" s="11" t="n">
        <x:f>SUM(C24,C33:C46)</x:f>
        <x:v>154.58999999999992</x:v>
      </x:c>
      <x:c r="D47" s="11" t="n">
        <x:f>SUM(D24,D33:D46)</x:f>
        <x:v>651.6169999999996</x:v>
      </x:c>
      <x:c r="E47" s="11" t="n">
        <x:f>SUM(E24,E33:E46)</x:f>
        <x:v>169.571</x:v>
      </x:c>
      <x:c r="F47" s="11" t="n">
        <x:f>SUM(F24,F33:F46)</x:f>
        <x:v>165.271</x:v>
      </x:c>
      <x:c r="G47" s="11" t="n">
        <x:f>SUM(G24,G33:G46)</x:f>
        <x:v>163.76900000000012</x:v>
      </x:c>
      <x:c r="H47" s="15" t="n">
        <x:f>SUM(H24,H33:H46)</x:f>
        <x:v>157.473</x:v>
      </x:c>
    </x:row>
    <x:row r="48">
      <x:c r="B48" s="16" t="s">
        <x:v>23</x:v>
      </x:c>
      <x:c r="C48" s="29" t="n">
        <x:f>C47/C28</x:f>
        <x:v>4.051312961895276</x:v>
      </x:c>
      <x:c r="D48" s="29" t="n">
        <x:f>D47/D28</x:f>
        <x:v>16.975823889540177</x:v>
      </x:c>
      <x:c r="E48" s="29" t="n">
        <x:f>E47/E28</x:f>
        <x:v>4.5080685896583805</x:v>
      </x:c>
      <x:c r="F48" s="29" t="n">
        <x:f>F47/F28</x:f>
        <x:v>4.459191107033969</x:v>
      </x:c>
      <x:c r="G48" s="29" t="n">
        <x:f>G47/G28</x:f>
        <x:v>4.5251305573208835</x:v>
      </x:c>
      <x:c r="H48" s="40" t="n">
        <x:f>H47/H28</x:f>
        <x:v>4.411013345673216</x:v>
      </x:c>
    </x:row>
    <x:row r="49">
      <x:c r="B49" s="12" t="s">
        <x:v>166</x:v>
      </x:c>
      <x:c r="C49" s="44"/>
      <x:c r="D49" s="44"/>
      <x:c r="E49" s="44"/>
      <x:c r="F49" s="44"/>
      <x:c r="G49" s="44" t="n">
        <x:f>G48/Inputs!D11-1</x:f>
        <x:v>0.059749545040019614</x:v>
      </x:c>
      <x:c r="H49" s="45" t="n">
        <x:f>H48/C48-1</x:f>
        <x:v>0.08878612616727244</x:v>
      </x:c>
    </x:row>
    <x:row r="50">
      <x:c r="B50" s="12" t="s">
        <x:v>167</x:v>
      </x:c>
      <x:c r="C50" s="18">
        <x:v>154.59</x:v>
      </x:c>
      <x:c r="D50" s="18">
        <x:v>651.617</x:v>
      </x:c>
      <x:c r="E50" s="18">
        <x:v>169.571</x:v>
      </x:c>
      <x:c r="F50" s="18">
        <x:v>165.271</x:v>
      </x:c>
      <x:c r="G50" s="18">
        <x:v>163.769</x:v>
      </x:c>
      <x:c r="H50" s="21"/>
    </x:row>
    <x:row r="51">
      <x:c r="B51" s="12" t="s">
        <x:v>168</x:v>
      </x:c>
      <x:c r="C51" s="5" t="n">
        <x:f>C47-C50</x:f>
        <x:v>-8.526512829121202e-14</x:v>
      </x:c>
      <x:c r="D51" s="5" t="n">
        <x:f>D47-D50</x:f>
        <x:v>-3.410605131648481e-13</x:v>
      </x:c>
      <x:c r="E51" s="5" t="n">
        <x:f>E47-E50</x:f>
        <x:v>0</x:v>
      </x:c>
      <x:c r="F51" s="5" t="n">
        <x:f>F47-F50</x:f>
        <x:v>0</x:v>
      </x:c>
      <x:c r="G51" s="5" t="n">
        <x:f>G47-G50</x:f>
        <x:v>1.1368683772161603e-13</x:v>
      </x:c>
      <x:c r="H51" s="21"/>
    </x:row>
    <x:row r="52">
      <x:c r="B52" s="12" t="s">
        <x:v>169</x:v>
      </x:c>
      <x:c r="C52" s="19" t="n">
        <x:f>Inputs!F12</x:f>
        <x:v>4.03</x:v>
      </x:c>
      <x:c r="D52" s="25"/>
      <x:c r="E52" s="19" t="n">
        <x:f>Inputs!F13</x:f>
        <x:v>4.06</x:v>
      </x:c>
      <x:c r="F52" s="19" t="n">
        <x:f>Inputs!F14</x:f>
        <x:v>3.59</x:v>
      </x:c>
      <x:c r="G52" s="19" t="n">
        <x:f>Inputs!F15</x:f>
        <x:v>3.5</x:v>
      </x:c>
      <x:c r="H52" s="43"/>
    </x:row>
    <x:row r="53">
      <x:c r="B53" s="12" t="s">
        <x:v>170</x:v>
      </x:c>
      <x:c r="C53" s="25" t="n">
        <x:f>C30-C52</x:f>
        <x:v>-0.004212484931078286</x:v>
      </x:c>
      <x:c r="D53" s="25"/>
      <x:c r="E53" s="25" t="n">
        <x:f>E30-E52</x:f>
        <x:v>-0.0036395055164168966</x:v>
      </x:c>
      <x:c r="F53" s="25" t="n">
        <x:f>F30-F52</x:f>
        <x:v>-0.000004586784664528665</x:v>
      </x:c>
      <x:c r="G53" s="25" t="n">
        <x:f>G30-G52</x:f>
        <x:v>0.0013677433616128276</x:v>
      </x:c>
      <x:c r="H53" s="43"/>
    </x:row>
    <x:row r="54">
      <x:c r="B54" s="12" t="s">
        <x:v>171</x:v>
      </x:c>
      <x:c r="C54" s="7"/>
      <x:c r="D54" s="7"/>
      <x:c r="E54" s="7"/>
      <x:c r="F54" s="7"/>
      <x:c r="G54" s="7"/>
      <x:c r="H54" s="38">
        <x:v>0.19</x:v>
      </x:c>
    </x:row>
    <x:row r="55">
      <x:c r="B55" s="12" t="s">
        <x:v>172</x:v>
      </x:c>
      <x:c r="C55" s="12"/>
      <x:c r="D55" s="4" t="n">
        <x:f>'Revenue summary'!C32+Inputs!C108-D8</x:f>
        <x:v>4.547473508864641e-13</x:v>
      </x:c>
    </x:row>
    <x:row r="56">
      <x:c r="B56" s="12" t="s">
        <x:v>173</x:v>
      </x:c>
      <x:c r="C56" s="12"/>
      <x:c r="D56" s="4" t="n">
        <x:f>C10+Inputs!C109-D10</x:f>
        <x:v>0</x:v>
      </x:c>
    </x:row>
    <x:row r="57">
      <x:c r="B57" s="12" t="s">
        <x:v>174</x:v>
      </x:c>
      <x:c r="C57" s="12"/>
      <x:c r="D57" s="4" t="n">
        <x:f>C11+Inputs!C110-D11</x:f>
        <x:v>2.2737367544323206e-13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5" hidden="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175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176</x:v>
      </x:c>
      <x:c r="C8" s="18">
        <x:v>337.651</x:v>
      </x:c>
      <x:c r="D8" s="5" t="n">
        <x:f>C8</x:f>
        <x:v>337.651</x:v>
      </x:c>
      <x:c r="E8" s="18">
        <x:v>275.448</x:v>
      </x:c>
      <x:c r="F8" s="18">
        <x:v>268.338</x:v>
      </x:c>
      <x:c r="G8" s="18">
        <x:v>288.114</x:v>
      </x:c>
      <x:c r="H8" s="6" t="n">
        <x:f>G8+'Cash Flow Statement'!H34</x:f>
        <x:v>304.48699999999997</x:v>
      </x:c>
    </x:row>
    <x:row r="9">
      <x:c r="B9" s="12" t="s">
        <x:v>177</x:v>
      </x:c>
      <x:c r="C9" s="18">
        <x:v>17.445</x:v>
      </x:c>
      <x:c r="D9" s="5" t="n">
        <x:f>C9</x:f>
        <x:v>17.445</x:v>
      </x:c>
      <x:c r="E9" s="18">
        <x:v>17.233</x:v>
      </x:c>
      <x:c r="F9" s="18">
        <x:v>16.929</x:v>
      </x:c>
      <x:c r="G9" s="18">
        <x:v>16.122</x:v>
      </x:c>
      <x:c r="H9" s="21" t="n">
        <x:f>G9</x:f>
        <x:v>16.122</x:v>
      </x:c>
    </x:row>
    <x:row r="10">
      <x:c r="B10" s="12" t="s">
        <x:v>178</x:v>
      </x:c>
      <x:c r="C10" s="18">
        <x:v>270.684</x:v>
      </x:c>
      <x:c r="D10" s="5" t="n">
        <x:f>C10</x:f>
        <x:v>270.684</x:v>
      </x:c>
      <x:c r="E10" s="18">
        <x:v>289</x:v>
      </x:c>
      <x:c r="F10" s="18">
        <x:v>320.233</x:v>
      </x:c>
      <x:c r="G10" s="18">
        <x:v>289.99</x:v>
      </x:c>
      <x:c r="H10" s="6" t="n">
        <x:f>G10-'Cash Flow Statement'!H13</x:f>
        <x:v>299.99</x:v>
      </x:c>
    </x:row>
    <x:row r="11">
      <x:c r="B11" s="12" t="s">
        <x:v>179</x:v>
      </x:c>
      <x:c r="C11" s="18">
        <x:v>33.6</x:v>
      </x:c>
      <x:c r="D11" s="5" t="n">
        <x:f>C11</x:f>
        <x:v>33.6</x:v>
      </x:c>
      <x:c r="E11" s="18">
        <x:v>26.04</x:v>
      </x:c>
      <x:c r="F11" s="18">
        <x:v>28.681</x:v>
      </x:c>
      <x:c r="G11" s="18">
        <x:v>58.325</x:v>
      </x:c>
      <x:c r="H11" s="21" t="n">
        <x:f>G11</x:f>
        <x:v>58.325</x:v>
      </x:c>
    </x:row>
    <x:row r="12">
      <x:c r="B12" s="12" t="s">
        <x:v>180</x:v>
      </x:c>
      <x:c r="C12" s="18">
        <x:v>70.379</x:v>
      </x:c>
      <x:c r="D12" s="5" t="n">
        <x:f>C12</x:f>
        <x:v>70.379</x:v>
      </x:c>
      <x:c r="E12" s="18">
        <x:v>100.851</x:v>
      </x:c>
      <x:c r="F12" s="18">
        <x:v>89.997</x:v>
      </x:c>
      <x:c r="G12" s="18">
        <x:v>74.968</x:v>
      </x:c>
      <x:c r="H12" s="6" t="n">
        <x:f>G12-'Cash Flow Statement'!H14</x:f>
        <x:v>74.968</x:v>
      </x:c>
    </x:row>
    <x:row r="13">
      <x:c r="B13" s="16" t="s">
        <x:v>181</x:v>
      </x:c>
      <x:c r="C13" s="11" t="n">
        <x:f>SUM(C8:C12)</x:f>
        <x:v>729.759</x:v>
      </x:c>
      <x:c r="D13" s="11" t="n">
        <x:f>SUM(D8:D12)</x:f>
        <x:v>729.759</x:v>
      </x:c>
      <x:c r="E13" s="11" t="n">
        <x:f>SUM(E8:E12)</x:f>
        <x:v>708.572</x:v>
      </x:c>
      <x:c r="F13" s="11" t="n">
        <x:f>SUM(F8:F12)</x:f>
        <x:v>724.178</x:v>
      </x:c>
      <x:c r="G13" s="11" t="n">
        <x:f>SUM(G8:G12)</x:f>
        <x:v>727.519</x:v>
      </x:c>
      <x:c r="H13" s="15" t="n">
        <x:f>SUM(H8:H12)</x:f>
        <x:v>753.8919999999999</x:v>
      </x:c>
    </x:row>
    <x:row r="14">
      <x:c r="B14" s="12" t="s">
        <x:v>182</x:v>
      </x:c>
      <x:c r="C14" s="18">
        <x:v>85.203</x:v>
      </x:c>
      <x:c r="D14" s="5" t="n">
        <x:f>C14</x:f>
        <x:v>85.203</x:v>
      </x:c>
      <x:c r="E14" s="18">
        <x:v>84.964</x:v>
      </x:c>
      <x:c r="F14" s="18">
        <x:v>84.427</x:v>
      </x:c>
      <x:c r="G14" s="18">
        <x:v>82.319</x:v>
      </x:c>
      <x:c r="H14" s="21" t="n">
        <x:f>G14</x:f>
        <x:v>82.319</x:v>
      </x:c>
      <x:c r="J14" s="12" t="s">
        <x:v>183</x:v>
      </x:c>
    </x:row>
    <x:row r="15">
      <x:c r="B15" s="12" t="s">
        <x:v>184</x:v>
      </x:c>
      <x:c r="C15" s="18">
        <x:v>1284.708</x:v>
      </x:c>
      <x:c r="D15" s="5" t="n">
        <x:f>C15</x:f>
        <x:v>1284.708</x:v>
      </x:c>
      <x:c r="E15" s="18">
        <x:v>1279.593</x:v>
      </x:c>
      <x:c r="F15" s="18">
        <x:v>1287.221</x:v>
      </x:c>
      <x:c r="G15" s="18">
        <x:v>1283.377</x:v>
      </x:c>
      <x:c r="H15" s="21" t="n">
        <x:f>G15</x:f>
        <x:v>1283.377</x:v>
      </x:c>
      <x:c r="J15" s="12"/>
    </x:row>
    <x:row r="16">
      <x:c r="B16" s="12" t="s">
        <x:v>185</x:v>
      </x:c>
      <x:c r="C16" s="18">
        <x:v>1916.102</x:v>
      </x:c>
      <x:c r="D16" s="5" t="n">
        <x:f>C16</x:f>
        <x:v>1916.102</x:v>
      </x:c>
      <x:c r="E16" s="18">
        <x:v>1899.838</x:v>
      </x:c>
      <x:c r="F16" s="18">
        <x:v>1884.91</x:v>
      </x:c>
      <x:c r="G16" s="18">
        <x:v>1868.418</x:v>
      </x:c>
      <x:c r="H16" s="21" t="n">
        <x:f>G16</x:f>
        <x:v>1868.418</x:v>
      </x:c>
      <x:c r="J16" s="12"/>
    </x:row>
    <x:row r="17">
      <x:c r="B17" s="12" t="s">
        <x:v>186</x:v>
      </x:c>
      <x:c r="C17" s="18">
        <x:v>61.226</x:v>
      </x:c>
      <x:c r="D17" s="5" t="n">
        <x:f>C17</x:f>
        <x:v>61.226</x:v>
      </x:c>
      <x:c r="E17" s="18">
        <x:v>59.533</x:v>
      </x:c>
      <x:c r="F17" s="18">
        <x:v>61.495</x:v>
      </x:c>
      <x:c r="G17" s="18">
        <x:v>41.945</x:v>
      </x:c>
      <x:c r="H17" s="21" t="n">
        <x:f>G17</x:f>
        <x:v>41.945</x:v>
      </x:c>
      <x:c r="J17" s="12"/>
    </x:row>
    <x:row r="18">
      <x:c r="B18" s="12" t="s">
        <x:v>187</x:v>
      </x:c>
      <x:c r="C18" s="18">
        <x:v>121.776</x:v>
      </x:c>
      <x:c r="D18" s="5" t="n">
        <x:f>C18</x:f>
        <x:v>121.776</x:v>
      </x:c>
      <x:c r="E18" s="18">
        <x:v>125.603</x:v>
      </x:c>
      <x:c r="F18" s="18">
        <x:v>120.46</x:v>
      </x:c>
      <x:c r="G18" s="18">
        <x:v>119.364</x:v>
      </x:c>
      <x:c r="H18" s="21" t="n">
        <x:f>G18</x:f>
        <x:v>119.364</x:v>
      </x:c>
      <x:c r="J18" s="12"/>
    </x:row>
    <x:row r="19">
      <x:c r="B19" s="12" t="s">
        <x:v>188</x:v>
      </x:c>
      <x:c r="C19" s="18">
        <x:v>105.498</x:v>
      </x:c>
      <x:c r="D19" s="5" t="n">
        <x:f>C19</x:f>
        <x:v>105.498</x:v>
      </x:c>
      <x:c r="E19" s="18">
        <x:v>62.681</x:v>
      </x:c>
      <x:c r="F19" s="18">
        <x:v>57.139</x:v>
      </x:c>
      <x:c r="G19" s="18">
        <x:v>69.055</x:v>
      </x:c>
      <x:c r="H19" s="21" t="n">
        <x:f>G19</x:f>
        <x:v>69.055</x:v>
      </x:c>
      <x:c r="J19" s="12"/>
    </x:row>
    <x:row r="20">
      <x:c r="B20" s="16" t="s">
        <x:v>189</x:v>
      </x:c>
      <x:c r="C20" s="11" t="n">
        <x:f>SUM(C13:C19)</x:f>
        <x:v>4304.272</x:v>
      </x:c>
      <x:c r="D20" s="11" t="n">
        <x:f>SUM(D13:D19)</x:f>
        <x:v>4304.272</x:v>
      </x:c>
      <x:c r="E20" s="11" t="n">
        <x:f>SUM(E13:E19)</x:f>
        <x:v>4220.783999999999</x:v>
      </x:c>
      <x:c r="F20" s="11" t="n">
        <x:f>SUM(F13:F19)</x:f>
        <x:v>4219.83</x:v>
      </x:c>
      <x:c r="G20" s="11" t="n">
        <x:f>SUM(G13:G19)</x:f>
        <x:v>4191.997</x:v>
      </x:c>
      <x:c r="H20" s="15" t="n">
        <x:f>SUM(H13:H19)</x:f>
        <x:v>4218.37</x:v>
      </x:c>
      <x:c r="J20" s="12"/>
    </x:row>
    <x:row r="21">
      <x:c r="B21" s="12" t="s">
        <x:v>190</x:v>
      </x:c>
      <x:c r="C21" s="18">
        <x:v>135.262</x:v>
      </x:c>
      <x:c r="D21" s="5" t="n">
        <x:f>C21</x:f>
        <x:v>135.262</x:v>
      </x:c>
      <x:c r="E21" s="18">
        <x:v>149.277</x:v>
      </x:c>
      <x:c r="F21" s="18">
        <x:v>149.243</x:v>
      </x:c>
      <x:c r="G21" s="18">
        <x:v>163.982</x:v>
      </x:c>
      <x:c r="H21" s="21" t="n">
        <x:f>G21</x:f>
        <x:v>163.982</x:v>
      </x:c>
      <x:c r="J21" s="12"/>
    </x:row>
    <x:row r="22">
      <x:c r="B22" s="12" t="s">
        <x:v>191</x:v>
      </x:c>
      <x:c r="C22" s="18">
        <x:v>0</x:v>
      </x:c>
      <x:c r="D22" s="5" t="n">
        <x:f>C22</x:f>
        <x:v>0</x:v>
      </x:c>
      <x:c r="E22" s="18">
        <x:v>0</x:v>
      </x:c>
      <x:c r="F22" s="18">
        <x:v>0</x:v>
      </x:c>
      <x:c r="G22" s="18">
        <x:v>499.159</x:v>
      </x:c>
      <x:c r="H22" s="21" t="n">
        <x:f>G22</x:f>
        <x:v>499.159</x:v>
      </x:c>
      <x:c r="J22" s="12"/>
    </x:row>
    <x:row r="23">
      <x:c r="B23" s="12" t="s">
        <x:v>192</x:v>
      </x:c>
      <x:c r="C23" s="18">
        <x:v>33.145</x:v>
      </x:c>
      <x:c r="D23" s="5" t="n">
        <x:f>C23</x:f>
        <x:v>33.145</x:v>
      </x:c>
      <x:c r="E23" s="18">
        <x:v>32.609</x:v>
      </x:c>
      <x:c r="F23" s="18">
        <x:v>33.575</x:v>
      </x:c>
      <x:c r="G23" s="18">
        <x:v>33.963</x:v>
      </x:c>
      <x:c r="H23" s="21" t="n">
        <x:f>G23</x:f>
        <x:v>33.963</x:v>
      </x:c>
      <x:c r="J23" s="12"/>
    </x:row>
    <x:row r="24">
      <x:c r="B24" s="12" t="s">
        <x:v>193</x:v>
      </x:c>
      <x:c r="C24" s="18">
        <x:v>130.596</x:v>
      </x:c>
      <x:c r="D24" s="5" t="n">
        <x:f>C24</x:f>
        <x:v>130.596</x:v>
      </x:c>
      <x:c r="E24" s="18">
        <x:v>59.627</x:v>
      </x:c>
      <x:c r="F24" s="18">
        <x:v>88.479</x:v>
      </x:c>
      <x:c r="G24" s="18">
        <x:v>137.431</x:v>
      </x:c>
      <x:c r="H24" s="21" t="n">
        <x:f>G24</x:f>
        <x:v>137.431</x:v>
      </x:c>
      <x:c r="J24" s="12"/>
    </x:row>
    <x:row r="25">
      <x:c r="B25" s="12" t="s">
        <x:v>194</x:v>
      </x:c>
      <x:c r="C25" s="18">
        <x:v>167.852</x:v>
      </x:c>
      <x:c r="D25" s="5" t="n">
        <x:f>C25</x:f>
        <x:v>167.852</x:v>
      </x:c>
      <x:c r="E25" s="18">
        <x:v>162.586</x:v>
      </x:c>
      <x:c r="F25" s="18">
        <x:v>188.722</x:v>
      </x:c>
      <x:c r="G25" s="18">
        <x:v>183.494</x:v>
      </x:c>
      <x:c r="H25" s="6" t="n">
        <x:f>G25+'Cash Flow Statement'!H17</x:f>
        <x:v>185.494</x:v>
      </x:c>
      <x:c r="J25" s="12"/>
    </x:row>
    <x:row r="26">
      <x:c r="B26" s="12" t="s">
        <x:v>195</x:v>
      </x:c>
      <x:c r="C26" s="18">
        <x:v>13.041</x:v>
      </x:c>
      <x:c r="D26" s="5" t="n">
        <x:f>C26</x:f>
        <x:v>13.041</x:v>
      </x:c>
      <x:c r="E26" s="18">
        <x:v>13.704</x:v>
      </x:c>
      <x:c r="F26" s="18">
        <x:v>5.607</x:v>
      </x:c>
      <x:c r="G26" s="18">
        <x:v>5.182</x:v>
      </x:c>
      <x:c r="H26" s="21" t="n">
        <x:f>G26</x:f>
        <x:v>5.182</x:v>
      </x:c>
      <x:c r="J26" s="12"/>
    </x:row>
    <x:row r="27">
      <x:c r="B27" s="12" t="s">
        <x:v>196</x:v>
      </x:c>
      <x:c r="C27" s="18">
        <x:v>41.41</x:v>
      </x:c>
      <x:c r="D27" s="5" t="n">
        <x:f>C27</x:f>
        <x:v>41.41</x:v>
      </x:c>
      <x:c r="E27" s="18">
        <x:v>40.969</x:v>
      </x:c>
      <x:c r="F27" s="18">
        <x:v>40.305</x:v>
      </x:c>
      <x:c r="G27" s="18">
        <x:v>41.5</x:v>
      </x:c>
      <x:c r="H27" s="21" t="n">
        <x:f>G27</x:f>
        <x:v>41.5</x:v>
      </x:c>
      <x:c r="J27" s="12"/>
    </x:row>
    <x:row r="28">
      <x:c r="B28" s="16" t="s">
        <x:v>197</x:v>
      </x:c>
      <x:c r="C28" s="11" t="n">
        <x:f>SUM(C21:C27)</x:f>
        <x:v>521.306</x:v>
      </x:c>
      <x:c r="D28" s="11" t="n">
        <x:f>SUM(D21:D27)</x:f>
        <x:v>521.306</x:v>
      </x:c>
      <x:c r="E28" s="11" t="n">
        <x:f>SUM(E21:E27)</x:f>
        <x:v>458.77200000000005</x:v>
      </x:c>
      <x:c r="F28" s="11" t="n">
        <x:f>SUM(F21:F27)</x:f>
        <x:v>505.93100000000004</x:v>
      </x:c>
      <x:c r="G28" s="11" t="n">
        <x:f>SUM(G21:G27)</x:f>
        <x:v>1064.711</x:v>
      </x:c>
      <x:c r="H28" s="15" t="n">
        <x:f>SUM(H21:H27)</x:f>
        <x:v>1066.711</x:v>
      </x:c>
      <x:c r="J28" s="12"/>
    </x:row>
    <x:row r="29">
      <x:c r="B29" s="12" t="s">
        <x:v>198</x:v>
      </x:c>
      <x:c r="C29" s="18">
        <x:v>1368.26</x:v>
      </x:c>
      <x:c r="D29" s="5" t="n">
        <x:f>C29</x:f>
        <x:v>1368.26</x:v>
      </x:c>
      <x:c r="E29" s="18">
        <x:v>1368.738</x:v>
      </x:c>
      <x:c r="F29" s="18">
        <x:v>1369.216</x:v>
      </x:c>
      <x:c r="G29" s="18">
        <x:v>890.542</x:v>
      </x:c>
      <x:c r="H29" s="21" t="n">
        <x:f>G29</x:f>
        <x:v>890.542</x:v>
      </x:c>
      <x:c r="J29" s="12"/>
    </x:row>
    <x:row r="30">
      <x:c r="B30" s="12" t="s">
        <x:v>199</x:v>
      </x:c>
      <x:c r="C30" s="18">
        <x:v>14.902</x:v>
      </x:c>
      <x:c r="D30" s="5" t="n">
        <x:f>C30</x:f>
        <x:v>14.902</x:v>
      </x:c>
      <x:c r="E30" s="18">
        <x:v>15.125</x:v>
      </x:c>
      <x:c r="F30" s="18">
        <x:v>14.728</x:v>
      </x:c>
      <x:c r="G30" s="18">
        <x:v>13.04</x:v>
      </x:c>
      <x:c r="H30" s="21" t="n">
        <x:f>G30</x:f>
        <x:v>13.04</x:v>
      </x:c>
      <x:c r="J30" s="12"/>
    </x:row>
    <x:row r="31">
      <x:c r="B31" s="12" t="s">
        <x:v>200</x:v>
      </x:c>
      <x:c r="C31" s="18">
        <x:v>45.095</x:v>
      </x:c>
      <x:c r="D31" s="5" t="n">
        <x:f>C31</x:f>
        <x:v>45.095</x:v>
      </x:c>
      <x:c r="E31" s="18">
        <x:v>44.513</x:v>
      </x:c>
      <x:c r="F31" s="18">
        <x:v>41.387</x:v>
      </x:c>
      <x:c r="G31" s="18">
        <x:v>41.315</x:v>
      </x:c>
      <x:c r="H31" s="21" t="n">
        <x:f>G31</x:f>
        <x:v>41.315</x:v>
      </x:c>
      <x:c r="J31" s="12"/>
    </x:row>
    <x:row r="32">
      <x:c r="B32" s="12" t="s">
        <x:v>201</x:v>
      </x:c>
      <x:c r="C32" s="18">
        <x:v>157.104</x:v>
      </x:c>
      <x:c r="D32" s="5" t="n">
        <x:f>C32</x:f>
        <x:v>157.104</x:v>
      </x:c>
      <x:c r="E32" s="18">
        <x:v>158.687</x:v>
      </x:c>
      <x:c r="F32" s="18">
        <x:v>150.866</x:v>
      </x:c>
      <x:c r="G32" s="18">
        <x:v>146.978</x:v>
      </x:c>
      <x:c r="H32" s="21" t="n">
        <x:f>G32</x:f>
        <x:v>146.978</x:v>
      </x:c>
      <x:c r="J32" s="12"/>
    </x:row>
    <x:row r="33">
      <x:c r="B33" s="12" t="s">
        <x:v>202</x:v>
      </x:c>
      <x:c r="C33" s="18">
        <x:v>11.192</x:v>
      </x:c>
      <x:c r="D33" s="5" t="n">
        <x:f>C33</x:f>
        <x:v>11.192</x:v>
      </x:c>
      <x:c r="E33" s="18">
        <x:v>7.065</x:v>
      </x:c>
      <x:c r="F33" s="18">
        <x:v>8.59</x:v>
      </x:c>
      <x:c r="G33" s="18">
        <x:v>3.121</x:v>
      </x:c>
      <x:c r="H33" s="21" t="n">
        <x:f>G33</x:f>
        <x:v>3.121</x:v>
      </x:c>
      <x:c r="J33" s="12"/>
    </x:row>
    <x:row r="34">
      <x:c r="B34" s="16" t="s">
        <x:v>203</x:v>
      </x:c>
      <x:c r="C34" s="11" t="n">
        <x:f>SUM(C28:C33)</x:f>
        <x:v>2117.859</x:v>
      </x:c>
      <x:c r="D34" s="11" t="n">
        <x:f>SUM(D28:D33)</x:f>
        <x:v>2117.859</x:v>
      </x:c>
      <x:c r="E34" s="11" t="n">
        <x:f>SUM(E28:E33)</x:f>
        <x:v>2052.9</x:v>
      </x:c>
      <x:c r="F34" s="11" t="n">
        <x:f>SUM(F28:F33)</x:f>
        <x:v>2090.7180000000003</x:v>
      </x:c>
      <x:c r="G34" s="11" t="n">
        <x:f>SUM(G28:G33)</x:f>
        <x:v>2159.7070000000003</x:v>
      </x:c>
      <x:c r="H34" s="15" t="n">
        <x:f>SUM(H28:H33)</x:f>
        <x:v>2161.7070000000003</x:v>
      </x:c>
      <x:c r="J34" s="12"/>
    </x:row>
    <x:row r="35">
      <x:c r="B35" s="16" t="s">
        <x:v>204</x:v>
      </x:c>
      <x:c r="C35" s="3">
        <x:v>2186.413</x:v>
      </x:c>
      <x:c r="D35" s="11" t="n">
        <x:f>C35</x:f>
        <x:v>2186.413</x:v>
      </x:c>
      <x:c r="E35" s="3">
        <x:v>2167.884</x:v>
      </x:c>
      <x:c r="F35" s="3">
        <x:v>2129.112</x:v>
      </x:c>
      <x:c r="G35" s="3">
        <x:v>2032.29</x:v>
      </x:c>
      <x:c r="H35" s="24" t="n">
        <x:f>G35+'Income Statement'!H24-'Share Count'!H13-H27+H37</x:f>
        <x:v>2056.663</x:v>
      </x:c>
      <x:c r="J35" s="12"/>
    </x:row>
    <x:row r="36">
      <x:c r="B36" s="16" t="s">
        <x:v>205</x:v>
      </x:c>
      <x:c r="C36" s="11" t="n">
        <x:f>C20-C34-C35</x:f>
        <x:v>0</x:v>
      </x:c>
      <x:c r="D36" s="11" t="n">
        <x:f>D20-D34-D35</x:f>
        <x:v>0</x:v>
      </x:c>
      <x:c r="E36" s="11" t="n">
        <x:f>E20-E34-E35</x:f>
        <x:v>-1.3642420526593924e-12</x:v>
      </x:c>
      <x:c r="F36" s="11" t="n">
        <x:f>F20-F34-F35</x:f>
        <x:v>-4.547473508864641e-13</x:v>
      </x:c>
      <x:c r="G36" s="11" t="n">
        <x:f>G20-G34-G35</x:f>
        <x:v>0</x:v>
      </x:c>
      <x:c r="H36" s="15" t="n">
        <x:f>H20-H34-H35</x:f>
        <x:v>-4.547473508864641e-13</x:v>
      </x:c>
      <x:c r="J36" s="12"/>
    </x:row>
    <x:row r="37">
      <x:c r="B37" s="12" t="s">
        <x:v>206</x:v>
      </x:c>
      <x:c r="C37" s="5"/>
      <x:c r="D37" s="5"/>
      <x:c r="E37" s="5"/>
      <x:c r="F37" s="5"/>
      <x:c r="G37" s="5"/>
      <x:c r="H37" s="6" t="n">
        <x:f>'Cash Flow Statement'!H11</x:f>
        <x:v>20</x:v>
      </x:c>
      <x:c r="J37" s="12"/>
    </x:row>
    <x:row r="38" ht="48" customHeight="1">
      <x:c r="B38" s="12" t="s">
        <x:v>207</x:v>
      </x:c>
      <x:c r="C38" s="5"/>
      <x:c r="D38" s="5"/>
      <x:c r="E38" s="5"/>
      <x:c r="F38" s="5"/>
      <x:c r="G38" s="5"/>
      <x:c r="H38" s="21" t="n">
        <x:f>H36</x:f>
        <x:v>-4.547473508864641e-13</x:v>
      </x:c>
      <x:c r="J38" s="63" t="str">
        <x:v>Supplemental balance sheet is not fully integrated with all cash-flow assumptions. Its zero residual does not validate the underlying rollforwards.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  <x:col min="10" max="10" width="6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208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143</x:v>
      </x:c>
      <x:c r="C8" s="4" t="n">
        <x:f>'Income Statement'!C24</x:f>
        <x:v>153.61599999999993</x:v>
      </x:c>
      <x:c r="D8" s="4" t="n">
        <x:f>'Income Statement'!D24</x:f>
        <x:v>597.0399999999996</x:v>
      </x:c>
      <x:c r="E8" s="4" t="n">
        <x:f>'Income Statement'!E24</x:f>
        <x:v>152.57999999999998</x:v>
      </x:c>
      <x:c r="F8" s="4" t="n">
        <x:f>'Income Statement'!F24</x:f>
        <x:v>133.05599999999998</x:v>
      </x:c>
      <x:c r="G8" s="4" t="n">
        <x:f>'Income Statement'!G24</x:f>
        <x:v>126.71800000000013</x:v>
      </x:c>
      <x:c r="H8" s="6" t="n">
        <x:f>'Income Statement'!H24</x:f>
        <x:v>140.37300000000002</x:v>
      </x:c>
    </x:row>
    <x:row r="9">
      <x:c r="B9" s="12" t="s">
        <x:v>209</x:v>
      </x:c>
      <x:c r="C9" s="18">
        <x:v>42.719</x:v>
      </x:c>
      <x:c r="D9" s="18">
        <x:v>157.691</x:v>
      </x:c>
      <x:c r="E9" s="18">
        <x:v>44.148</x:v>
      </x:c>
      <x:c r="F9" s="18">
        <x:v>43.69</x:v>
      </x:c>
      <x:c r="G9" s="18">
        <x:v>45.87</x:v>
      </x:c>
      <x:c r="H9" s="10">
        <x:v>44</x:v>
      </x:c>
    </x:row>
    <x:row r="10">
      <x:c r="B10" s="12" t="s">
        <x:v>210</x:v>
      </x:c>
      <x:c r="C10" s="18">
        <x:v>7.83</x:v>
      </x:c>
      <x:c r="D10" s="18">
        <x:v>30.982</x:v>
      </x:c>
      <x:c r="E10" s="18">
        <x:v>7.997</x:v>
      </x:c>
      <x:c r="F10" s="18">
        <x:v>8.188</x:v>
      </x:c>
      <x:c r="G10" s="18">
        <x:v>8.084</x:v>
      </x:c>
      <x:c r="H10" s="10">
        <x:v>8</x:v>
      </x:c>
    </x:row>
    <x:row r="11">
      <x:c r="B11" s="12" t="s">
        <x:v>211</x:v>
      </x:c>
      <x:c r="C11" s="18">
        <x:v>14.075</x:v>
      </x:c>
      <x:c r="D11" s="18">
        <x:v>61.229</x:v>
      </x:c>
      <x:c r="E11" s="18">
        <x:v>18.457</x:v>
      </x:c>
      <x:c r="F11" s="18">
        <x:v>20.867</x:v>
      </x:c>
      <x:c r="G11" s="18">
        <x:v>22.217</x:v>
      </x:c>
      <x:c r="H11" s="10">
        <x:v>20</x:v>
      </x:c>
    </x:row>
    <x:row r="12">
      <x:c r="B12" s="12" t="s">
        <x:v>212</x:v>
      </x:c>
      <x:c r="C12" s="18">
        <x:v>-6.699</x:v>
      </x:c>
      <x:c r="D12" s="18">
        <x:v>-3.545</x:v>
      </x:c>
      <x:c r="E12" s="18">
        <x:v>3.039</x:v>
      </x:c>
      <x:c r="F12" s="18">
        <x:v>-0.658</x:v>
      </x:c>
      <x:c r="G12" s="18">
        <x:v>18.427</x:v>
      </x:c>
      <x:c r="H12" s="10">
        <x:v>0</x:v>
      </x:c>
    </x:row>
    <x:row r="13">
      <x:c r="B13" s="12" t="s">
        <x:v>213</x:v>
      </x:c>
      <x:c r="C13" s="18">
        <x:v>-1.048</x:v>
      </x:c>
      <x:c r="D13" s="18">
        <x:v>-42.54</x:v>
      </x:c>
      <x:c r="E13" s="18">
        <x:v>-19.232</x:v>
      </x:c>
      <x:c r="F13" s="18">
        <x:v>-31.783</x:v>
      </x:c>
      <x:c r="G13" s="18">
        <x:v>26.639</x:v>
      </x:c>
      <x:c r="H13" s="10">
        <x:v>-10</x:v>
      </x:c>
    </x:row>
    <x:row r="14">
      <x:c r="B14" s="12" t="s">
        <x:v>214</x:v>
      </x:c>
      <x:c r="C14" s="18">
        <x:v>-6.634</x:v>
      </x:c>
      <x:c r="D14" s="18">
        <x:v>0.065</x:v>
      </x:c>
      <x:c r="E14" s="18">
        <x:v>-23.113</x:v>
      </x:c>
      <x:c r="F14" s="18">
        <x:v>4.116</x:v>
      </x:c>
      <x:c r="G14" s="18">
        <x:v>15.238</x:v>
      </x:c>
      <x:c r="H14" s="10">
        <x:v>0</x:v>
      </x:c>
    </x:row>
    <x:row r="15">
      <x:c r="B15" s="12" t="s">
        <x:v>190</x:v>
      </x:c>
      <x:c r="C15" s="18">
        <x:v>-9.683</x:v>
      </x:c>
      <x:c r="D15" s="18">
        <x:v>-59.4</x:v>
      </x:c>
      <x:c r="E15" s="18">
        <x:v>22.225</x:v>
      </x:c>
      <x:c r="F15" s="18">
        <x:v>-10.277</x:v>
      </x:c>
      <x:c r="G15" s="18">
        <x:v>10.845</x:v>
      </x:c>
      <x:c r="H15" s="10">
        <x:v>2</x:v>
      </x:c>
    </x:row>
    <x:row r="16">
      <x:c r="B16" s="12" t="s">
        <x:v>193</x:v>
      </x:c>
      <x:c r="C16" s="18">
        <x:v>31.877</x:v>
      </x:c>
      <x:c r="D16" s="18">
        <x:v>35.666</x:v>
      </x:c>
      <x:c r="E16" s="18">
        <x:v>-70.313</x:v>
      </x:c>
      <x:c r="F16" s="18">
        <x:v>28.072</x:v>
      </x:c>
      <x:c r="G16" s="18">
        <x:v>49.782</x:v>
      </x:c>
      <x:c r="H16" s="10">
        <x:v>0</x:v>
      </x:c>
    </x:row>
    <x:row r="17">
      <x:c r="B17" s="12" t="s">
        <x:v>215</x:v>
      </x:c>
      <x:c r="C17" s="18">
        <x:v>-2.706</x:v>
      </x:c>
      <x:c r="D17" s="18">
        <x:v>2.249</x:v>
      </x:c>
      <x:c r="E17" s="18">
        <x:v>-5.793</x:v>
      </x:c>
      <x:c r="F17" s="18">
        <x:v>26.015</x:v>
      </x:c>
      <x:c r="G17" s="18">
        <x:v>-5.192</x:v>
      </x:c>
      <x:c r="H17" s="10">
        <x:v>2</x:v>
      </x:c>
    </x:row>
    <x:row r="18">
      <x:c r="B18" s="12" t="s">
        <x:v>216</x:v>
      </x:c>
      <x:c r="C18" s="18">
        <x:v>17.947</x:v>
      </x:c>
      <x:c r="D18" s="18">
        <x:v>-1.161</x:v>
      </x:c>
      <x:c r="E18" s="18">
        <x:v>7.712</x:v>
      </x:c>
      <x:c r="F18" s="18">
        <x:v>-13.813</x:v>
      </x:c>
      <x:c r="G18" s="18">
        <x:v>-30.219</x:v>
      </x:c>
      <x:c r="H18" s="10">
        <x:v>-4</x:v>
      </x:c>
    </x:row>
    <x:row r="19">
      <x:c r="B19" s="12" t="s">
        <x:v>217</x:v>
      </x:c>
      <x:c r="C19" s="18">
        <x:v>-10.395</x:v>
      </x:c>
      <x:c r="D19" s="18">
        <x:v>-40.645</x:v>
      </x:c>
      <x:c r="E19" s="18">
        <x:v>-10.529</x:v>
      </x:c>
      <x:c r="F19" s="18">
        <x:v>-10.068</x:v>
      </x:c>
      <x:c r="G19" s="18">
        <x:v>-9.936</x:v>
      </x:c>
      <x:c r="H19" s="10">
        <x:v>-10</x:v>
      </x:c>
      <x:c r="J19" s="12" t="s">
        <x:v>12</x:v>
      </x:c>
    </x:row>
    <x:row r="20">
      <x:c r="B20" s="12" t="s">
        <x:v>218</x:v>
      </x:c>
      <x:c r="C20" s="5" t="n">
        <x:f>C39-SUM(C8:C19)</x:f>
        <x:v>-18.79899999999995</x:v>
      </x:c>
      <x:c r="D20" s="5" t="n">
        <x:f>D39-SUM(D8:D19)</x:f>
        <x:v>-11.370999999999981</x:v>
      </x:c>
      <x:c r="E20" s="5" t="n">
        <x:f>E39-SUM(E8:E19)</x:f>
        <x:v>-5.893999999999934</x:v>
      </x:c>
      <x:c r="F20" s="5" t="n">
        <x:f>F39-SUM(F8:F19)</x:f>
        <x:v>14.283000000000044</x:v>
      </x:c>
      <x:c r="G20" s="5" t="n">
        <x:f>G39-SUM(G8:G19)</x:f>
        <x:v>6.046999999999855</x:v>
      </x:c>
      <x:c r="H20" s="10">
        <x:v>-15</x:v>
      </x:c>
      <x:c r="J20" s="12" t="s">
        <x:v>219</x:v>
      </x:c>
    </x:row>
    <x:row r="21">
      <x:c r="B21" s="16" t="s">
        <x:v>220</x:v>
      </x:c>
      <x:c r="C21" s="11" t="n">
        <x:f>SUM(C8:C20)</x:f>
        <x:v>212.1</x:v>
      </x:c>
      <x:c r="D21" s="11" t="n">
        <x:f>SUM(D8:D20)</x:f>
        <x:v>726.26</x:v>
      </x:c>
      <x:c r="E21" s="11" t="n">
        <x:f>SUM(E8:E20)</x:f>
        <x:v>121.284</x:v>
      </x:c>
      <x:c r="F21" s="11" t="n">
        <x:f>SUM(F8:F20)</x:f>
        <x:v>211.688</x:v>
      </x:c>
      <x:c r="G21" s="11" t="n">
        <x:f>SUM(G8:G20)</x:f>
        <x:v>284.52</x:v>
      </x:c>
      <x:c r="H21" s="15" t="n">
        <x:f>SUM(H8:H20)</x:f>
        <x:v>177.37300000000002</x:v>
      </x:c>
    </x:row>
    <x:row r="22">
      <x:c r="B22" s="12" t="s">
        <x:v>221</x:v>
      </x:c>
      <x:c r="C22" s="18">
        <x:v>-33.966</x:v>
      </x:c>
      <x:c r="D22" s="18">
        <x:v>-108.806</x:v>
      </x:c>
      <x:c r="E22" s="18">
        <x:v>-30.847</x:v>
      </x:c>
      <x:c r="F22" s="18">
        <x:v>-25.997</x:v>
      </x:c>
      <x:c r="G22" s="18">
        <x:v>-30.475</x:v>
      </x:c>
      <x:c r="H22" s="10">
        <x:v>-30</x:v>
      </x:c>
    </x:row>
    <x:row r="23">
      <x:c r="B23" s="12" t="s">
        <x:v>222</x:v>
      </x:c>
      <x:c r="C23" s="5" t="n">
        <x:f>C41-SUM(C22,C24)</x:f>
        <x:v>10.566000000000003</x:v>
      </x:c>
      <x:c r="D23" s="5" t="n">
        <x:f>D41-SUM(D22,D24)</x:f>
        <x:v>64.28799999999995</x:v>
      </x:c>
      <x:c r="E23" s="5" t="n">
        <x:f>E41-SUM(E22,E24)</x:f>
        <x:v>35.175000000000004</x:v>
      </x:c>
      <x:c r="F23" s="5" t="n">
        <x:f>F41-SUM(F22,F24)</x:f>
        <x:v>-0.2289999999999992</x:v>
      </x:c>
      <x:c r="G23" s="5" t="n">
        <x:f>G41-SUM(G22,G24)</x:f>
        <x:v>-16.982</x:v>
      </x:c>
      <x:c r="H23" s="10">
        <x:v>0</x:v>
      </x:c>
    </x:row>
    <x:row r="24">
      <x:c r="B24" s="12" t="s">
        <x:v>223</x:v>
      </x:c>
      <x:c r="C24" s="18">
        <x:v>0</x:v>
      </x:c>
      <x:c r="D24" s="18">
        <x:v>-348.255</x:v>
      </x:c>
      <x:c r="E24" s="18">
        <x:v>0</x:v>
      </x:c>
      <x:c r="F24" s="18">
        <x:v>0</x:v>
      </x:c>
      <x:c r="G24" s="18">
        <x:v>0</x:v>
      </x:c>
      <x:c r="H24" s="10">
        <x:v>0</x:v>
      </x:c>
    </x:row>
    <x:row r="25">
      <x:c r="B25" s="16" t="s">
        <x:v>224</x:v>
      </x:c>
      <x:c r="C25" s="11" t="n">
        <x:f>SUM(C22:C24)</x:f>
        <x:v>-23.4</x:v>
      </x:c>
      <x:c r="D25" s="11" t="n">
        <x:f>SUM(D22:D24)</x:f>
        <x:v>-392.773</x:v>
      </x:c>
      <x:c r="E25" s="11" t="n">
        <x:f>SUM(E22:E24)</x:f>
        <x:v>4.328000000000003</x:v>
      </x:c>
      <x:c r="F25" s="11" t="n">
        <x:f>SUM(F22:F24)</x:f>
        <x:v>-26.226</x:v>
      </x:c>
      <x:c r="G25" s="11" t="n">
        <x:f>SUM(G22:G24)</x:f>
        <x:v>-47.457</x:v>
      </x:c>
      <x:c r="H25" s="15" t="n">
        <x:f>SUM(H22:H24)</x:f>
        <x:v>-30</x:v>
      </x:c>
    </x:row>
    <x:row r="26">
      <x:c r="B26" s="12" t="s">
        <x:v>225</x:v>
      </x:c>
      <x:c r="C26" s="4" t="n">
        <x:f>'Share Count'!C13*-1</x:f>
        <x:v>-106.6</x:v>
      </x:c>
      <x:c r="D26" s="18">
        <x:v>-300.457</x:v>
      </x:c>
      <x:c r="E26" s="4" t="n">
        <x:f>'Share Count'!E13*-1</x:f>
        <x:v>-139.899</x:v>
      </x:c>
      <x:c r="F26" s="4" t="n">
        <x:f>'Share Count'!F13*-1</x:f>
        <x:v>-163.031</x:v>
      </x:c>
      <x:c r="G26" s="4" t="n">
        <x:f>'Share Count'!G13*-1</x:f>
        <x:v>-203.07</x:v>
      </x:c>
      <x:c r="H26" s="6" t="n">
        <x:f>-'Share Count'!H13</x:f>
        <x:v>-94.5</x:v>
      </x:c>
    </x:row>
    <x:row r="27">
      <x:c r="B27" s="12" t="s">
        <x:v>226</x:v>
      </x:c>
      <x:c r="C27" s="18">
        <x:v>-41.644</x:v>
      </x:c>
      <x:c r="D27" s="18">
        <x:v>-159.973</x:v>
      </x:c>
      <x:c r="E27" s="18">
        <x:v>-41.411</x:v>
      </x:c>
      <x:c r="F27" s="18">
        <x:v>-40.968</x:v>
      </x:c>
      <x:c r="G27" s="18">
        <x:v>-40.305</x:v>
      </x:c>
      <x:c r="H27" s="10">
        <x:v>-41.5</x:v>
      </x:c>
    </x:row>
    <x:row r="28">
      <x:c r="B28" s="12" t="s">
        <x:v>227</x:v>
      </x:c>
      <x:c r="C28" s="18">
        <x:v>-62.5</x:v>
      </x:c>
      <x:c r="D28" s="18">
        <x:v>-1.5900000000000318</x:v>
      </x:c>
      <x:c r="E28" s="18">
        <x:v>0</x:v>
      </x:c>
      <x:c r="F28" s="18">
        <x:v>0</x:v>
      </x:c>
      <x:c r="G28" s="18">
        <x:v>20</x:v>
      </x:c>
      <x:c r="H28" s="10">
        <x:v>0</x:v>
      </x:c>
    </x:row>
    <x:row r="29">
      <x:c r="B29" s="12" t="s">
        <x:v>228</x:v>
      </x:c>
      <x:c r="C29" s="18">
        <x:v>9.072</x:v>
      </x:c>
      <x:c r="D29" s="18">
        <x:v>81.688</x:v>
      </x:c>
      <x:c r="E29" s="18">
        <x:v>8.545</x:v>
      </x:c>
      <x:c r="F29" s="18">
        <x:v>8.118</x:v>
      </x:c>
      <x:c r="G29" s="18">
        <x:v>10.871</x:v>
      </x:c>
      <x:c r="H29" s="10">
        <x:v>5</x:v>
      </x:c>
    </x:row>
    <x:row r="30">
      <x:c r="B30" s="12" t="s">
        <x:v>229</x:v>
      </x:c>
      <x:c r="C30" s="5" t="n">
        <x:f>C42-SUM(C26:C29)</x:f>
        <x:v>-6.822000000000003</x:v>
      </x:c>
      <x:c r="D30" s="5" t="n">
        <x:f>D42-SUM(D26:D29)</x:f>
        <x:v>-27.488999999999976</x:v>
      </x:c>
      <x:c r="E30" s="5" t="n">
        <x:f>E42-SUM(E26:E29)</x:f>
        <x:v>-17.746999999999986</x:v>
      </x:c>
      <x:c r="F30" s="5" t="n">
        <x:f>F42-SUM(F26:F29)</x:f>
        <x:v>-0.2629999999999768</x:v>
      </x:c>
      <x:c r="G30" s="5" t="n">
        <x:f>G42-SUM(G26:G29)</x:f>
        <x:v>-4.584000000000003</x:v>
      </x:c>
      <x:c r="H30" s="10">
        <x:v>0</x:v>
      </x:c>
    </x:row>
    <x:row r="31">
      <x:c r="B31" s="16" t="s">
        <x:v>230</x:v>
      </x:c>
      <x:c r="C31" s="11" t="n">
        <x:f>SUM(C26:C30)</x:f>
        <x:v>-208.494</x:v>
      </x:c>
      <x:c r="D31" s="11" t="n">
        <x:f>SUM(D26:D30)</x:f>
        <x:v>-407.821</x:v>
      </x:c>
      <x:c r="E31" s="11" t="n">
        <x:f>SUM(E26:E30)</x:f>
        <x:v>-190.512</x:v>
      </x:c>
      <x:c r="F31" s="11" t="n">
        <x:f>SUM(F26:F30)</x:f>
        <x:v>-196.144</x:v>
      </x:c>
      <x:c r="G31" s="11" t="n">
        <x:f>SUM(G26:G30)</x:f>
        <x:v>-217.088</x:v>
      </x:c>
      <x:c r="H31" s="15" t="n">
        <x:f>SUM(H26:H30)</x:f>
        <x:v>-131</x:v>
      </x:c>
    </x:row>
    <x:row r="32">
      <x:c r="B32" s="12" t="s">
        <x:v>231</x:v>
      </x:c>
      <x:c r="C32" s="18">
        <x:v>1.084</x:v>
      </x:c>
      <x:c r="D32" s="18">
        <x:v>3.05</x:v>
      </x:c>
      <x:c r="E32" s="18">
        <x:v>-2.273</x:v>
      </x:c>
      <x:c r="F32" s="18">
        <x:v>3.572</x:v>
      </x:c>
      <x:c r="G32" s="18">
        <x:v>-2.977</x:v>
      </x:c>
      <x:c r="H32" s="10">
        <x:v>0</x:v>
      </x:c>
    </x:row>
    <x:row r="33">
      <x:c r="B33" s="12" t="s">
        <x:v>232</x:v>
      </x:c>
      <x:c r="C33" s="5" t="n">
        <x:f>C38-C37</x:f>
        <x:v>0</x:v>
      </x:c>
      <x:c r="D33" s="5" t="n">
        <x:f>D38-D37</x:f>
        <x:v>14.044</x:v>
      </x:c>
      <x:c r="E33" s="5" t="n">
        <x:f>E38-E37</x:f>
        <x:v>-4.970000000000001</x:v>
      </x:c>
      <x:c r="F33" s="5" t="n">
        <x:f>F38-F37</x:f>
        <x:v>0</x:v>
      </x:c>
      <x:c r="G33" s="5" t="n">
        <x:f>G38-G37</x:f>
        <x:v>-2.7779999999999996</x:v>
      </x:c>
      <x:c r="H33" s="21" t="n">
        <x:f>H38-H37</x:f>
        <x:v>0</x:v>
      </x:c>
    </x:row>
    <x:row r="34">
      <x:c r="B34" s="16" t="s">
        <x:v>233</x:v>
      </x:c>
      <x:c r="C34" s="11" t="n">
        <x:f>SUM(C21,C25,C31:C32)-C33</x:f>
        <x:v>-18.710000000000008</x:v>
      </x:c>
      <x:c r="D34" s="11" t="n">
        <x:f>SUM(D21,D25,D31:D32)-D33</x:f>
        <x:v>-85.32800000000005</x:v>
      </x:c>
      <x:c r="E34" s="11" t="n">
        <x:f>SUM(E21,E25,E31:E32)-E33</x:f>
        <x:v>-62.20299999999999</x:v>
      </x:c>
      <x:c r="F34" s="11" t="n">
        <x:f>SUM(F21,F25,F31:F32)-F33</x:f>
        <x:v>-7.110000000000014</x:v>
      </x:c>
      <x:c r="G34" s="11" t="n">
        <x:f>SUM(G21,G25,G31:G32)-G33</x:f>
        <x:v>19.77599999999999</x:v>
      </x:c>
      <x:c r="H34" s="15" t="n">
        <x:f>SUM(H21,H25,H31:H32)-H33</x:f>
        <x:v>16.37300000000002</x:v>
      </x:c>
    </x:row>
    <x:row r="35">
      <x:c r="B35" s="12" t="s">
        <x:v>234</x:v>
      </x:c>
      <x:c r="C35" s="4" t="n">
        <x:f>'Balance Sheet'!C8-Inputs!C83</x:f>
        <x:v>-18.70999999999998</x:v>
      </x:c>
      <x:c r="D35" s="4" t="n">
        <x:f>'Balance Sheet'!D8-Inputs!C84</x:f>
        <x:v>-85.32799999999997</x:v>
      </x:c>
      <x:c r="E35" s="4" t="n">
        <x:f>'Balance Sheet'!E8-'Balance Sheet'!D8</x:f>
        <x:v>-62.20300000000003</x:v>
      </x:c>
      <x:c r="F35" s="4" t="n">
        <x:f>'Balance Sheet'!F8-'Balance Sheet'!E8</x:f>
        <x:v>-7.109999999999957</x:v>
      </x:c>
      <x:c r="G35" s="4" t="n">
        <x:f>'Balance Sheet'!G8-'Balance Sheet'!F8</x:f>
        <x:v>19.775999999999954</x:v>
      </x:c>
      <x:c r="H35" s="6" t="n">
        <x:f>'Balance Sheet'!H8-'Balance Sheet'!G8</x:f>
        <x:v>16.37299999999999</x:v>
      </x:c>
    </x:row>
    <x:row r="36">
      <x:c r="B36" s="16" t="s">
        <x:v>235</x:v>
      </x:c>
      <x:c r="C36" s="11" t="n">
        <x:f>C34-C35</x:f>
        <x:v>-2.842170943040401e-14</x:v>
      </x:c>
      <x:c r="D36" s="11" t="n">
        <x:f>D34-D35</x:f>
        <x:v>-7.105427357601002e-14</x:v>
      </x:c>
      <x:c r="E36" s="11" t="n">
        <x:f>E34-E35</x:f>
        <x:v>4.263256414560601e-14</x:v>
      </x:c>
      <x:c r="F36" s="11" t="n">
        <x:f>F34-F35</x:f>
        <x:v>-5.684341886080802e-14</x:v>
      </x:c>
      <x:c r="G36" s="11" t="n">
        <x:f>G34-G35</x:f>
        <x:v>3.552713678800501e-14</x:v>
      </x:c>
      <x:c r="H36" s="15" t="n">
        <x:f>H34-H35</x:f>
        <x:v>2.842170943040401e-14</x:v>
      </x:c>
    </x:row>
    <x:row r="37">
      <x:c r="B37" s="12" t="s">
        <x:v>236</x:v>
      </x:c>
      <x:c r="C37" s="18">
        <x:v>14.044</x:v>
      </x:c>
      <x:c r="D37" s="18">
        <x:v>0</x:v>
      </x:c>
      <x:c r="E37" s="5" t="n">
        <x:f>D38</x:f>
        <x:v>14.044</x:v>
      </x:c>
      <x:c r="F37" s="5" t="n">
        <x:f>E38</x:f>
        <x:v>9.074</x:v>
      </x:c>
      <x:c r="G37" s="5" t="n">
        <x:f>F38</x:f>
        <x:v>9.074</x:v>
      </x:c>
      <x:c r="H37" s="21" t="n">
        <x:f>G38</x:f>
        <x:v>6.296</x:v>
      </x:c>
    </x:row>
    <x:row r="38">
      <x:c r="B38" s="12" t="s">
        <x:v>237</x:v>
      </x:c>
      <x:c r="C38" s="18">
        <x:v>14.044</x:v>
      </x:c>
      <x:c r="D38" s="18">
        <x:v>14.044</x:v>
      </x:c>
      <x:c r="E38" s="18">
        <x:v>9.074</x:v>
      </x:c>
      <x:c r="F38" s="18">
        <x:v>9.074</x:v>
      </x:c>
      <x:c r="G38" s="18">
        <x:v>6.296</x:v>
      </x:c>
      <x:c r="H38" s="21" t="n">
        <x:f>H37</x:f>
        <x:v>6.296</x:v>
      </x:c>
    </x:row>
    <x:row r="39">
      <x:c r="B39" s="12" t="s">
        <x:v>238</x:v>
      </x:c>
      <x:c r="C39" s="18">
        <x:v>212.1</x:v>
      </x:c>
      <x:c r="D39" s="18">
        <x:v>726.26</x:v>
      </x:c>
      <x:c r="E39" s="18">
        <x:v>121.284</x:v>
      </x:c>
      <x:c r="F39" s="18">
        <x:v>211.688</x:v>
      </x:c>
      <x:c r="G39" s="18">
        <x:v>284.52</x:v>
      </x:c>
      <x:c r="H39" s="21" t="n">
        <x:f>H21</x:f>
        <x:v>177.37300000000002</x:v>
      </x:c>
    </x:row>
    <x:row r="40">
      <x:c r="B40" s="16" t="s">
        <x:v>239</x:v>
      </x:c>
      <x:c r="C40" s="11" t="n">
        <x:f>C21-C39</x:f>
        <x:v>0</x:v>
      </x:c>
      <x:c r="D40" s="11" t="n">
        <x:f>D21-D39</x:f>
        <x:v>0</x:v>
      </x:c>
      <x:c r="E40" s="11" t="n">
        <x:f>E21-E39</x:f>
        <x:v>0</x:v>
      </x:c>
      <x:c r="F40" s="11" t="n">
        <x:f>F21-F39</x:f>
        <x:v>0</x:v>
      </x:c>
      <x:c r="G40" s="11" t="n">
        <x:f>G21-G39</x:f>
        <x:v>0</x:v>
      </x:c>
      <x:c r="H40" s="15" t="n">
        <x:f>H21-H39</x:f>
        <x:v>0</x:v>
      </x:c>
    </x:row>
    <x:row r="41">
      <x:c r="B41" s="12" t="s">
        <x:v>240</x:v>
      </x:c>
      <x:c r="C41" s="18">
        <x:v>-23.4</x:v>
      </x:c>
      <x:c r="D41" s="18">
        <x:v>-392.773</x:v>
      </x:c>
      <x:c r="E41" s="18">
        <x:v>4.328</x:v>
      </x:c>
      <x:c r="F41" s="18">
        <x:v>-26.226</x:v>
      </x:c>
      <x:c r="G41" s="18">
        <x:v>-47.457</x:v>
      </x:c>
      <x:c r="H41" s="21"/>
    </x:row>
    <x:row r="42">
      <x:c r="B42" s="12" t="s">
        <x:v>241</x:v>
      </x:c>
      <x:c r="C42" s="18">
        <x:v>-208.494</x:v>
      </x:c>
      <x:c r="D42" s="18">
        <x:v>-407.821</x:v>
      </x:c>
      <x:c r="E42" s="18">
        <x:v>-190.512</x:v>
      </x:c>
      <x:c r="F42" s="18">
        <x:v>-196.144</x:v>
      </x:c>
      <x:c r="G42" s="18">
        <x:v>-217.088</x:v>
      </x:c>
      <x:c r="H42" s="2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242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243</x:v>
      </x:c>
      <x:c r="C8" s="4" t="n">
        <x:f>'Segment - Americas'!C44</x:f>
        <x:v>388.704</x:v>
      </x:c>
      <x:c r="D8" s="4" t="n">
        <x:f>'Segment - Americas'!D44</x:f>
        <x:v>1506.108</x:v>
      </x:c>
      <x:c r="E8" s="4" t="n">
        <x:f>'Segment - Americas'!E44</x:f>
        <x:v>396.176</x:v>
      </x:c>
      <x:c r="F8" s="4" t="n">
        <x:f>'Segment - Americas'!F44</x:f>
        <x:v>399.683</x:v>
      </x:c>
      <x:c r="G8" s="4" t="n">
        <x:f>'Segment - Americas'!G44</x:f>
        <x:v>407.24</x:v>
      </x:c>
      <x:c r="H8" s="6" t="n">
        <x:f>'Segment - Americas'!H44</x:f>
        <x:v>413</x:v>
      </x:c>
    </x:row>
    <x:row r="9">
      <x:c r="B9" s="12" t="s">
        <x:v>244</x:v>
      </x:c>
      <x:c r="C9" s="4" t="n">
        <x:f>'Segment - EMEA'!C44</x:f>
        <x:v>147.431</x:v>
      </x:c>
      <x:c r="D9" s="4" t="n">
        <x:f>'Segment - EMEA'!D44</x:f>
        <x:v>580.284</x:v>
      </x:c>
      <x:c r="E9" s="4" t="n">
        <x:f>'Segment - EMEA'!E44</x:f>
        <x:v>149.517</x:v>
      </x:c>
      <x:c r="F9" s="4" t="n">
        <x:f>'Segment - EMEA'!F44</x:f>
        <x:v>149.12</x:v>
      </x:c>
      <x:c r="G9" s="4" t="n">
        <x:f>'Segment - EMEA'!G44</x:f>
        <x:v>151.94</x:v>
      </x:c>
      <x:c r="H9" s="6" t="n">
        <x:f>'Segment - EMEA'!H44</x:f>
        <x:v>152.5</x:v>
      </x:c>
    </x:row>
    <x:row r="10">
      <x:c r="B10" s="12" t="s">
        <x:v>245</x:v>
      </x:c>
      <x:c r="C10" s="4" t="n">
        <x:f>'Segment - Asia Pacific'!C44</x:f>
        <x:v>60.766</x:v>
      </x:c>
      <x:c r="D10" s="4" t="n">
        <x:f>'Segment - Asia Pacific'!D44</x:f>
        <x:v>235.356</x:v>
      </x:c>
      <x:c r="E10" s="4" t="n">
        <x:f>'Segment - Asia Pacific'!E44</x:f>
        <x:v>61.928</x:v>
      </x:c>
      <x:c r="F10" s="4" t="n">
        <x:f>'Segment - Asia Pacific'!F44</x:f>
        <x:v>62.216</x:v>
      </x:c>
      <x:c r="G10" s="4" t="n">
        <x:f>'Segment - Asia Pacific'!G44</x:f>
        <x:v>63.738</x:v>
      </x:c>
      <x:c r="H10" s="6" t="n">
        <x:f>'Segment - Asia Pacific'!H44</x:f>
        <x:v>63.5</x:v>
      </x:c>
    </x:row>
    <x:row r="11">
      <x:c r="B11" s="16" t="s">
        <x:v>246</x:v>
      </x:c>
      <x:c r="C11" s="11" t="n">
        <x:f>SUM(C8:C10)</x:f>
        <x:v>596.901</x:v>
      </x:c>
      <x:c r="D11" s="11" t="n">
        <x:f>SUM(D8:D10)</x:f>
        <x:v>2321.7479999999996</x:v>
      </x:c>
      <x:c r="E11" s="11" t="n">
        <x:f>SUM(E8:E10)</x:f>
        <x:v>607.621</x:v>
      </x:c>
      <x:c r="F11" s="11" t="n">
        <x:f>SUM(F8:F10)</x:f>
        <x:v>611.019</x:v>
      </x:c>
      <x:c r="G11" s="11" t="n">
        <x:f>SUM(G8:G10)</x:f>
        <x:v>622.9180000000001</x:v>
      </x:c>
      <x:c r="H11" s="15" t="n">
        <x:f>SUM(H8:H10)</x:f>
        <x:v>629</x:v>
      </x:c>
    </x:row>
    <x:row r="12">
      <x:c r="B12" s="16" t="s">
        <x:v>247</x:v>
      </x:c>
      <x:c r="C12" s="9" t="n">
        <x:f>C11-'Revenue summary'!C32</x:f>
        <x:v>0</x:v>
      </x:c>
      <x:c r="D12" s="9" t="n">
        <x:f>D11-'Revenue summary'!D32</x:f>
        <x:v>0</x:v>
      </x:c>
      <x:c r="E12" s="9" t="n">
        <x:f>E11-'Revenue summary'!E32</x:f>
        <x:v>0</x:v>
      </x:c>
      <x:c r="F12" s="9" t="n">
        <x:f>F11-'Revenue summary'!F32</x:f>
        <x:v>0</x:v>
      </x:c>
      <x:c r="G12" s="9" t="n">
        <x:f>G11-'Revenue summary'!G32</x:f>
        <x:v>0</x:v>
      </x:c>
      <x:c r="H12" s="24" t="n">
        <x:f>H11-'Revenue summary'!H32</x:f>
        <x:v>0</x:v>
      </x:c>
    </x:row>
    <x:row r="13">
      <x:c r="B13" s="12" t="s">
        <x:v>248</x:v>
      </x:c>
      <x:c r="C13" s="7" t="n">
        <x:f>C8/C11</x:f>
        <x:v>0.6512034659013807</x:v>
      </x:c>
      <x:c r="D13" s="7" t="n">
        <x:f>D8/D11</x:f>
        <x:v>0.6486957240837508</x:v>
      </x:c>
      <x:c r="E13" s="7" t="n">
        <x:f>E8/E11</x:f>
        <x:v>0.6520116980815344</x:v>
      </x:c>
      <x:c r="F13" s="7" t="n">
        <x:f>F8/F11</x:f>
        <x:v>0.6541253217985038</x:v>
      </x:c>
      <x:c r="G13" s="7" t="n">
        <x:f>G8/G11</x:f>
        <x:v>0.6537618113459556</x:v>
      </x:c>
      <x:c r="H13" s="17" t="n">
        <x:f>H8/H11</x:f>
        <x:v>0.6565977742448331</x:v>
      </x:c>
    </x:row>
    <x:row r="14">
      <x:c r="B14" s="12" t="s">
        <x:v>249</x:v>
      </x:c>
      <x:c r="C14" s="7" t="n">
        <x:f>C9/C11</x:f>
        <x:v>0.2469940576410494</x:v>
      </x:c>
      <x:c r="D14" s="7" t="n">
        <x:f>D9/D11</x:f>
        <x:v>0.2499341013753431</x:v>
      </x:c>
      <x:c r="E14" s="7" t="n">
        <x:f>E9/E11</x:f>
        <x:v>0.24606950714343315</x:v>
      </x:c>
      <x:c r="F14" s="7" t="n">
        <x:f>F9/F11</x:f>
        <x:v>0.2440513306460192</x:v>
      </x:c>
      <x:c r="G14" s="7" t="n">
        <x:f>G9/G11</x:f>
        <x:v>0.24391653476059444</x:v>
      </x:c>
      <x:c r="H14" s="17" t="n">
        <x:f>H9/H11</x:f>
        <x:v>0.2424483306836248</x:v>
      </x:c>
    </x:row>
    <x:row r="15">
      <x:c r="B15" s="12" t="s">
        <x:v>250</x:v>
      </x:c>
      <x:c r="C15" s="7" t="n">
        <x:f>C10/C11</x:f>
        <x:v>0.10180247645757003</x:v>
      </x:c>
      <x:c r="D15" s="7" t="n">
        <x:f>D10/D11</x:f>
        <x:v>0.10137017454090626</x:v>
      </x:c>
      <x:c r="E15" s="7" t="n">
        <x:f>E10/E11</x:f>
        <x:v>0.10191879477503246</x:v>
      </x:c>
      <x:c r="F15" s="7" t="n">
        <x:f>F10/F11</x:f>
        <x:v>0.10182334755547699</x:v>
      </x:c>
      <x:c r="G15" s="7" t="n">
        <x:f>G10/G11</x:f>
        <x:v>0.10232165389344984</x:v>
      </x:c>
      <x:c r="H15" s="17" t="n">
        <x:f>H10/H11</x:f>
        <x:v>0.10095389507154214</x:v>
      </x:c>
    </x:row>
    <x:row r="16">
      <x:c r="B16" s="12" t="s">
        <x:v>251</x:v>
      </x:c>
      <x:c r="C16" s="4" t="n">
        <x:f>'Segment - Americas'!C54</x:f>
        <x:v>69.473</x:v>
      </x:c>
      <x:c r="D16" s="4" t="n">
        <x:f>'Segment - Americas'!D54</x:f>
        <x:v>305.963</x:v>
      </x:c>
      <x:c r="E16" s="4" t="n">
        <x:f>'Segment - Americas'!E54</x:f>
        <x:v>78.533</x:v>
      </x:c>
      <x:c r="F16" s="4" t="n">
        <x:f>'Segment - Americas'!F54</x:f>
        <x:v>74.201</x:v>
      </x:c>
      <x:c r="G16" s="4" t="n">
        <x:f>'Segment - Americas'!G54</x:f>
        <x:v>63.587</x:v>
      </x:c>
      <x:c r="H16" s="6" t="n">
        <x:f>'Segment - Americas'!H54</x:f>
        <x:v>79.21894169511864</x:v>
      </x:c>
    </x:row>
    <x:row r="17">
      <x:c r="B17" s="12" t="s">
        <x:v>252</x:v>
      </x:c>
      <x:c r="C17" s="4" t="n">
        <x:f>'Segment - EMEA'!C54</x:f>
        <x:v>65.369</x:v>
      </x:c>
      <x:c r="D17" s="4" t="n">
        <x:f>'Segment - EMEA'!D54</x:f>
        <x:v>274.002</x:v>
      </x:c>
      <x:c r="E17" s="4" t="n">
        <x:f>'Segment - EMEA'!E54</x:f>
        <x:v>68.154</x:v>
      </x:c>
      <x:c r="F17" s="4" t="n">
        <x:f>'Segment - EMEA'!F54</x:f>
        <x:v>66.242</x:v>
      </x:c>
      <x:c r="G17" s="4" t="n">
        <x:f>'Segment - EMEA'!G54</x:f>
        <x:v>58.182</x:v>
      </x:c>
      <x:c r="H17" s="6" t="n">
        <x:f>'Segment - EMEA'!H54</x:f>
        <x:v>61.435337492909824</x:v>
      </x:c>
    </x:row>
    <x:row r="18">
      <x:c r="B18" s="12" t="s">
        <x:v>253</x:v>
      </x:c>
      <x:c r="C18" s="4" t="n">
        <x:f>'Segment - Asia Pacific'!C54</x:f>
        <x:v>42.479</x:v>
      </x:c>
      <x:c r="D18" s="4" t="n">
        <x:f>'Segment - Asia Pacific'!D54</x:f>
        <x:v>168.338</x:v>
      </x:c>
      <x:c r="E18" s="4" t="n">
        <x:f>'Segment - Asia Pacific'!E54</x:f>
        <x:v>45.384</x:v>
      </x:c>
      <x:c r="F18" s="4" t="n">
        <x:f>'Segment - Asia Pacific'!F54</x:f>
        <x:v>44.518</x:v>
      </x:c>
      <x:c r="G18" s="4" t="n">
        <x:f>'Segment - Asia Pacific'!G54</x:f>
        <x:v>44.532</x:v>
      </x:c>
      <x:c r="H18" s="6" t="n">
        <x:f>'Segment - Asia Pacific'!H54</x:f>
        <x:v>44.84572081197152</x:v>
      </x:c>
    </x:row>
    <x:row r="19">
      <x:c r="B19" s="16" t="s">
        <x:v>254</x:v>
      </x:c>
      <x:c r="C19" s="11" t="n">
        <x:f>SUM(C16:C18)</x:f>
        <x:v>177.32099999999997</x:v>
      </x:c>
      <x:c r="D19" s="11" t="n">
        <x:f>SUM(D16:D18)</x:f>
        <x:v>748.303</x:v>
      </x:c>
      <x:c r="E19" s="11" t="n">
        <x:f>SUM(E16:E18)</x:f>
        <x:v>192.07100000000003</x:v>
      </x:c>
      <x:c r="F19" s="11" t="n">
        <x:f>SUM(F16:F18)</x:f>
        <x:v>184.96099999999998</x:v>
      </x:c>
      <x:c r="G19" s="11" t="n">
        <x:f>SUM(G16:G18)</x:f>
        <x:v>166.301</x:v>
      </x:c>
      <x:c r="H19" s="15" t="n">
        <x:f>SUM(H16:H18)</x:f>
        <x:v>185.49999999999997</x:v>
      </x:c>
    </x:row>
    <x:row r="20">
      <x:c r="B20" s="16" t="s">
        <x:v>255</x:v>
      </x:c>
      <x:c r="C20" s="9" t="n">
        <x:f>C19-'Income Statement'!C15</x:f>
        <x:v>2.842170943040401e-14</x:v>
      </x:c>
      <x:c r="D20" s="9" t="n">
        <x:f>D19-'Income Statement'!D15</x:f>
        <x:v>3.410605131648481e-13</x:v>
      </x:c>
      <x:c r="E20" s="9" t="n">
        <x:f>E19-'Income Statement'!E15</x:f>
        <x:v>5.684341886080802e-14</x:v>
      </x:c>
      <x:c r="F20" s="9" t="n">
        <x:f>F19-'Income Statement'!F15</x:f>
        <x:v>0</x:v>
      </x:c>
      <x:c r="G20" s="9" t="n">
        <x:f>G19-'Income Statement'!G15</x:f>
        <x:v>-1.4210854715202004e-13</x:v>
      </x:c>
      <x:c r="H20" s="24" t="n">
        <x:f>H19-'Income Statement'!H15</x:f>
        <x:v>-2.842170943040401e-14</x:v>
      </x:c>
    </x:row>
    <x:row r="21">
      <x:c r="B21" s="12" t="s">
        <x:v>256</x:v>
      </x:c>
      <x:c r="C21" s="4" t="n">
        <x:f>'Segment - Americas'!C20</x:f>
        <x:v>1570.1</x:v>
      </x:c>
      <x:c r="D21" s="4" t="n">
        <x:f>'Segment - Americas'!D20</x:f>
        <x:v>1570.1</x:v>
      </x:c>
      <x:c r="E21" s="4" t="n">
        <x:f>'Segment - Americas'!E20</x:f>
        <x:v>1575.8</x:v>
      </x:c>
      <x:c r="F21" s="4" t="n">
        <x:f>'Segment - Americas'!F20</x:f>
        <x:v>1605.9</x:v>
      </x:c>
      <x:c r="G21" s="4" t="n">
        <x:f>'Segment - Americas'!G20</x:f>
        <x:v>1621</x:v>
      </x:c>
      <x:c r="H21" s="6" t="n">
        <x:f>'Segment - Americas'!H20</x:f>
        <x:v>1653</x:v>
      </x:c>
    </x:row>
    <x:row r="22">
      <x:c r="B22" s="12" t="s">
        <x:v>257</x:v>
      </x:c>
      <x:c r="C22" s="4" t="n">
        <x:f>'Segment - EMEA'!C20</x:f>
        <x:v>591.6</x:v>
      </x:c>
      <x:c r="D22" s="4" t="n">
        <x:f>'Segment - EMEA'!D20</x:f>
        <x:v>591.6</x:v>
      </x:c>
      <x:c r="E22" s="4" t="n">
        <x:f>'Segment - EMEA'!E20</x:f>
        <x:v>591</x:v>
      </x:c>
      <x:c r="F22" s="4" t="n">
        <x:f>'Segment - EMEA'!F20</x:f>
        <x:v>595.2</x:v>
      </x:c>
      <x:c r="G22" s="4" t="n">
        <x:f>'Segment - EMEA'!G20</x:f>
        <x:v>608.1</x:v>
      </x:c>
      <x:c r="H22" s="6" t="n">
        <x:f>'Segment - EMEA'!H20</x:f>
        <x:v>615.1</x:v>
      </x:c>
    </x:row>
    <x:row r="23">
      <x:c r="B23" s="12" t="s">
        <x:v>258</x:v>
      </x:c>
      <x:c r="C23" s="4" t="n">
        <x:f>'Segment - Asia Pacific'!C20</x:f>
        <x:v>243.9</x:v>
      </x:c>
      <x:c r="D23" s="4" t="n">
        <x:f>'Segment - Asia Pacific'!D20</x:f>
        <x:v>243.9</x:v>
      </x:c>
      <x:c r="E23" s="4" t="n">
        <x:f>'Segment - Asia Pacific'!E20</x:f>
        <x:v>244.3</x:v>
      </x:c>
      <x:c r="F23" s="4" t="n">
        <x:f>'Segment - Asia Pacific'!F20</x:f>
        <x:v>249.1</x:v>
      </x:c>
      <x:c r="G23" s="4" t="n">
        <x:f>'Segment - Asia Pacific'!G20</x:f>
        <x:v>255.2</x:v>
      </x:c>
      <x:c r="H23" s="6" t="n">
        <x:f>'Segment - Asia Pacific'!H20</x:f>
        <x:v>260.2</x:v>
      </x:c>
    </x:row>
    <x:row r="24">
      <x:c r="B24" s="16" t="s">
        <x:v>259</x:v>
      </x:c>
      <x:c r="C24" s="11" t="n">
        <x:f>SUM(C21:C23)</x:f>
        <x:v>2405.6</x:v>
      </x:c>
      <x:c r="D24" s="11" t="n">
        <x:f>SUM(D21:D23)</x:f>
        <x:v>2405.6</x:v>
      </x:c>
      <x:c r="E24" s="11" t="n">
        <x:f>SUM(E21:E23)</x:f>
        <x:v>2411.1000000000004</x:v>
      </x:c>
      <x:c r="F24" s="11" t="n">
        <x:f>SUM(F21:F23)</x:f>
        <x:v>2450.2000000000003</x:v>
      </x:c>
      <x:c r="G24" s="11" t="n">
        <x:f>SUM(G21:G23)</x:f>
        <x:v>2484.2999999999997</x:v>
      </x:c>
      <x:c r="H24" s="15" t="n">
        <x:f>SUM(H21:H23)</x:f>
        <x:v>2528.2999999999997</x:v>
      </x:c>
    </x:row>
    <x:row r="25">
      <x:c r="B25" s="12" t="s">
        <x:v>260</x:v>
      </x:c>
      <x:c r="C25" s="7" t="n">
        <x:f>C23/C24</x:f>
        <x:v>0.10138842700365813</x:v>
      </x:c>
      <x:c r="D25" s="7" t="n">
        <x:f>D23/D24</x:f>
        <x:v>0.10138842700365813</x:v>
      </x:c>
      <x:c r="E25" s="7" t="n">
        <x:f>E23/E24</x:f>
        <x:v>0.10132304757164778</x:v>
      </x:c>
      <x:c r="F25" s="7" t="n">
        <x:f>F23/F24</x:f>
        <x:v>0.10166517019018854</x:v>
      </x:c>
      <x:c r="G25" s="7" t="n">
        <x:f>G23/G24</x:f>
        <x:v>0.10272511371412471</x:v>
      </x:c>
      <x:c r="H25" s="17" t="n">
        <x:f>H23/H24</x:f>
        <x:v>0.10291500217537476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261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 t="s">
        <x:v>262</x:v>
      </x:c>
      <x:c r="C8" s="5"/>
      <x:c r="D8" s="5"/>
      <x:c r="E8" s="5" t="n">
        <x:f>D12</x:f>
        <x:v>37.64587</x:v>
      </x:c>
      <x:c r="F8" s="5" t="n">
        <x:f>E12</x:f>
        <x:v>37.243824</x:v>
      </x:c>
      <x:c r="G8" s="5" t="n">
        <x:f>F12</x:f>
        <x:v>36.640727</x:v>
      </x:c>
      <x:c r="H8" s="21" t="n">
        <x:f>G12</x:f>
        <x:v>35.777453</x:v>
      </x:c>
    </x:row>
    <x:row r="9">
      <x:c r="B9" s="12" t="s">
        <x:v>263</x:v>
      </x:c>
      <x:c r="C9" s="18">
        <x:v>-0.259721</x:v>
      </x:c>
      <x:c r="D9" s="5"/>
      <x:c r="E9" s="18">
        <x:v>-0.4781</x:v>
      </x:c>
      <x:c r="F9" s="18">
        <x:v>-0.65175</x:v>
      </x:c>
      <x:c r="G9" s="18">
        <x:v>-0.92637</x:v>
      </x:c>
      <x:c r="H9" s="10">
        <x:v>-0.35</x:v>
      </x:c>
    </x:row>
    <x:row r="10">
      <x:c r="B10" s="12" t="s">
        <x:v>264</x:v>
      </x:c>
      <x:c r="C10" s="5"/>
      <x:c r="D10" s="5"/>
      <x:c r="E10" s="18">
        <x:v>0.040991</x:v>
      </x:c>
      <x:c r="F10" s="18">
        <x:v>0.04417</x:v>
      </x:c>
      <x:c r="G10" s="18">
        <x:v>0.059648</x:v>
      </x:c>
      <x:c r="H10" s="10">
        <x:v>0.08</x:v>
      </x:c>
    </x:row>
    <x:row r="11">
      <x:c r="B11" s="12" t="s">
        <x:v>265</x:v>
      </x:c>
      <x:c r="C11" s="5"/>
      <x:c r="D11" s="5"/>
      <x:c r="E11" s="5"/>
      <x:c r="F11" s="5"/>
      <x:c r="G11" s="5"/>
      <x:c r="H11" s="10">
        <x:v>0</x:v>
      </x:c>
    </x:row>
    <x:row r="12">
      <x:c r="B12" s="16" t="s">
        <x:v>266</x:v>
      </x:c>
      <x:c r="C12" s="3">
        <x:v>37.64587</x:v>
      </x:c>
      <x:c r="D12" s="11" t="n">
        <x:f>C12</x:f>
        <x:v>37.64587</x:v>
      </x:c>
      <x:c r="E12" s="3">
        <x:v>37.243824</x:v>
      </x:c>
      <x:c r="F12" s="3">
        <x:v>36.640727</x:v>
      </x:c>
      <x:c r="G12" s="3">
        <x:v>35.777453</x:v>
      </x:c>
      <x:c r="H12" s="15" t="n">
        <x:f>SUM(H8:H11)</x:f>
        <x:v>35.507453</x:v>
      </x:c>
    </x:row>
    <x:row r="13">
      <x:c r="B13" s="12" t="s">
        <x:v>267</x:v>
      </x:c>
      <x:c r="C13" s="18">
        <x:v>106.6</x:v>
      </x:c>
      <x:c r="D13" s="4" t="n">
        <x:f>-'Cash Flow Statement'!D26</x:f>
        <x:v>300.457</x:v>
      </x:c>
      <x:c r="E13" s="18">
        <x:v>139.899</x:v>
      </x:c>
      <x:c r="F13" s="18">
        <x:v>163.031</x:v>
      </x:c>
      <x:c r="G13" s="18">
        <x:v>203.07</x:v>
      </x:c>
      <x:c r="H13" s="21" t="n">
        <x:f>-H9*H14</x:f>
        <x:v>94.5</x:v>
      </x:c>
    </x:row>
    <x:row r="14">
      <x:c r="B14" s="12" t="s">
        <x:v>268</x:v>
      </x:c>
      <x:c r="C14" s="5" t="n">
        <x:f>C13/-C9</x:f>
        <x:v>410.44043415819283</x:v>
      </x:c>
      <x:c r="D14" s="5"/>
      <x:c r="E14" s="5" t="n">
        <x:f>E13/-E9</x:f>
        <x:v>292.6145157916754</x:v>
      </x:c>
      <x:c r="F14" s="5" t="n">
        <x:f>F13/-F9</x:f>
        <x:v>250.1434599156118</x:v>
      </x:c>
      <x:c r="G14" s="5" t="n">
        <x:f>G13/-G9</x:f>
        <x:v>219.21046666018975</x:v>
      </x:c>
      <x:c r="H14" s="10">
        <x:v>270</x:v>
      </x:c>
    </x:row>
    <x:row r="15">
      <x:c r="B15" s="12" t="s">
        <x:v>269</x:v>
      </x:c>
      <x:c r="C15" s="4" t="n">
        <x:f>'Income Statement'!C27</x:f>
        <x:v>37.757</x:v>
      </x:c>
      <x:c r="D15" s="4" t="n">
        <x:f>'Income Statement'!D27</x:f>
        <x:v>37.924</x:v>
      </x:c>
      <x:c r="E15" s="4" t="n">
        <x:f>'Income Statement'!E27</x:f>
        <x:v>37.409</x:v>
      </x:c>
      <x:c r="F15" s="4" t="n">
        <x:f>'Income Statement'!F27</x:f>
        <x:v>36.927</x:v>
      </x:c>
      <x:c r="G15" s="4" t="n">
        <x:f>'Income Statement'!G27</x:f>
        <x:v>36.122</x:v>
      </x:c>
      <x:c r="H15" s="21"/>
    </x:row>
    <x:row r="16">
      <x:c r="B16" s="12" t="s">
        <x:v>270</x:v>
      </x:c>
      <x:c r="C16" s="5" t="n">
        <x:f>C17-C15</x:f>
        <x:v>0.40100000000000335</x:v>
      </x:c>
      <x:c r="D16" s="5" t="n">
        <x:f>D17-D15</x:f>
        <x:v>0.4609999999999985</x:v>
      </x:c>
      <x:c r="E16" s="5" t="n">
        <x:f>E17-E15</x:f>
        <x:v>0.20600000000000307</x:v>
      </x:c>
      <x:c r="F16" s="5" t="n">
        <x:f>F17-F15</x:f>
        <x:v>0.13600000000000279</x:v>
      </x:c>
      <x:c r="G16" s="5" t="n">
        <x:f>G17-G15</x:f>
        <x:v>0.06900000000000261</x:v>
      </x:c>
      <x:c r="H16" s="21"/>
    </x:row>
    <x:row r="17">
      <x:c r="B17" s="16" t="s">
        <x:v>271</x:v>
      </x:c>
      <x:c r="C17" s="4" t="n">
        <x:f>'Income Statement'!C28</x:f>
        <x:v>38.158</x:v>
      </x:c>
      <x:c r="D17" s="4" t="n">
        <x:f>'Income Statement'!D28</x:f>
        <x:v>38.385</x:v>
      </x:c>
      <x:c r="E17" s="4" t="n">
        <x:f>'Income Statement'!E28</x:f>
        <x:v>37.615</x:v>
      </x:c>
      <x:c r="F17" s="4" t="n">
        <x:f>'Income Statement'!F28</x:f>
        <x:v>37.063</x:v>
      </x:c>
      <x:c r="G17" s="4" t="n">
        <x:f>'Income Statement'!G28</x:f>
        <x:v>36.191</x:v>
      </x:c>
      <x:c r="H17" s="15"/>
    </x:row>
    <x:row r="18">
      <x:c r="B18" s="12" t="s">
        <x:v>272</x:v>
      </x:c>
      <x:c r="C18" s="13" t="n">
        <x:f>C17/Inputs!C112-1</x:f>
        <x:v>-0.00932055975283641</x:v>
      </x:c>
      <x:c r="D18" s="13" t="n">
        <x:f>D17/Inputs!C113-1</x:f>
        <x:v>-0.006033455901393259</x:v>
      </x:c>
      <x:c r="E18" s="13" t="n">
        <x:f>E17/Inputs!C114-1</x:f>
        <x:v>-0.02341823091102635</x:v>
      </x:c>
      <x:c r="F18" s="13" t="n">
        <x:f>F17/Inputs!C115-1</x:f>
        <x:v>-0.037574655933523604</x:v>
      </x:c>
      <x:c r="G18" s="13" t="n">
        <x:f>G17/Inputs!C116-1</x:f>
        <x:v>-0.05614959315668677</x:v>
      </x:c>
      <x:c r="H18" s="17" t="n">
        <x:f>H20/C17-1</x:f>
        <x:v>-0.06441742229676595</x:v>
      </x:c>
    </x:row>
    <x:row r="19">
      <x:c r="B19" s="12" t="s">
        <x:v>273</x:v>
      </x:c>
      <x:c r="C19" s="5"/>
      <x:c r="D19" s="5"/>
      <x:c r="E19" s="5"/>
      <x:c r="F19" s="5"/>
      <x:c r="G19" s="5"/>
      <x:c r="H19" s="21" t="n">
        <x:f>AVERAGE(H8,H12)</x:f>
        <x:v>35.642453</x:v>
      </x:c>
    </x:row>
    <x:row r="20">
      <x:c r="B20" s="16" t="s">
        <x:v>274</x:v>
      </x:c>
      <x:c r="C20" s="11"/>
      <x:c r="D20" s="11"/>
      <x:c r="E20" s="11"/>
      <x:c r="F20" s="11"/>
      <x:c r="G20" s="11"/>
      <x:c r="H20" s="15" t="n">
        <x:f>H19+H21</x:f>
        <x:v>35.699960000000004</x:v>
      </x:c>
    </x:row>
    <x:row r="21">
      <x:c r="B21" s="12" t="s">
        <x:v>275</x:v>
      </x:c>
      <x:c r="C21" s="5"/>
      <x:c r="D21" s="5"/>
      <x:c r="E21" s="5"/>
      <x:c r="F21" s="5"/>
      <x:c r="G21" s="5"/>
      <x:c r="H21" s="10">
        <x:v>0.057507</x:v>
      </x:c>
    </x:row>
    <x:row r="22">
      <x:c r="B22" s="16" t="s">
        <x:v>276</x:v>
      </x:c>
      <x:c r="C22" s="11"/>
      <x:c r="D22" s="11"/>
      <x:c r="E22" s="11"/>
      <x:c r="F22" s="11"/>
      <x:c r="G22" s="11"/>
      <x:c r="H22" s="24" t="n">
        <x:f>H20-'Income Statement'!H28</x:f>
        <x:v>0</x:v>
      </x:c>
    </x:row>
    <x:row r="23">
      <x:c r="B23" s="12" t="s">
        <x:v>277</x:v>
      </x:c>
      <x:c r="C23" s="12"/>
      <x:c r="D23" s="12"/>
      <x:c r="E23" s="5" t="n">
        <x:f>E17-C17</x:f>
        <x:v>-0.5429999999999993</x:v>
      </x:c>
      <x:c r="F23" s="5" t="n">
        <x:f>F17-E17</x:f>
        <x:v>-0.5519999999999996</x:v>
      </x:c>
      <x:c r="G23" s="5" t="n">
        <x:f>G17-F17</x:f>
        <x:v>-0.8719999999999999</x:v>
      </x:c>
      <x:c r="H23" s="5" t="n">
        <x:f>H20-G17</x:f>
        <x:v>-0.49103999999999814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20" customWidth="1"/>
    <x:col min="3" max="3" width="12" customWidth="1"/>
    <x:col min="4" max="4" width="33" customWidth="1"/>
    <x:col min="5" max="8" width="12" customWidth="1"/>
    <x:col min="9" max="9" width="14" customWidth="1"/>
    <x:col min="10" max="10" width="65" hidden="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278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/>
      <x:c r="C8" s="5"/>
      <x:c r="D8" s="5"/>
      <x:c r="E8" s="5"/>
      <x:c r="F8" s="5"/>
      <x:c r="G8" s="5"/>
      <x:c r="H8" s="21"/>
    </x:row>
    <x:row r="9">
      <x:c r="B9" s="12" t="s">
        <x:v>279</x:v>
      </x:c>
      <x:c r="C9" s="5" t="s">
        <x:v>3</x:v>
      </x:c>
      <x:c r="D9" s="5" t="s">
        <x:v>280</x:v>
      </x:c>
      <x:c r="E9" s="53" t="s">
        <x:v>281</x:v>
      </x:c>
      <x:c r="F9" s="53" t="s">
        <x:v>282</x:v>
      </x:c>
      <x:c r="G9" s="53" t="s">
        <x:v>283</x:v>
      </x:c>
      <x:c r="H9" s="60" t="s">
        <x:v>284</x:v>
      </x:c>
      <x:c r="I9" s="12" t="s">
        <x:v>285</x:v>
      </x:c>
      <x:c r="J9" s="61" t="s">
        <x:v>286</x:v>
      </x:c>
    </x:row>
    <x:row r="10">
      <x:c r="B10" s="26">
        <x:v>46204</x:v>
      </x:c>
      <x:c r="C10" s="23" t="s">
        <x:v>287</x:v>
      </x:c>
      <x:c r="D10" s="5" t="s">
        <x:v>288</x:v>
      </x:c>
      <x:c r="E10" s="18">
        <x:v>2450</x:v>
      </x:c>
      <x:c r="F10" s="18">
        <x:v>2470</x:v>
      </x:c>
      <x:c r="G10" s="5" t="n">
        <x:f>AVERAGE(E10:F10)</x:f>
        <x:v>2460</x:v>
      </x:c>
      <x:c r="I10" s="5" t="str">
        <x:f>IF(H10="","Pending",IF(H10&gt;G10,"Beat",IF(H10&lt;G10,"Miss","In line")))</x:f>
        <x:v>Pending</x:v>
      </x:c>
      <x:c r="J10" s="28" t="n">
        <x:f>G10-SUM('Income Statement'!E8:G8)</x:f>
        <x:v>618.442</x:v>
      </x:c>
    </x:row>
    <x:row r="11">
      <x:c r="B11" s="26">
        <x:v>46204</x:v>
      </x:c>
      <x:c r="C11" s="23" t="s">
        <x:v>287</x:v>
      </x:c>
      <x:c r="D11" s="5" t="s">
        <x:v>289</x:v>
      </x:c>
      <x:c r="E11" s="18">
        <x:v>645</x:v>
      </x:c>
      <x:c r="F11" s="18">
        <x:v>670</x:v>
      </x:c>
      <x:c r="G11" s="5" t="n">
        <x:f>AVERAGE(E11:F11)</x:f>
        <x:v>657.5</x:v>
      </x:c>
      <x:c r="I11" s="5" t="str">
        <x:f>IF(H11="","Pending",IF(H11&gt;G11,"Beat",IF(H11&lt;G11,"Miss","In line")))</x:f>
        <x:v>Pending</x:v>
      </x:c>
      <x:c r="J11" s="28" t="n">
        <x:f>G11-SUM('Income Statement'!E47:G47)</x:f>
        <x:v>158.8889999999999</x:v>
      </x:c>
    </x:row>
    <x:row r="12">
      <x:c r="B12" s="26">
        <x:v>46204</x:v>
      </x:c>
      <x:c r="C12" s="23" t="s">
        <x:v>287</x:v>
      </x:c>
      <x:c r="D12" s="5" t="s">
        <x:v>143</x:v>
      </x:c>
      <x:c r="E12" s="18">
        <x:v>555</x:v>
      </x:c>
      <x:c r="F12" s="18">
        <x:v>582</x:v>
      </x:c>
      <x:c r="G12" s="5" t="n">
        <x:f>AVERAGE(E12:F12)</x:f>
        <x:v>568.5</x:v>
      </x:c>
      <x:c r="I12" s="5" t="str">
        <x:f>IF(H12="","Pending",IF(H12&gt;G12,"Beat",IF(H12&lt;G12,"Miss","In line")))</x:f>
        <x:v>Pending</x:v>
      </x:c>
      <x:c r="J12" s="28" t="n">
        <x:f>G12-Inputs!C101</x:f>
        <x:v>156.14600000000002</x:v>
      </x:c>
    </x:row>
    <x:row r="13">
      <x:c r="B13" s="26">
        <x:v>46204</x:v>
      </x:c>
      <x:c r="C13" s="23" t="s">
        <x:v>287</x:v>
      </x:c>
      <x:c r="D13" s="5" t="s">
        <x:v>290</x:v>
      </x:c>
      <x:c r="E13" s="30">
        <x:v>17.25</x:v>
      </x:c>
      <x:c r="F13" s="30">
        <x:v>17.75</x:v>
      </x:c>
      <x:c r="G13" s="25" t="n">
        <x:f>AVERAGE(E13:F13)</x:f>
        <x:v>17.5</x:v>
      </x:c>
      <x:c r="I13" s="25" t="str">
        <x:f>IF(H13="","Pending",IF(H13&gt;G13,"Beat",IF(H13&lt;G13,"Miss","In line")))</x:f>
        <x:v>Pending</x:v>
      </x:c>
      <x:c r="J13" s="19" t="n">
        <x:f>G13-SUM(Inputs!D13:D15)</x:f>
        <x:v>4</x:v>
      </x:c>
    </x:row>
    <x:row r="14">
      <x:c r="B14" s="26">
        <x:v>46204</x:v>
      </x:c>
      <x:c r="C14" s="23" t="s">
        <x:v>287</x:v>
      </x:c>
      <x:c r="D14" s="5" t="s">
        <x:v>25</x:v>
      </x:c>
      <x:c r="E14" s="30">
        <x:v>14.85</x:v>
      </x:c>
      <x:c r="F14" s="30">
        <x:v>15.35</x:v>
      </x:c>
      <x:c r="G14" s="25" t="n">
        <x:f>AVERAGE(E14:F14)</x:f>
        <x:v>15.1</x:v>
      </x:c>
      <x:c r="I14" s="25" t="str">
        <x:f>IF(H14="","Pending",IF(H14&gt;G14,"Beat",IF(H14&lt;G14,"Miss","In line")))</x:f>
        <x:v>Pending</x:v>
      </x:c>
      <x:c r="J14" s="19" t="n">
        <x:f>G14-Inputs!C100</x:f>
        <x:v>3.9399999999999995</x:v>
      </x:c>
    </x:row>
    <x:row r="15" ht="48" customHeight="1">
      <x:c r="B15" s="26">
        <x:v>46204</x:v>
      </x:c>
      <x:c r="C15" s="23" t="s">
        <x:v>287</x:v>
      </x:c>
      <x:c r="D15" s="5" t="s">
        <x:v>291</x:v>
      </x:c>
      <x:c r="E15" s="20">
        <x:v>0.295</x:v>
      </x:c>
      <x:c r="F15" s="20">
        <x:v>0.31</x:v>
      </x:c>
      <x:c r="G15" s="7" t="n">
        <x:f>AVERAGE(E15:F15)</x:f>
        <x:v>0.3025</x:v>
      </x:c>
      <x:c r="I15" s="31" t="str">
        <x:f>IF(H15="","Pending",IF(H15&gt;G15,"Beat",IF(H15&lt;G15,"Miss","In line")))</x:f>
        <x:v>Pending</x:v>
      </x:c>
      <x:c r="J15" s="63" t="str">
        <x:v>Implied quarterly EPS obtained by subtracting quarterly EPS from annual guidance is an arithmetic approximation, not an additive earnings reconciliation.</x:v>
      </x:c>
    </x:row>
    <x:row r="16">
      <x:c r="B16" s="26">
        <x:v>46204</x:v>
      </x:c>
      <x:c r="C16" s="23" t="s">
        <x:v>287</x:v>
      </x:c>
      <x:c r="D16" s="5" t="s">
        <x:v>292</x:v>
      </x:c>
      <x:c r="E16" s="20">
        <x:v>0.34</x:v>
      </x:c>
      <x:c r="F16" s="20">
        <x:v>0.355</x:v>
      </x:c>
      <x:c r="G16" s="7" t="n">
        <x:f>AVERAGE(E16:F16)</x:f>
        <x:v>0.34750000000000003</x:v>
      </x:c>
      <x:c r="I16" s="31" t="str">
        <x:f>IF(H16="","Pending",IF(H16&gt;G16,"Beat",IF(H16&lt;G16,"Miss","In line")))</x:f>
        <x:v>Pending</x:v>
      </x:c>
      <x:c r="J16" s="12"/>
    </x:row>
    <x:row r="17">
      <x:c r="B17" s="26">
        <x:v>46204</x:v>
      </x:c>
      <x:c r="C17" s="23" t="s">
        <x:v>287</x:v>
      </x:c>
      <x:c r="D17" s="5" t="s">
        <x:v>293</x:v>
      </x:c>
      <x:c r="E17" s="20">
        <x:v>0.18</x:v>
      </x:c>
      <x:c r="F17" s="20">
        <x:v>0.19</x:v>
      </x:c>
      <x:c r="G17" s="7" t="n">
        <x:f>AVERAGE(E17:F17)</x:f>
        <x:v>0.185</x:v>
      </x:c>
      <x:c r="I17" s="31" t="str">
        <x:f>IF(H17="","Pending",IF(H17&gt;G17,"Beat",IF(H17&lt;G17,"Miss","In line")))</x:f>
        <x:v>Pending</x:v>
      </x:c>
      <x:c r="J17" s="12"/>
    </x:row>
    <x:row r="18">
      <x:c r="B18" s="26">
        <x:v>46204</x:v>
      </x:c>
      <x:c r="C18" s="23" t="s">
        <x:v>287</x:v>
      </x:c>
      <x:c r="D18" s="5" t="s">
        <x:v>294</x:v>
      </x:c>
      <x:c r="E18" s="18">
        <x:v>130</x:v>
      </x:c>
      <x:c r="F18" s="18">
        <x:v>160</x:v>
      </x:c>
      <x:c r="G18" s="5" t="n">
        <x:f>AVERAGE(E18:F18)</x:f>
        <x:v>145</x:v>
      </x:c>
      <x:c r="I18" s="5" t="str">
        <x:f>IF(H18="","Pending",IF(H18&gt;G18,"Beat",IF(H18&lt;G18,"Miss","In line")))</x:f>
        <x:v>Pending</x:v>
      </x:c>
      <x:c r="J18" s="1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65" hidden="0" customWidth="1"/>
    <x:col min="3" max="3" width="15" customWidth="1"/>
    <x:col min="4" max="4" width="24" customWidth="1"/>
    <x:col min="5" max="5" width="56" customWidth="1"/>
    <x:col min="6" max="6" width="34" customWidth="1"/>
    <x:col min="7" max="8" width="13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295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/>
      <x:c r="C8" s="5"/>
      <x:c r="D8" s="5"/>
      <x:c r="E8" s="5"/>
      <x:c r="F8" s="5"/>
      <x:c r="G8" s="5"/>
      <x:c r="H8" s="21"/>
    </x:row>
    <x:row r="9">
      <x:c r="B9" s="12" t="s">
        <x:v>296</x:v>
      </x:c>
      <x:c r="C9" s="5" t="s">
        <x:v>297</x:v>
      </x:c>
      <x:c r="D9" s="5" t="s">
        <x:v>298</x:v>
      </x:c>
      <x:c r="E9" s="5" t="s">
        <x:v>299</x:v>
      </x:c>
      <x:c r="F9" s="5" t="s">
        <x:v>300</x:v>
      </x:c>
      <x:c r="G9" s="5"/>
      <x:c r="H9" s="21"/>
    </x:row>
    <x:row r="10" ht="36">
      <x:c r="B10" s="12" t="s">
        <x:v>301</x:v>
      </x:c>
      <x:c r="C10" s="26">
        <x:v>45952</x:v>
      </x:c>
      <x:c r="D10" s="5" t="s">
        <x:v>302</x:v>
      </x:c>
      <x:c r="E10" s="27" t="s">
        <x:v>303</x:v>
      </x:c>
      <x:c r="F10" s="5" t="s">
        <x:v>304</x:v>
      </x:c>
      <x:c r="G10" s="5"/>
      <x:c r="H10" s="21"/>
    </x:row>
    <x:row r="11" ht="36">
      <x:c r="B11" s="12" t="s">
        <x:v>305</x:v>
      </x:c>
      <x:c r="C11" s="26">
        <x:v>45918</x:v>
      </x:c>
      <x:c r="D11" s="5" t="s">
        <x:v>302</x:v>
      </x:c>
      <x:c r="E11" s="27" t="s">
        <x:v>306</x:v>
      </x:c>
      <x:c r="F11" s="5" t="s">
        <x:v>307</x:v>
      </x:c>
      <x:c r="G11" s="5"/>
      <x:c r="H11" s="21"/>
    </x:row>
    <x:row r="12" ht="36">
      <x:c r="B12" s="12" t="s">
        <x:v>308</x:v>
      </x:c>
      <x:c r="C12" s="26">
        <x:v>46027</x:v>
      </x:c>
      <x:c r="D12" s="5" t="s">
        <x:v>302</x:v>
      </x:c>
      <x:c r="E12" s="27" t="s">
        <x:v>309</x:v>
      </x:c>
      <x:c r="F12" s="5" t="s">
        <x:v>310</x:v>
      </x:c>
      <x:c r="G12" s="5"/>
      <x:c r="H12" s="21"/>
    </x:row>
    <x:row r="13" ht="36">
      <x:c r="B13" s="12" t="s">
        <x:v>311</x:v>
      </x:c>
      <x:c r="C13" s="26">
        <x:v>46113</x:v>
      </x:c>
      <x:c r="D13" s="5" t="s">
        <x:v>302</x:v>
      </x:c>
      <x:c r="E13" s="27" t="s">
        <x:v>312</x:v>
      </x:c>
      <x:c r="F13" s="5" t="s">
        <x:v>313</x:v>
      </x:c>
      <x:c r="G13" s="5"/>
      <x:c r="H13" s="21"/>
    </x:row>
    <x:row r="14" ht="36">
      <x:c r="B14" s="12" t="s">
        <x:v>314</x:v>
      </x:c>
      <x:c r="C14" s="26">
        <x:v>46204</x:v>
      </x:c>
      <x:c r="D14" s="5" t="s">
        <x:v>302</x:v>
      </x:c>
      <x:c r="E14" s="27" t="s">
        <x:v>315</x:v>
      </x:c>
      <x:c r="F14" s="5" t="s">
        <x:v>316</x:v>
      </x:c>
      <x:c r="G14" s="5"/>
      <x:c r="H14" s="21"/>
    </x:row>
    <x:row r="15" ht="36">
      <x:c r="B15" s="12" t="s">
        <x:v>317</x:v>
      </x:c>
      <x:c r="C15" s="26">
        <x:v>46009</x:v>
      </x:c>
      <x:c r="D15" s="5" t="s">
        <x:v>302</x:v>
      </x:c>
      <x:c r="E15" s="27" t="s">
        <x:v>318</x:v>
      </x:c>
      <x:c r="F15" s="5" t="s">
        <x:v>319</x:v>
      </x:c>
      <x:c r="G15" s="5"/>
      <x:c r="H15" s="21"/>
    </x:row>
    <x:row r="16" ht="36">
      <x:c r="B16" s="12" t="s">
        <x:v>320</x:v>
      </x:c>
      <x:c r="C16" s="26">
        <x:v>46112</x:v>
      </x:c>
      <x:c r="D16" s="5" t="s">
        <x:v>302</x:v>
      </x:c>
      <x:c r="E16" s="27" t="s">
        <x:v>321</x:v>
      </x:c>
      <x:c r="F16" s="5" t="s">
        <x:v>322</x:v>
      </x:c>
      <x:c r="G16" s="5"/>
      <x:c r="H16" s="21"/>
    </x:row>
    <x:row r="17" ht="36">
      <x:c r="B17" s="12" t="s">
        <x:v>323</x:v>
      </x:c>
      <x:c r="C17" s="26">
        <x:v>46204</x:v>
      </x:c>
      <x:c r="D17" s="5" t="s">
        <x:v>302</x:v>
      </x:c>
      <x:c r="E17" s="27" t="s">
        <x:v>324</x:v>
      </x:c>
      <x:c r="F17" s="5" t="s">
        <x:v>325</x:v>
      </x:c>
      <x:c r="G17" s="5"/>
      <x:c r="H17" s="21"/>
    </x:row>
    <x:row r="18" ht="36">
      <x:c r="B18" s="12" t="s">
        <x:v>326</x:v>
      </x:c>
      <x:c r="C18" s="26">
        <x:v>46267</x:v>
      </x:c>
      <x:c r="D18" s="5" t="s">
        <x:v>327</x:v>
      </x:c>
      <x:c r="E18" s="27" t="s">
        <x:v>328</x:v>
      </x:c>
      <x:c r="F18" s="5" t="s">
        <x:v>329</x:v>
      </x:c>
      <x:c r="G18" s="5"/>
      <x:c r="H18" s="21"/>
    </x:row>
    <x:row r="19" ht="36">
      <x:c r="B19" s="12" t="s">
        <x:v>330</x:v>
      </x:c>
      <x:c r="C19" s="26">
        <x:v>46290</x:v>
      </x:c>
      <x:c r="D19" s="5" t="s">
        <x:v>331</x:v>
      </x:c>
      <x:c r="E19" s="27" t="s">
        <x:v>332</x:v>
      </x:c>
      <x:c r="F19" s="5" t="s">
        <x:v>333</x:v>
      </x:c>
      <x:c r="G19" s="5"/>
      <x:c r="H19" s="21"/>
    </x:row>
    <x:row r="20" ht="36">
      <x:c r="B20" s="12" t="s">
        <x:v>334</x:v>
      </x:c>
      <x:c r="C20" s="26">
        <x:v>46293</x:v>
      </x:c>
      <x:c r="D20" s="5" t="s">
        <x:v>335</x:v>
      </x:c>
      <x:c r="E20" s="27" t="s">
        <x:v>336</x:v>
      </x:c>
      <x:c r="F20" s="5" t="s">
        <x:v>337</x:v>
      </x:c>
      <x:c r="G20" s="5"/>
      <x:c r="H20" s="21"/>
    </x:row>
    <x:row r="21" ht="36">
      <x:c r="B21" s="12" t="s">
        <x:v>338</x:v>
      </x:c>
      <x:c r="C21" s="26">
        <x:v>46284</x:v>
      </x:c>
      <x:c r="D21" s="5" t="s">
        <x:v>339</x:v>
      </x:c>
      <x:c r="E21" s="27" t="s">
        <x:v>340</x:v>
      </x:c>
      <x:c r="F21" s="5" t="s">
        <x:v>341</x:v>
      </x:c>
      <x:c r="G21" s="5"/>
      <x:c r="H21" s="21"/>
    </x:row>
    <x:row r="22" ht="36">
      <x:c r="B22" s="12" t="s">
        <x:v>342</x:v>
      </x:c>
      <x:c r="C22" s="26">
        <x:v>46204</x:v>
      </x:c>
      <x:c r="D22" s="5" t="s">
        <x:v>343</x:v>
      </x:c>
      <x:c r="E22" s="27" t="s">
        <x:v>344</x:v>
      </x:c>
      <x:c r="F22" s="5" t="s">
        <x:v>345</x:v>
      </x:c>
      <x:c r="G22" s="5"/>
      <x:c r="H22" s="21"/>
    </x:row>
    <x:row r="23" ht="36">
      <x:c r="B23" s="12" t="s">
        <x:v>346</x:v>
      </x:c>
      <x:c r="C23" s="26">
        <x:v>46289</x:v>
      </x:c>
      <x:c r="D23" s="5" t="s">
        <x:v>347</x:v>
      </x:c>
      <x:c r="E23" s="27" t="s">
        <x:v>348</x:v>
      </x:c>
      <x:c r="F23" s="5" t="s">
        <x:v>349</x:v>
      </x:c>
      <x:c r="G23" s="5"/>
      <x:c r="H23" s="21"/>
    </x:row>
    <x:row r="24" ht="36">
      <x:c r="B24" s="12" t="s">
        <x:v>350</x:v>
      </x:c>
      <x:c r="C24" s="26">
        <x:v>46289</x:v>
      </x:c>
      <x:c r="D24" s="5" t="s">
        <x:v>347</x:v>
      </x:c>
      <x:c r="E24" s="27" t="s">
        <x:v>351</x:v>
      </x:c>
      <x:c r="F24" s="5" t="s">
        <x:v>352</x:v>
      </x:c>
      <x:c r="G24" s="5"/>
      <x:c r="H24" s="21"/>
    </x:row>
    <x:row r="25">
      <x:c r="B25" s="12"/>
      <x:c r="C25" s="5"/>
      <x:c r="D25" s="5"/>
      <x:c r="E25" s="5"/>
      <x:c r="F25" s="5"/>
      <x:c r="G25" s="5"/>
      <x:c r="H25" s="21"/>
    </x:row>
    <x:row r="26">
      <x:c r="B26" s="12" t="s">
        <x:v>353</x:v>
      </x:c>
      <x:c r="C26" s="5" t="s">
        <x:v>354</x:v>
      </x:c>
      <x:c r="D26" s="5"/>
      <x:c r="E26" s="5"/>
      <x:c r="F26" s="5"/>
      <x:c r="G26" s="5"/>
      <x:c r="H26" s="21"/>
    </x:row>
    <x:row r="27">
      <x:c r="B27" s="12" t="s">
        <x:v>355</x:v>
      </x:c>
      <x:c r="C27" s="5" t="s">
        <x:v>356</x:v>
      </x:c>
      <x:c r="D27" s="5"/>
      <x:c r="E27" s="5"/>
      <x:c r="F27" s="5"/>
      <x:c r="G27" s="5"/>
      <x:c r="H27" s="21"/>
    </x:row>
    <x:row r="28">
      <x:c r="B28" s="12" t="s">
        <x:v>357</x:v>
      </x:c>
      <x:c r="C28" s="5" t="s">
        <x:v>358</x:v>
      </x:c>
      <x:c r="D28" s="5"/>
      <x:c r="E28" s="5"/>
      <x:c r="F28" s="5"/>
      <x:c r="G28" s="5"/>
      <x:c r="H28" s="21"/>
    </x:row>
    <x:row r="29">
      <x:c r="B29" s="12" t="s">
        <x:v>359</x:v>
      </x:c>
      <x:c r="C29" s="5" t="s">
        <x:v>360</x:v>
      </x:c>
      <x:c r="D29" s="5"/>
      <x:c r="E29" s="5"/>
      <x:c r="F29" s="5"/>
      <x:c r="G29" s="5"/>
      <x:c r="H29" s="21"/>
    </x:row>
    <x:row r="30">
      <x:c r="B30" s="12" t="s">
        <x:v>361</x:v>
      </x:c>
      <x:c r="C30" s="5" t="s">
        <x:v>362</x:v>
      </x:c>
      <x:c r="D30" s="5"/>
      <x:c r="E30" s="5"/>
      <x:c r="F30" s="5"/>
      <x:c r="G30" s="5"/>
      <x:c r="H30" s="21"/>
    </x:row>
    <x:row r="33" ht="48" customHeight="1">
      <x:c r="B33" s="62" t="str">
        <x:v>Review limitations and retained assumptions</x:v>
      </x:c>
    </x:row>
    <x:row r="34" ht="48" customHeight="1">
      <x:c r="B34" s="62" t="str">
        <x:v>L1: Forecast balance sheet 'balances' only because unlinked cash-flow items net to exactly zero (disguised plug). Link each CF assumption to its BS line:
- ROU asset = G − lease amortization.
- Lease liabilities = G + lease cash flow (the current/long-term split needs a source or assumption).
- AP = G + CFS H15.
- Taxes payable = G + CFS H18.
- PPE/intangibles = G − depreciation/amortization split + capex.
- Map 'other operating' to a named BS line.
- Add employee-plan proceeds to equity.
- Use −CFS H27 for dividends.
Then let H36 test genuine articulation. Do not change the forecast assumptions.</x:v>
      </x:c>
    </x:row>
    <x:row r="35" ht="48" customHeight="1">
      <x:c r="B35" s="62" t="str">
        <x:v>L2: Cover 'PASS' is built almost entirely from tautological checks. Label these rows as display identities or replace them with independent tests:
- BS line-by-line rollforwards.
- Share rollforward residual (L9).
- Segment sum versus an independently forecast consolidated opex.
- Guidance-bracket reasonableness.
Keep C16 but base it on genuine tests.</x:v>
      </x:c>
    </x:row>
    <x:row r="36" ht="48" customHeight="1">
      <x:c r="B36" s="62" t="str">
        <x:v>L3: Closing-ASV 'Y/Y change' for 3Q26A compares with Aug-2025 (a 3-quarter change), not May-2025. Set G21 = G20/C8 − 1 on each segment sheet (see patches).</x:v>
      </x:c>
    </x:row>
    <x:row r="37" ht="48" customHeight="1">
      <x:c r="B37" s="62" t="str">
        <x:v>L4: Average-ASV 'Y/Y change' for 3Q26A uses the 4Q25 average as the base. Set G24 = G23/AVERAGE(Inputs!C10x, C8) − 1 using each region's Q2 FY25 ASV input (see patches).</x:v>
      </x:c>
    </x:row>
    <x:row r="38" ht="48" customHeight="1">
      <x:c r="B38" s="62" t="str">
        <x:v>L5: 3Q26A gross-margin change, operating-profit Y/Y and NI Y/Y compare with 4Q25A, not 3Q25A. Show 'unavailable' until Q3 FY25 comparatives are sourced; do not display them as Y/Y.</x:v>
      </x:c>
    </x:row>
    <x:row r="39" ht="48" customHeight="1">
      <x:c r="B39" s="62" t="str">
        <x:v>L6: 3Q26A 'Normalized EPS Y/Y' uses 4Q25A as its base. Set G49 = G48/Inputs!D11 − 1.</x:v>
      </x:c>
    </x:row>
    <x:row r="40" ht="48" customHeight="1">
      <x:c r="B40" s="62" t="str">
        <x:v>L7: Operating-margin change (bp) mixes comparators: G uses 4Q25, H is sequential. Relabel the row as sequential and set E58:G58 = (x57 − prior57) × 10000, or show 'unavailable'. The intent is ambiguous, so no automatic patch is proposed.</x:v>
      </x:c>
    </x:row>
    <x:row r="41" ht="48" customHeight="1">
      <x:c r="B41" s="62" t="str">
        <x:v>L8: Guidance-implied Q4 EPS subtracts per-share figures across periods (EPS is not additive). Present the Q4-implied EPS as implied Q4 NI ÷ Q4 diluted shares (e.g. J11/'Income Statement'!H28), or label J13/J14 as 'arithmetic residual, non-additive' and flag the ≈$0.45 gap. The forecast is not changed.</x:v>
      </x:c>
    </x:row>
    <x:row r="42" ht="48" customHeight="1">
      <x:c r="B42" s="62" t="str">
        <x:v>L9: Historical share rollforward does not tie; residual unexplained and no check row. Add a rollforward residual row (closing − opening − flows) for E:G, and source the vesting/RSU share issuance for row 11. Do not plug.</x:v>
      </x:c>
    </x:row>
    <x:row r="43" ht="48" customHeight="1">
      <x:c r="B43" s="62" t="str">
        <x:v>L10: Rows mix organic (historical input) and reported (forecast formula) ASV growth bases. Split the rows into 'reported' and 'organic', or mark the forecast cells as a reported-basis proxy in the label.</x:v>
      </x:c>
    </x:row>
    <x:row r="44" ht="48" customHeight="1">
      <x:c r="B44" s="62" t="str">
        <x:v>L11: Forecast organic growth equals reported growth because scope/FX are set to zero despite a Q4 FY25 divestiture. Keep the assumption but label H35 as 'reported growth (scope/FX assumed nil)', or source the Q4 lapping scope effect.</x:v>
      </x:c>
    </x:row>
    <x:row r="45" ht="48" customHeight="1">
      <x:c r="B45" s="62" t="str">
        <x:v>L12: Revenue Y/Y left blank for FY25/1Q26/2Q26 although comparators exist in Inputs. Add the formulas (see patches).</x:v>
      </x:c>
    </x:row>
    <x:row r="46" ht="48" customHeight="1">
      <x:c r="B46" s="62" t="str">
        <x:v>L13: Historical CF residual plugs and a pasted derived value. Replace D28 with the filed FY25 net debt figure from S01 (source needed). Label rows 20, 23 and 30 as residuals to reported totals.</x:v>
      </x:c>
    </x:row>
    <x:row r="47" ht="48" customHeight="1">
      <x:c r="B47" s="62" t="str">
        <x:v>L14: Adjustment basis (pre-tax vs after-tax) and FY-minus-Q4 implied 9-month items unverifiable. Confirm against S02/S08 that the bridge amounts are after-tax. The forecast H33 of 15.1 must be on the same after-tax basis as G33 = 14.534.</x:v>
      </x:c>
    </x:row>
    <x:row r="48" ht="48" customHeight="1">
      <x:c r="B48" s="62" t="str">
        <x:v>L15: Size-aware calibration: cohort prior and market-cap bucket not documented; 0.69 unverifiable. Record the bucket rule, the cohort prior p with its source, b and n on the Cover or Inputs, and compute C17 = (8·p + b)/(8 + n). Do not use target-quarter outcomes.</x:v>
      </x:c>
    </x:row>
    <x:row r="49" ht="48" customHeight="1">
      <x:c r="B49" s="62" t="str">
        <x:v>L16: Q1 FY25 diluted shares identical to Q4 FY24 (38.517) — possible copy error. Verify against the Q1 FY25 10-Q.</x:v>
      </x:c>
    </x:row>
    <x:row r="51" ht="48" customHeight="1">
      <x:c r="B51" s="62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3" width="35" customWidth="1"/>
    <x:col min="4" max="9" width="16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</x:row>
    <x:row r="2">
      <x:c r="B2" s="2" t="s">
        <x:v>363</x:v>
      </x:c>
      <x:c r="C2" s="2"/>
      <x:c r="D2" s="2"/>
      <x:c r="E2" s="2"/>
      <x:c r="F2" s="2"/>
      <x:c r="G2" s="2"/>
      <x:c r="H2" s="2"/>
    </x:row>
    <x:row r="3">
      <x:c r="B3" s="1" t="s">
        <x:v>2</x:v>
      </x:c>
      <x:c r="C3" s="1"/>
      <x:c r="D3" s="1"/>
      <x:c r="E3" s="1"/>
      <x:c r="F3" s="1"/>
      <x:c r="G3" s="1"/>
      <x:c r="H3" s="1"/>
    </x:row>
    <x:row r="4">
      <x:c r="B4" s="12"/>
      <x:c r="C4" s="12"/>
      <x:c r="D4" s="12"/>
      <x:c r="E4" s="12"/>
      <x:c r="F4" s="12"/>
      <x:c r="G4" s="12"/>
      <x:c r="H4" s="12"/>
    </x:row>
    <x:row r="5">
      <x:c r="B5" s="48" t="s">
        <x:v>3</x:v>
      </x:c>
      <x:c r="C5" s="50" t="s">
        <x:v>4</x:v>
      </x:c>
      <x:c r="D5" s="50" t="s">
        <x:v>5</x:v>
      </x:c>
      <x:c r="E5" s="50" t="s">
        <x:v>6</x:v>
      </x:c>
      <x:c r="F5" s="50" t="s">
        <x:v>7</x:v>
      </x:c>
      <x:c r="G5" s="50" t="s">
        <x:v>8</x:v>
      </x:c>
      <x:c r="H5" s="50" t="s">
        <x:v>9</x:v>
      </x:c>
    </x:row>
    <x:row r="6">
      <x:c r="B6" s="49" t="s">
        <x:v>10</x:v>
      </x:c>
      <x:c r="C6" s="51">
        <x:v>45900</x:v>
      </x:c>
      <x:c r="D6" s="51">
        <x:v>45900</x:v>
      </x:c>
      <x:c r="E6" s="51">
        <x:v>45991</x:v>
      </x:c>
      <x:c r="F6" s="51">
        <x:v>46081</x:v>
      </x:c>
      <x:c r="G6" s="51">
        <x:v>46173</x:v>
      </x:c>
      <x:c r="H6" s="51">
        <x:v>46265</x:v>
      </x:c>
    </x:row>
    <x:row r="7">
      <x:c r="B7" s="49" t="s">
        <x:v>11</x:v>
      </x:c>
      <x:c r="C7" s="52">
        <x:v>92</x:v>
      </x:c>
      <x:c r="D7" s="52">
        <x:v>365</x:v>
      </x:c>
      <x:c r="E7" s="52">
        <x:v>91</x:v>
      </x:c>
      <x:c r="F7" s="52">
        <x:v>90</x:v>
      </x:c>
      <x:c r="G7" s="52">
        <x:v>92</x:v>
      </x:c>
      <x:c r="H7" s="52">
        <x:v>92</x:v>
      </x:c>
    </x:row>
    <x:row r="8">
      <x:c r="B8" s="12"/>
      <x:c r="C8" s="5"/>
      <x:c r="D8" s="5"/>
      <x:c r="E8" s="5"/>
      <x:c r="F8" s="5"/>
      <x:c r="G8" s="5"/>
      <x:c r="H8" s="21"/>
    </x:row>
    <x:row r="9">
      <x:c r="B9" s="12" t="s">
        <x:v>364</x:v>
      </x:c>
      <x:c r="C9" s="53" t="s">
        <x:v>365</x:v>
      </x:c>
      <x:c r="D9" s="53" t="s">
        <x:v>366</x:v>
      </x:c>
      <x:c r="E9" s="53" t="s">
        <x:v>367</x:v>
      </x:c>
      <x:c r="F9" s="53" t="s">
        <x:v>368</x:v>
      </x:c>
      <x:c r="G9" s="53" t="s">
        <x:v>369</x:v>
      </x:c>
      <x:c r="H9" s="60" t="s">
        <x:v>370</x:v>
      </x:c>
      <x:c r="I9" s="61" t="s">
        <x:v>371</x:v>
      </x:c>
    </x:row>
    <x:row r="10">
      <x:c r="B10" s="26">
        <x:v>45716</x:v>
      </x:c>
      <x:c r="C10" s="18">
        <x:v>4.18</x:v>
      </x:c>
      <x:c r="D10" s="18">
        <x:v>4.28</x:v>
      </x:c>
      <x:c r="E10" s="18">
        <x:v>3.8</x:v>
      </x:c>
      <x:c r="F10" s="18">
        <x:v>3.76</x:v>
      </x:c>
      <x:c r="G10" s="18">
        <x:v>570.67</x:v>
      </x:c>
      <x:c r="H10" s="10">
        <x:v>570.66</x:v>
      </x:c>
      <x:c r="I10" s="26">
        <x:v>45736</x:v>
      </x:c>
    </x:row>
    <x:row r="11">
      <x:c r="B11" s="26">
        <x:v>45808</x:v>
      </x:c>
      <x:c r="C11" s="18">
        <x:v>4.3</x:v>
      </x:c>
      <x:c r="D11" s="18">
        <x:v>4.27</x:v>
      </x:c>
      <x:c r="E11" s="18">
        <x:v>3.83</x:v>
      </x:c>
      <x:c r="F11" s="18">
        <x:v>3.87</x:v>
      </x:c>
      <x:c r="G11" s="18">
        <x:v>580.9</x:v>
      </x:c>
      <x:c r="H11" s="10">
        <x:v>585.52</x:v>
      </x:c>
      <x:c r="I11" s="26">
        <x:v>45831</x:v>
      </x:c>
    </x:row>
    <x:row r="12">
      <x:c r="B12" s="26">
        <x:v>45900</x:v>
      </x:c>
      <x:c r="C12" s="18">
        <x:v>4.13</x:v>
      </x:c>
      <x:c r="D12" s="18">
        <x:v>4.05</x:v>
      </x:c>
      <x:c r="E12" s="18">
        <x:v>3.69</x:v>
      </x:c>
      <x:c r="F12" s="18">
        <x:v>4.03</x:v>
      </x:c>
      <x:c r="G12" s="18">
        <x:v>593.44</x:v>
      </x:c>
      <x:c r="H12" s="10">
        <x:v>596.9</x:v>
      </x:c>
      <x:c r="I12" s="26">
        <x:v>45918</x:v>
      </x:c>
    </x:row>
    <x:row r="13">
      <x:c r="B13" s="26">
        <x:v>45991</x:v>
      </x:c>
      <x:c r="C13" s="18">
        <x:v>4.36</x:v>
      </x:c>
      <x:c r="D13" s="18">
        <x:v>4.51</x:v>
      </x:c>
      <x:c r="E13" s="18">
        <x:v>3.85</x:v>
      </x:c>
      <x:c r="F13" s="18">
        <x:v>4.06</x:v>
      </x:c>
      <x:c r="G13" s="18">
        <x:v>600.63</x:v>
      </x:c>
      <x:c r="H13" s="10">
        <x:v>607.62</x:v>
      </x:c>
      <x:c r="I13" s="26">
        <x:v>46009</x:v>
      </x:c>
    </x:row>
    <x:row r="14">
      <x:c r="B14" s="26">
        <x:v>46081</x:v>
      </x:c>
      <x:c r="C14" s="18">
        <x:v>4.38</x:v>
      </x:c>
      <x:c r="D14" s="18">
        <x:v>4.46</x:v>
      </x:c>
      <x:c r="E14" s="18">
        <x:v>3.85</x:v>
      </x:c>
      <x:c r="F14" s="18">
        <x:v>3.59</x:v>
      </x:c>
      <x:c r="G14" s="18">
        <x:v>604.95</x:v>
      </x:c>
      <x:c r="H14" s="10">
        <x:v>611.02</x:v>
      </x:c>
      <x:c r="I14" s="26">
        <x:v>46112</x:v>
      </x:c>
    </x:row>
    <x:row r="15">
      <x:c r="B15" s="26">
        <x:v>46173</x:v>
      </x:c>
      <x:c r="C15" s="18">
        <x:v>4.45</x:v>
      </x:c>
      <x:c r="D15" s="18">
        <x:v>4.53</x:v>
      </x:c>
      <x:c r="E15" s="18">
        <x:v>3.9</x:v>
      </x:c>
      <x:c r="F15" s="18">
        <x:v>3.5</x:v>
      </x:c>
      <x:c r="G15" s="18">
        <x:v>618.09</x:v>
      </x:c>
      <x:c r="H15" s="10">
        <x:v>622.92</x:v>
      </x:c>
      <x:c r="I15" s="26">
        <x:v>46204</x:v>
      </x:c>
    </x:row>
    <x:row r="16">
      <x:c r="B16" s="12"/>
      <x:c r="C16" s="5"/>
      <x:c r="D16" s="5"/>
      <x:c r="E16" s="5"/>
      <x:c r="F16" s="5"/>
      <x:c r="G16" s="5"/>
      <x:c r="H16" s="21"/>
    </x:row>
    <x:row r="17">
      <x:c r="B17" s="12" t="s">
        <x:v>372</x:v>
      </x:c>
      <x:c r="C17" s="5"/>
      <x:c r="D17" s="5"/>
      <x:c r="E17" s="5"/>
      <x:c r="F17" s="5"/>
      <x:c r="G17" s="5"/>
      <x:c r="H17" s="21"/>
    </x:row>
    <x:row r="18">
      <x:c r="B18" s="12" t="s">
        <x:v>373</x:v>
      </x:c>
      <x:c r="C18" s="5"/>
      <x:c r="D18" s="5"/>
      <x:c r="E18" s="5"/>
      <x:c r="F18" s="5"/>
      <x:c r="G18" s="5"/>
      <x:c r="H18" s="21"/>
    </x:row>
    <x:row r="19">
      <x:c r="B19" s="12" t="s">
        <x:v>374</x:v>
      </x:c>
      <x:c r="C19" s="5" t="s">
        <x:v>375</x:v>
      </x:c>
      <x:c r="D19" s="5"/>
      <x:c r="E19" s="5"/>
      <x:c r="F19" s="5"/>
      <x:c r="G19" s="5"/>
      <x:c r="H19" s="21"/>
    </x:row>
    <x:row r="20">
      <x:c r="B20" s="12" t="s">
        <x:v>376</x:v>
      </x:c>
      <x:c r="C20" s="5" t="s">
        <x:v>0</x:v>
      </x:c>
      <x:c r="D20" s="5"/>
      <x:c r="E20" s="5"/>
      <x:c r="F20" s="5"/>
      <x:c r="G20" s="5"/>
      <x:c r="H20" s="21"/>
    </x:row>
    <x:row r="21">
      <x:c r="B21" s="12" t="s">
        <x:v>377</x:v>
      </x:c>
      <x:c r="C21" s="5" t="s">
        <x:v>378</x:v>
      </x:c>
      <x:c r="D21" s="5"/>
      <x:c r="E21" s="5"/>
      <x:c r="F21" s="5"/>
      <x:c r="G21" s="5"/>
      <x:c r="H21" s="21"/>
    </x:row>
    <x:row r="22">
      <x:c r="B22" s="12" t="s">
        <x:v>379</x:v>
      </x:c>
      <x:c r="C22" s="18">
        <x:v>347669</x:v>
      </x:c>
      <x:c r="D22" s="5"/>
      <x:c r="E22" s="5"/>
      <x:c r="F22" s="5"/>
      <x:c r="G22" s="5"/>
      <x:c r="H22" s="21"/>
    </x:row>
    <x:row r="23">
      <x:c r="B23" s="12" t="s">
        <x:v>380</x:v>
      </x:c>
      <x:c r="C23" s="18">
        <x:v>18</x:v>
      </x:c>
      <x:c r="D23" s="5"/>
      <x:c r="E23" s="5"/>
      <x:c r="F23" s="5"/>
      <x:c r="G23" s="5"/>
      <x:c r="H23" s="21"/>
    </x:row>
    <x:row r="24">
      <x:c r="B24" s="12" t="s">
        <x:v>381</x:v>
      </x:c>
      <x:c r="C24" s="5" t="s">
        <x:v>382</x:v>
      </x:c>
      <x:c r="D24" s="5"/>
      <x:c r="E24" s="5"/>
      <x:c r="F24" s="5"/>
      <x:c r="G24" s="5"/>
      <x:c r="H24" s="21"/>
    </x:row>
    <x:row r="25">
      <x:c r="B25" s="12" t="s">
        <x:v>383</x:v>
      </x:c>
      <x:c r="C25" s="5" t="s">
        <x:v>384</x:v>
      </x:c>
      <x:c r="D25" s="5"/>
      <x:c r="E25" s="5"/>
      <x:c r="F25" s="5"/>
      <x:c r="G25" s="5"/>
      <x:c r="H25" s="21"/>
    </x:row>
    <x:row r="26">
      <x:c r="B26" s="12" t="s">
        <x:v>364</x:v>
      </x:c>
      <x:c r="C26" s="18">
        <x:v>46265</x:v>
      </x:c>
      <x:c r="D26" s="5"/>
      <x:c r="E26" s="5"/>
      <x:c r="F26" s="5"/>
      <x:c r="G26" s="5"/>
      <x:c r="H26" s="21"/>
    </x:row>
    <x:row r="27">
      <x:c r="B27" s="12" t="s">
        <x:v>385</x:v>
      </x:c>
      <x:c r="C27" s="18">
        <x:v>46295</x:v>
      </x:c>
      <x:c r="D27" s="5"/>
      <x:c r="E27" s="5"/>
      <x:c r="F27" s="5"/>
      <x:c r="G27" s="5"/>
      <x:c r="H27" s="21"/>
    </x:row>
    <x:row r="28">
      <x:c r="B28" s="12" t="s">
        <x:v>386</x:v>
      </x:c>
      <x:c r="C28" s="18">
        <x:v>4.35</x:v>
      </x:c>
      <x:c r="D28" s="5"/>
      <x:c r="E28" s="5"/>
      <x:c r="F28" s="5"/>
      <x:c r="G28" s="5"/>
      <x:c r="H28" s="21"/>
    </x:row>
    <x:row r="29">
      <x:c r="B29" s="12" t="s">
        <x:v>387</x:v>
      </x:c>
      <x:c r="C29" s="18">
        <x:v>4.34</x:v>
      </x:c>
      <x:c r="D29" s="5"/>
      <x:c r="E29" s="5"/>
      <x:c r="F29" s="5"/>
      <x:c r="G29" s="5"/>
      <x:c r="H29" s="21"/>
    </x:row>
    <x:row r="30">
      <x:c r="B30" s="12" t="s">
        <x:v>388</x:v>
      </x:c>
      <x:c r="C30" s="18">
        <x:v>4.52</x:v>
      </x:c>
      <x:c r="D30" s="5"/>
      <x:c r="E30" s="5"/>
      <x:c r="F30" s="5"/>
      <x:c r="G30" s="5"/>
      <x:c r="H30" s="21"/>
    </x:row>
    <x:row r="31">
      <x:c r="B31" s="12" t="s">
        <x:v>389</x:v>
      </x:c>
      <x:c r="C31" s="18">
        <x:v>4.22</x:v>
      </x:c>
      <x:c r="D31" s="5"/>
      <x:c r="E31" s="5"/>
      <x:c r="F31" s="5"/>
      <x:c r="G31" s="5"/>
      <x:c r="H31" s="21"/>
    </x:row>
    <x:row r="32">
      <x:c r="B32" s="12" t="s">
        <x:v>390</x:v>
      </x:c>
      <x:c r="C32" s="18">
        <x:v>0.09</x:v>
      </x:c>
      <x:c r="D32" s="5"/>
      <x:c r="E32" s="5"/>
      <x:c r="F32" s="5"/>
      <x:c r="G32" s="5"/>
      <x:c r="H32" s="21"/>
    </x:row>
    <x:row r="33">
      <x:c r="B33" s="12" t="s">
        <x:v>391</x:v>
      </x:c>
      <x:c r="C33" s="18">
        <x:v>16</x:v>
      </x:c>
      <x:c r="D33" s="5"/>
      <x:c r="E33" s="5"/>
      <x:c r="F33" s="5"/>
      <x:c r="G33" s="5"/>
      <x:c r="H33" s="21"/>
    </x:row>
    <x:row r="34">
      <x:c r="B34" s="12" t="s">
        <x:v>392</x:v>
      </x:c>
      <x:c r="C34" s="5"/>
      <x:c r="D34" s="5"/>
      <x:c r="E34" s="5"/>
      <x:c r="F34" s="5"/>
      <x:c r="G34" s="5"/>
      <x:c r="H34" s="21"/>
    </x:row>
    <x:row r="35">
      <x:c r="B35" s="12" t="s">
        <x:v>393</x:v>
      </x:c>
      <x:c r="C35" s="5"/>
      <x:c r="D35" s="5"/>
      <x:c r="E35" s="5"/>
      <x:c r="F35" s="5"/>
      <x:c r="G35" s="5"/>
      <x:c r="H35" s="21"/>
    </x:row>
    <x:row r="36">
      <x:c r="B36" s="12" t="s">
        <x:v>394</x:v>
      </x:c>
      <x:c r="C36" s="5"/>
      <x:c r="D36" s="5"/>
      <x:c r="E36" s="5"/>
      <x:c r="F36" s="5"/>
      <x:c r="G36" s="5"/>
      <x:c r="H36" s="21"/>
    </x:row>
    <x:row r="37">
      <x:c r="B37" s="12" t="s">
        <x:v>395</x:v>
      </x:c>
      <x:c r="C37" s="18">
        <x:v>3.91</x:v>
      </x:c>
      <x:c r="D37" s="5"/>
      <x:c r="E37" s="5"/>
      <x:c r="F37" s="5"/>
      <x:c r="G37" s="5"/>
      <x:c r="H37" s="21"/>
    </x:row>
    <x:row r="38">
      <x:c r="B38" s="12" t="s">
        <x:v>396</x:v>
      </x:c>
      <x:c r="C38" s="18">
        <x:v>3.93</x:v>
      </x:c>
      <x:c r="D38" s="5"/>
      <x:c r="E38" s="5"/>
      <x:c r="F38" s="5"/>
      <x:c r="G38" s="5"/>
      <x:c r="H38" s="21"/>
    </x:row>
    <x:row r="39">
      <x:c r="B39" s="12" t="s">
        <x:v>397</x:v>
      </x:c>
      <x:c r="C39" s="18">
        <x:v>4.29</x:v>
      </x:c>
      <x:c r="D39" s="5"/>
      <x:c r="E39" s="5"/>
      <x:c r="F39" s="5"/>
      <x:c r="G39" s="5"/>
      <x:c r="H39" s="21"/>
    </x:row>
    <x:row r="40">
      <x:c r="B40" s="12" t="s">
        <x:v>398</x:v>
      </x:c>
      <x:c r="C40" s="18">
        <x:v>3.62</x:v>
      </x:c>
      <x:c r="D40" s="5"/>
      <x:c r="E40" s="5"/>
      <x:c r="F40" s="5"/>
      <x:c r="G40" s="5"/>
      <x:c r="H40" s="21"/>
    </x:row>
    <x:row r="41">
      <x:c r="B41" s="12" t="s">
        <x:v>399</x:v>
      </x:c>
      <x:c r="C41" s="18">
        <x:v>0.2</x:v>
      </x:c>
      <x:c r="D41" s="5"/>
      <x:c r="E41" s="5"/>
      <x:c r="F41" s="5"/>
      <x:c r="G41" s="5"/>
      <x:c r="H41" s="21"/>
    </x:row>
    <x:row r="42">
      <x:c r="B42" s="12" t="s">
        <x:v>400</x:v>
      </x:c>
      <x:c r="C42" s="18">
        <x:v>9</x:v>
      </x:c>
      <x:c r="D42" s="5"/>
      <x:c r="E42" s="5"/>
      <x:c r="F42" s="5"/>
      <x:c r="G42" s="5"/>
      <x:c r="H42" s="21"/>
    </x:row>
    <x:row r="43">
      <x:c r="B43" s="12" t="s">
        <x:v>401</x:v>
      </x:c>
      <x:c r="C43" s="5"/>
      <x:c r="D43" s="5"/>
      <x:c r="E43" s="5"/>
      <x:c r="F43" s="5"/>
      <x:c r="G43" s="5"/>
      <x:c r="H43" s="21"/>
    </x:row>
    <x:row r="44">
      <x:c r="B44" s="12" t="s">
        <x:v>402</x:v>
      </x:c>
      <x:c r="C44" s="5"/>
      <x:c r="D44" s="5"/>
      <x:c r="E44" s="5"/>
      <x:c r="F44" s="5"/>
      <x:c r="G44" s="5"/>
      <x:c r="H44" s="21"/>
    </x:row>
    <x:row r="45">
      <x:c r="B45" s="12" t="s">
        <x:v>403</x:v>
      </x:c>
      <x:c r="C45" s="18">
        <x:v>629.85</x:v>
      </x:c>
      <x:c r="D45" s="5"/>
      <x:c r="E45" s="5"/>
      <x:c r="F45" s="5"/>
      <x:c r="G45" s="5"/>
      <x:c r="H45" s="21"/>
    </x:row>
    <x:row r="46">
      <x:c r="B46" s="12" t="s">
        <x:v>404</x:v>
      </x:c>
      <x:c r="C46" s="18">
        <x:v>629.2</x:v>
      </x:c>
      <x:c r="D46" s="5"/>
      <x:c r="E46" s="5"/>
      <x:c r="F46" s="5"/>
      <x:c r="G46" s="5"/>
      <x:c r="H46" s="21"/>
    </x:row>
    <x:row r="47">
      <x:c r="B47" s="12" t="s">
        <x:v>405</x:v>
      </x:c>
      <x:c r="C47" s="18">
        <x:v>634.7</x:v>
      </x:c>
      <x:c r="D47" s="5"/>
      <x:c r="E47" s="5"/>
      <x:c r="F47" s="5"/>
      <x:c r="G47" s="5"/>
      <x:c r="H47" s="21"/>
    </x:row>
    <x:row r="48">
      <x:c r="B48" s="12" t="s">
        <x:v>406</x:v>
      </x:c>
      <x:c r="C48" s="18">
        <x:v>625.8</x:v>
      </x:c>
      <x:c r="D48" s="5"/>
      <x:c r="E48" s="5"/>
      <x:c r="F48" s="5"/>
      <x:c r="G48" s="5"/>
      <x:c r="H48" s="21"/>
    </x:row>
    <x:row r="49">
      <x:c r="B49" s="12" t="s">
        <x:v>407</x:v>
      </x:c>
      <x:c r="C49" s="18">
        <x:v>2.58</x:v>
      </x:c>
      <x:c r="D49" s="5"/>
      <x:c r="E49" s="5"/>
      <x:c r="F49" s="5"/>
      <x:c r="G49" s="5"/>
      <x:c r="H49" s="21"/>
    </x:row>
    <x:row r="50">
      <x:c r="B50" s="12" t="s">
        <x:v>408</x:v>
      </x:c>
      <x:c r="C50" s="18">
        <x:v>15</x:v>
      </x:c>
      <x:c r="D50" s="5"/>
      <x:c r="E50" s="5"/>
      <x:c r="F50" s="5"/>
      <x:c r="G50" s="5"/>
      <x:c r="H50" s="21"/>
    </x:row>
    <x:row r="51">
      <x:c r="B51" s="12" t="s">
        <x:v>409</x:v>
      </x:c>
      <x:c r="C51" s="5"/>
      <x:c r="D51" s="5"/>
      <x:c r="E51" s="5"/>
      <x:c r="F51" s="5"/>
      <x:c r="G51" s="5"/>
      <x:c r="H51" s="21"/>
    </x:row>
    <x:row r="52">
      <x:c r="B52" s="12" t="s">
        <x:v>410</x:v>
      </x:c>
      <x:c r="C52" s="5"/>
      <x:c r="D52" s="5"/>
      <x:c r="E52" s="5"/>
      <x:c r="F52" s="5"/>
      <x:c r="G52" s="5"/>
      <x:c r="H52" s="21"/>
    </x:row>
    <x:row r="53">
      <x:c r="B53" s="12" t="s">
        <x:v>411</x:v>
      </x:c>
      <x:c r="C53" s="18">
        <x:v>233.17</x:v>
      </x:c>
      <x:c r="D53" s="5"/>
      <x:c r="E53" s="5"/>
      <x:c r="F53" s="5"/>
      <x:c r="G53" s="5"/>
      <x:c r="H53" s="21"/>
    </x:row>
    <x:row r="54">
      <x:c r="B54" s="12" t="s">
        <x:v>412</x:v>
      </x:c>
      <x:c r="C54" s="18">
        <x:v>207.29</x:v>
      </x:c>
      <x:c r="D54" s="5"/>
      <x:c r="E54" s="5"/>
      <x:c r="F54" s="5"/>
      <x:c r="G54" s="5"/>
      <x:c r="H54" s="21"/>
    </x:row>
    <x:row r="55">
      <x:c r="B55" s="12" t="s">
        <x:v>413</x:v>
      </x:c>
      <x:c r="C55" s="18">
        <x:v>154.84</x:v>
      </x:c>
      <x:c r="D55" s="5"/>
      <x:c r="E55" s="5"/>
      <x:c r="F55" s="5"/>
      <x:c r="G55" s="5"/>
      <x:c r="H55" s="21"/>
    </x:row>
    <x:row r="56">
      <x:c r="B56" s="12" t="s">
        <x:v>414</x:v>
      </x:c>
      <x:c r="C56" s="18">
        <x:v>138.98</x:v>
      </x:c>
      <x:c r="D56" s="5"/>
      <x:c r="E56" s="5"/>
      <x:c r="F56" s="5"/>
      <x:c r="G56" s="5"/>
      <x:c r="H56" s="21"/>
    </x:row>
    <x:row r="57">
      <x:c r="B57" s="12" t="s">
        <x:v>415</x:v>
      </x:c>
      <x:c r="C57" s="18">
        <x:v>51.08</x:v>
      </x:c>
      <x:c r="D57" s="5"/>
      <x:c r="E57" s="5"/>
      <x:c r="F57" s="5"/>
      <x:c r="G57" s="5"/>
      <x:c r="H57" s="21"/>
    </x:row>
    <x:row r="58">
      <x:c r="B58" s="12" t="s">
        <x:v>416</x:v>
      </x:c>
      <x:c r="C58" s="18">
        <x:v>18.54</x:v>
      </x:c>
      <x:c r="D58" s="5"/>
      <x:c r="E58" s="5"/>
      <x:c r="F58" s="5"/>
      <x:c r="G58" s="5"/>
      <x:c r="H58" s="21"/>
    </x:row>
    <x:row r="59">
      <x:c r="B59" s="12" t="s">
        <x:v>417</x:v>
      </x:c>
      <x:c r="C59" s="18">
        <x:v>-28.83</x:v>
      </x:c>
      <x:c r="D59" s="5"/>
      <x:c r="E59" s="5"/>
      <x:c r="F59" s="5"/>
      <x:c r="G59" s="5"/>
      <x:c r="H59" s="21"/>
    </x:row>
    <x:row r="60">
      <x:c r="B60" s="12" t="s">
        <x:v>418</x:v>
      </x:c>
      <x:c r="C60" s="18">
        <x:v>155.31</x:v>
      </x:c>
      <x:c r="D60" s="5"/>
      <x:c r="E60" s="5"/>
      <x:c r="F60" s="5"/>
      <x:c r="G60" s="5"/>
      <x:c r="H60" s="21"/>
    </x:row>
    <x:row r="61">
      <x:c r="B61" s="12" t="s">
        <x:v>419</x:v>
      </x:c>
      <x:c r="C61" s="18">
        <x:v>207.54</x:v>
      </x:c>
      <x:c r="D61" s="5"/>
      <x:c r="E61" s="5"/>
      <x:c r="F61" s="5"/>
      <x:c r="G61" s="5"/>
      <x:c r="H61" s="21"/>
    </x:row>
    <x:row r="62">
      <x:c r="B62" s="12" t="s">
        <x:v>420</x:v>
      </x:c>
      <x:c r="C62" s="18">
        <x:v>42</x:v>
      </x:c>
      <x:c r="D62" s="5"/>
      <x:c r="E62" s="5"/>
      <x:c r="F62" s="5"/>
      <x:c r="G62" s="5"/>
      <x:c r="H62" s="21"/>
    </x:row>
    <x:row r="63">
      <x:c r="B63" s="12" t="s">
        <x:v>421</x:v>
      </x:c>
      <x:c r="C63" s="18">
        <x:v>270</x:v>
      </x:c>
      <x:c r="D63" s="5"/>
      <x:c r="E63" s="5"/>
      <x:c r="F63" s="5"/>
      <x:c r="G63" s="5"/>
      <x:c r="H63" s="21"/>
    </x:row>
    <x:row r="64">
      <x:c r="B64" s="12" t="s">
        <x:v>422</x:v>
      </x:c>
      <x:c r="C64" s="18">
        <x:v>278.5</x:v>
      </x:c>
      <x:c r="D64" s="5"/>
      <x:c r="E64" s="5"/>
      <x:c r="F64" s="5"/>
      <x:c r="G64" s="5"/>
      <x:c r="H64" s="21"/>
    </x:row>
    <x:row r="65">
      <x:c r="B65" s="12" t="s">
        <x:v>423</x:v>
      </x:c>
      <x:c r="C65" s="18">
        <x:v>340</x:v>
      </x:c>
      <x:c r="D65" s="5"/>
      <x:c r="E65" s="5"/>
      <x:c r="F65" s="5"/>
      <x:c r="G65" s="5"/>
      <x:c r="H65" s="21"/>
    </x:row>
    <x:row r="66">
      <x:c r="B66" s="12" t="s">
        <x:v>424</x:v>
      </x:c>
      <x:c r="C66" s="18">
        <x:v>210</x:v>
      </x:c>
      <x:c r="D66" s="5"/>
      <x:c r="E66" s="5"/>
      <x:c r="F66" s="5"/>
      <x:c r="G66" s="5"/>
      <x:c r="H66" s="21"/>
    </x:row>
    <x:row r="67">
      <x:c r="B67" s="12" t="s">
        <x:v>425</x:v>
      </x:c>
      <x:c r="C67" s="18">
        <x:v>36.04</x:v>
      </x:c>
      <x:c r="D67" s="5"/>
      <x:c r="E67" s="5"/>
      <x:c r="F67" s="5"/>
      <x:c r="G67" s="5"/>
      <x:c r="H67" s="21"/>
    </x:row>
    <x:row r="68">
      <x:c r="B68" s="12" t="s">
        <x:v>426</x:v>
      </x:c>
      <x:c r="C68" s="18">
        <x:v>16</x:v>
      </x:c>
      <x:c r="D68" s="5"/>
      <x:c r="E68" s="5"/>
      <x:c r="F68" s="5"/>
      <x:c r="G68" s="5"/>
      <x:c r="H68" s="21"/>
    </x:row>
    <x:row r="69">
      <x:c r="B69" s="12" t="s">
        <x:v>427</x:v>
      </x:c>
      <x:c r="C69" s="5" t="s">
        <x:v>428</x:v>
      </x:c>
      <x:c r="D69" s="5"/>
      <x:c r="E69" s="5"/>
      <x:c r="F69" s="5"/>
      <x:c r="G69" s="5"/>
      <x:c r="H69" s="21"/>
    </x:row>
    <x:row r="70">
      <x:c r="B70" s="12" t="s">
        <x:v>429</x:v>
      </x:c>
      <x:c r="C70" s="18">
        <x:v>3.22</x:v>
      </x:c>
      <x:c r="D70" s="5"/>
      <x:c r="E70" s="5"/>
      <x:c r="F70" s="5"/>
      <x:c r="G70" s="5"/>
      <x:c r="H70" s="21"/>
    </x:row>
    <x:row r="71">
      <x:c r="B71" s="12" t="s">
        <x:v>430</x:v>
      </x:c>
      <x:c r="C71" s="18">
        <x:v>271.25</x:v>
      </x:c>
      <x:c r="D71" s="5"/>
      <x:c r="E71" s="5"/>
      <x:c r="F71" s="5"/>
      <x:c r="G71" s="5"/>
      <x:c r="H71" s="21"/>
    </x:row>
    <x:row r="72">
      <x:c r="B72" s="12" t="s">
        <x:v>431</x:v>
      </x:c>
      <x:c r="C72" s="5" t="s">
        <x:v>432</x:v>
      </x:c>
      <x:c r="D72" s="5"/>
      <x:c r="E72" s="5"/>
      <x:c r="F72" s="5"/>
      <x:c r="G72" s="5"/>
      <x:c r="H72" s="21"/>
    </x:row>
    <x:row r="73">
      <x:c r="B73" s="12"/>
      <x:c r="C73" s="5"/>
      <x:c r="D73" s="5"/>
      <x:c r="E73" s="5"/>
      <x:c r="F73" s="5"/>
      <x:c r="G73" s="5"/>
      <x:c r="H73" s="21"/>
    </x:row>
    <x:row r="74">
      <x:c r="B74" s="12"/>
      <x:c r="C74" s="5"/>
      <x:c r="D74" s="5"/>
      <x:c r="E74" s="5"/>
      <x:c r="F74" s="5"/>
      <x:c r="G74" s="5"/>
      <x:c r="H74" s="21"/>
    </x:row>
    <x:row r="75">
      <x:c r="B75" s="12" t="s">
        <x:v>433</x:v>
      </x:c>
      <x:c r="C75" s="5" t="s">
        <x:v>358</x:v>
      </x:c>
      <x:c r="D75" s="5"/>
      <x:c r="E75" s="5"/>
      <x:c r="F75" s="5"/>
      <x:c r="G75" s="5"/>
      <x:c r="H75" s="21"/>
    </x:row>
    <x:row r="76">
      <x:c r="B76" s="12" t="s">
        <x:v>434</x:v>
      </x:c>
      <x:c r="C76" s="5" t="s">
        <x:v>356</x:v>
      </x:c>
      <x:c r="D76" s="5"/>
      <x:c r="E76" s="5"/>
      <x:c r="F76" s="5"/>
      <x:c r="G76" s="5"/>
      <x:c r="H76" s="21"/>
    </x:row>
    <x:row r="77">
      <x:c r="B77" s="12" t="s">
        <x:v>435</x:v>
      </x:c>
      <x:c r="C77" s="18">
        <x:v>46289</x:v>
      </x:c>
      <x:c r="D77" s="5"/>
      <x:c r="E77" s="5"/>
      <x:c r="F77" s="5"/>
      <x:c r="G77" s="5"/>
      <x:c r="H77" s="21"/>
    </x:row>
    <x:row r="78">
      <x:c r="B78" s="12" t="s">
        <x:v>436</x:v>
      </x:c>
      <x:c r="C78" s="5" t="n">
        <x:f>C28</x:f>
        <x:v>4.35</x:v>
      </x:c>
      <x:c r="D78" s="5"/>
      <x:c r="E78" s="5"/>
      <x:c r="F78" s="5"/>
      <x:c r="G78" s="5"/>
      <x:c r="H78" s="21"/>
    </x:row>
    <x:row r="79">
      <x:c r="B79" s="12" t="s">
        <x:v>437</x:v>
      </x:c>
      <x:c r="C79" s="5" t="n">
        <x:f>C37</x:f>
        <x:v>3.91</x:v>
      </x:c>
      <x:c r="D79" s="5"/>
      <x:c r="E79" s="5"/>
      <x:c r="F79" s="5"/>
      <x:c r="G79" s="5"/>
      <x:c r="H79" s="21"/>
    </x:row>
    <x:row r="80">
      <x:c r="B80" s="12" t="s">
        <x:v>438</x:v>
      </x:c>
      <x:c r="C80" s="5" t="n">
        <x:f>C45</x:f>
        <x:v>629.85</x:v>
      </x:c>
      <x:c r="D80" s="5"/>
      <x:c r="E80" s="5"/>
      <x:c r="F80" s="5"/>
      <x:c r="G80" s="5"/>
      <x:c r="H80" s="21"/>
    </x:row>
    <x:row r="81">
      <x:c r="B81" s="12" t="s">
        <x:v>439</x:v>
      </x:c>
      <x:c r="C81" s="5" t="n">
        <x:f>C33</x:f>
        <x:v>16</x:v>
      </x:c>
      <x:c r="D81" s="5"/>
      <x:c r="E81" s="5"/>
      <x:c r="F81" s="5"/>
      <x:c r="G81" s="5"/>
      <x:c r="H81" s="21"/>
    </x:row>
    <x:row r="82">
      <x:c r="B82" s="12"/>
      <x:c r="C82" s="5"/>
      <x:c r="D82" s="5"/>
      <x:c r="E82" s="5"/>
      <x:c r="F82" s="5"/>
      <x:c r="G82" s="5"/>
      <x:c r="H82" s="21"/>
    </x:row>
    <x:row r="83">
      <x:c r="B83" s="47">
        <x:v>45808</x:v>
      </x:c>
      <x:c r="C83" s="18">
        <x:v>356.361</x:v>
      </x:c>
      <x:c r="D83" s="5"/>
      <x:c r="E83" s="5"/>
      <x:c r="F83" s="5"/>
      <x:c r="G83" s="5"/>
      <x:c r="H83" s="21"/>
    </x:row>
    <x:row r="84">
      <x:c r="B84" s="47">
        <x:v>45535</x:v>
      </x:c>
      <x:c r="C84" s="18">
        <x:v>422.979</x:v>
      </x:c>
      <x:c r="D84" s="5"/>
      <x:c r="E84" s="5"/>
      <x:c r="F84" s="5"/>
      <x:c r="G84" s="5"/>
      <x:c r="H84" s="21"/>
    </x:row>
    <x:row r="85">
      <x:c r="B85" s="12" t="s">
        <x:v>440</x:v>
      </x:c>
      <x:c r="C85" s="18">
        <x:v>2203.056</x:v>
      </x:c>
      <x:c r="D85" s="5"/>
      <x:c r="E85" s="5"/>
      <x:c r="F85" s="5"/>
      <x:c r="G85" s="5"/>
      <x:c r="H85" s="21"/>
    </x:row>
    <x:row r="86">
      <x:c r="B86" s="12" t="s">
        <x:v>441</x:v>
      </x:c>
      <x:c r="C86" s="18">
        <x:v>568.667</x:v>
      </x:c>
      <x:c r="D86" s="5"/>
      <x:c r="E86" s="5"/>
      <x:c r="F86" s="5"/>
      <x:c r="G86" s="5"/>
      <x:c r="H86" s="21"/>
    </x:row>
    <x:row r="87">
      <x:c r="B87" s="12" t="s">
        <x:v>442</x:v>
      </x:c>
      <x:c r="C87" s="18">
        <x:v>570.66</x:v>
      </x:c>
      <x:c r="D87" s="5"/>
      <x:c r="E87" s="5"/>
      <x:c r="F87" s="5"/>
      <x:c r="G87" s="5"/>
      <x:c r="H87" s="21"/>
    </x:row>
    <x:row r="88">
      <x:c r="B88" s="12" t="s">
        <x:v>443</x:v>
      </x:c>
      <x:c r="C88" s="18">
        <x:v>2370.9</x:v>
      </x:c>
      <x:c r="D88" s="5"/>
      <x:c r="E88" s="5"/>
      <x:c r="F88" s="5"/>
      <x:c r="G88" s="5"/>
      <x:c r="H88" s="21"/>
    </x:row>
    <x:row r="89">
      <x:c r="B89" s="12" t="s">
        <x:v>444</x:v>
      </x:c>
      <x:c r="C89" s="18">
        <x:v>380.501</x:v>
      </x:c>
      <x:c r="D89" s="5"/>
      <x:c r="E89" s="5"/>
      <x:c r="F89" s="5"/>
      <x:c r="G89" s="5"/>
      <x:c r="H89" s="21"/>
    </x:row>
    <x:row r="90">
      <x:c r="B90" s="12" t="s">
        <x:v>445</x:v>
      </x:c>
      <x:c r="C90" s="18">
        <x:v>145.741</x:v>
      </x:c>
      <x:c r="D90" s="5"/>
      <x:c r="E90" s="5"/>
      <x:c r="F90" s="5"/>
      <x:c r="G90" s="5"/>
      <x:c r="H90" s="21"/>
    </x:row>
    <x:row r="91">
      <x:c r="B91" s="12" t="s">
        <x:v>446</x:v>
      </x:c>
      <x:c r="C91" s="18">
        <x:v>59.278</x:v>
      </x:c>
      <x:c r="D91" s="5"/>
      <x:c r="E91" s="5"/>
      <x:c r="F91" s="5"/>
      <x:c r="G91" s="5"/>
      <x:c r="H91" s="21"/>
    </x:row>
    <x:row r="92">
      <x:c r="B92" s="12" t="s">
        <x:v>447</x:v>
      </x:c>
      <x:c r="C92" s="18">
        <x:v>367.242</x:v>
      </x:c>
      <x:c r="D92" s="5"/>
      <x:c r="E92" s="5"/>
      <x:c r="F92" s="5"/>
      <x:c r="G92" s="5"/>
      <x:c r="H92" s="21"/>
    </x:row>
    <x:row r="93">
      <x:c r="B93" s="12" t="s">
        <x:v>448</x:v>
      </x:c>
      <x:c r="C93" s="18">
        <x:v>143.725</x:v>
      </x:c>
      <x:c r="D93" s="5"/>
      <x:c r="E93" s="5"/>
      <x:c r="F93" s="5"/>
      <x:c r="G93" s="5"/>
      <x:c r="H93" s="21"/>
    </x:row>
    <x:row r="94">
      <x:c r="B94" s="12" t="s">
        <x:v>449</x:v>
      </x:c>
      <x:c r="C94" s="18">
        <x:v>57.7</x:v>
      </x:c>
      <x:c r="D94" s="5"/>
      <x:c r="E94" s="5"/>
      <x:c r="F94" s="5"/>
      <x:c r="G94" s="5"/>
      <x:c r="H94" s="21"/>
    </x:row>
    <x:row r="95">
      <x:c r="B95" s="12" t="s">
        <x:v>450</x:v>
      </x:c>
      <x:c r="C95" s="18">
        <x:v>369.661</x:v>
      </x:c>
      <x:c r="D95" s="5"/>
      <x:c r="E95" s="5"/>
      <x:c r="F95" s="5"/>
      <x:c r="G95" s="5"/>
      <x:c r="H95" s="21"/>
    </x:row>
    <x:row r="96">
      <x:c r="B96" s="12" t="s">
        <x:v>451</x:v>
      </x:c>
      <x:c r="C96" s="18">
        <x:v>143.387</x:v>
      </x:c>
      <x:c r="D96" s="5"/>
      <x:c r="E96" s="5"/>
      <x:c r="F96" s="5"/>
      <x:c r="G96" s="5"/>
      <x:c r="H96" s="21"/>
    </x:row>
    <x:row r="97">
      <x:c r="B97" s="12" t="s">
        <x:v>452</x:v>
      </x:c>
      <x:c r="C97" s="18">
        <x:v>57.612</x:v>
      </x:c>
      <x:c r="D97" s="5"/>
      <x:c r="E97" s="5"/>
      <x:c r="F97" s="5"/>
      <x:c r="G97" s="5"/>
      <x:c r="H97" s="21"/>
    </x:row>
    <x:row r="98">
      <x:c r="B98" s="12" t="s">
        <x:v>453</x:v>
      </x:c>
      <x:c r="C98" s="18">
        <x:v>2335.1</x:v>
      </x:c>
      <x:c r="D98" s="5"/>
      <x:c r="E98" s="5"/>
      <x:c r="F98" s="5"/>
      <x:c r="G98" s="5"/>
      <x:c r="H98" s="21"/>
    </x:row>
    <x:row r="99">
      <x:c r="B99" s="12" t="s">
        <x:v>454</x:v>
      </x:c>
      <x:c r="C99" s="4" t="n">
        <x:f>'Revenue summary'!C29</x:f>
        <x:v>2405.6</x:v>
      </x:c>
      <x:c r="D99" s="5"/>
      <x:c r="E99" s="5"/>
      <x:c r="F99" s="5"/>
      <x:c r="G99" s="5"/>
      <x:c r="H99" s="21"/>
    </x:row>
    <x:row r="100">
      <x:c r="B100" s="12" t="s">
        <x:v>455</x:v>
      </x:c>
      <x:c r="C100" s="18">
        <x:v>11.16</x:v>
      </x:c>
      <x:c r="D100" s="5"/>
      <x:c r="E100" s="5"/>
      <x:c r="F100" s="5"/>
      <x:c r="G100" s="5"/>
      <x:c r="H100" s="21"/>
    </x:row>
    <x:row r="101">
      <x:c r="B101" s="12" t="s">
        <x:v>456</x:v>
      </x:c>
      <x:c r="C101" s="18">
        <x:v>412.354</x:v>
      </x:c>
      <x:c r="D101" s="5"/>
      <x:c r="E101" s="5"/>
      <x:c r="F101" s="5"/>
      <x:c r="G101" s="5"/>
      <x:c r="H101" s="21"/>
    </x:row>
    <x:row r="102">
      <x:c r="B102" s="12" t="s">
        <x:v>457</x:v>
      </x:c>
      <x:c r="C102" s="46">
        <x:v>1464.5</x:v>
      </x:c>
    </x:row>
    <x:row r="103">
      <x:c r="B103" s="12" t="s">
        <x:v>458</x:v>
      </x:c>
      <x:c r="C103" s="46">
        <x:v>572.4</x:v>
      </x:c>
    </x:row>
    <x:row r="104">
      <x:c r="B104" s="12" t="s">
        <x:v>459</x:v>
      </x:c>
      <x:c r="C104" s="46">
        <x:v>229</x:v>
      </x:c>
    </x:row>
    <x:row r="105">
      <x:c r="B105" s="12" t="s">
        <x:v>460</x:v>
      </x:c>
      <x:c r="C105" s="46">
        <x:v>1501.1</x:v>
      </x:c>
    </x:row>
    <x:row r="106">
      <x:c r="B106" s="12" t="s">
        <x:v>461</x:v>
      </x:c>
      <x:c r="C106" s="46">
        <x:v>571.3</x:v>
      </x:c>
    </x:row>
    <x:row r="107">
      <x:c r="B107" s="12" t="s">
        <x:v>462</x:v>
      </x:c>
      <x:c r="C107" s="46">
        <x:v>233.7</x:v>
      </x:c>
    </x:row>
    <x:row r="108">
      <x:c r="B108" s="12" t="s">
        <x:v>463</x:v>
      </x:c>
      <x:c r="C108" s="46">
        <x:v>1724.847</x:v>
      </x:c>
    </x:row>
    <x:row r="109">
      <x:c r="B109" s="12" t="s">
        <x:v>464</x:v>
      </x:c>
      <x:c r="C109" s="46">
        <x:v>809.112</x:v>
      </x:c>
    </x:row>
    <x:row r="110">
      <x:c r="B110" s="12" t="s">
        <x:v>465</x:v>
      </x:c>
      <x:c r="C110" s="12" t="n">
        <x:f>C108-C109</x:f>
        <x:v>915.735</x:v>
      </x:c>
    </x:row>
    <x:row r="111">
      <x:c r="B111" s="12" t="s">
        <x:v>466</x:v>
      </x:c>
      <x:c r="C111" s="46">
        <x:v>4</x:v>
      </x:c>
    </x:row>
    <x:row r="112">
      <x:c r="B112" s="12" t="s">
        <x:v>467</x:v>
      </x:c>
      <x:c r="C112" s="46">
        <x:v>38.517</x:v>
      </x:c>
    </x:row>
    <x:row r="113">
      <x:c r="B113" s="12" t="s">
        <x:v>468</x:v>
      </x:c>
      <x:c r="C113" s="46">
        <x:v>38.618</x:v>
      </x:c>
    </x:row>
    <x:row r="114">
      <x:c r="B114" s="12" t="s">
        <x:v>469</x:v>
      </x:c>
      <x:c r="C114" s="46">
        <x:v>38.517</x:v>
      </x:c>
    </x:row>
    <x:row r="115">
      <x:c r="B115" s="12" t="s">
        <x:v>470</x:v>
      </x:c>
      <x:c r="C115" s="46">
        <x:v>38.51</x:v>
      </x:c>
    </x:row>
    <x:row r="116">
      <x:c r="B116" s="12" t="s">
        <x:v>471</x:v>
      </x:c>
      <x:c r="C116" s="46">
        <x:v>38.344</x:v>
      </x:c>
    </x:row>
    <x:row r="117">
      <x:c r="B117" s="12"/>
      <x:c r="C117" s="12"/>
    </x:row>
    <x:row r="118">
      <x:c r="B118" s="12"/>
      <x:c r="C118" s="12"/>
    </x:row>
    <x:row r="119">
      <x:c r="B119" s="12"/>
      <x:c r="C119" s="12"/>
    </x:row>
    <x:row r="120">
      <x:c r="B120" s="12" t="s">
        <x:v>472</x:v>
      </x:c>
      <x:c r="C120" s="46">
        <x:v>120</x:v>
      </x:c>
    </x:row>
    <x:row r="121">
      <x:c r="B121" s="12" t="s">
        <x:v>473</x:v>
      </x:c>
      <x:c r="C121" s="46">
        <x:v>2500</x:v>
      </x:c>
    </x:row>
    <x:row r="125">
      <x:c r="B125" s="12" t="s">
        <x:v>474</x:v>
      </x:c>
      <x:c r="C125" s="12">
        <x:v>8811</x:v>
      </x:c>
    </x:row>
    <x:row r="126">
      <x:c r="B126" s="12" t="s">
        <x:v>475</x:v>
      </x:c>
      <x:c r="C126" s="12">
        <x:v>220496</x:v>
      </x:c>
    </x:row>
  </x:sheetData>
  <x:pageMargins left="0.7" right="0.7" top="0.75" bottom="0.75" header="0.3" footer="0.3"/>
</x:worksheet>
</file>