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4f3cf17e5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49390fb8b1304d40"/>
    <x:sheet xmlns:r="http://schemas.openxmlformats.org/officeDocument/2006/relationships" name="Revenue summary" sheetId="2" r:id="Ree7af7d2420b4cc1"/>
    <x:sheet xmlns:r="http://schemas.openxmlformats.org/officeDocument/2006/relationships" name="Income Statement" sheetId="3" r:id="Rfb0871b095dd4d44"/>
    <x:sheet xmlns:r="http://schemas.openxmlformats.org/officeDocument/2006/relationships" name="Balance Sheet" sheetId="4" r:id="R2b47fc476da441eb"/>
    <x:sheet xmlns:r="http://schemas.openxmlformats.org/officeDocument/2006/relationships" name="Cash Flow Statement" sheetId="5" r:id="R64d6b83c7dc24e69"/>
    <x:sheet xmlns:r="http://schemas.openxmlformats.org/officeDocument/2006/relationships" name="Share Count" sheetId="6" r:id="R0039a1e33cc34141"/>
    <x:sheet xmlns:r="http://schemas.openxmlformats.org/officeDocument/2006/relationships" name="Guidance" sheetId="7" r:id="R359fdf7ab8a345dd"/>
    <x:sheet xmlns:r="http://schemas.openxmlformats.org/officeDocument/2006/relationships" name="Sources" sheetId="8" r:id="R16db161e7abe4137"/>
    <x:sheet xmlns:r="http://schemas.openxmlformats.org/officeDocument/2006/relationships" name="Inputs" sheetId="9" r:id="R60e73a4e46b34af3"/>
  </x:sheets>
</x:workbook>
</file>

<file path=xl/sharedStrings.xml><?xml version="1.0" encoding="utf-8"?>
<x:sst xmlns:x="http://schemas.openxmlformats.org/spreadsheetml/2006/main">
  <x:si>
    <x:t xml:space="preserve">CONCENTRIX CORPORATION</x:t>
  </x:si>
  <x:si>
    <x:t xml:space="preserve">Company Model — built by Shortcut</x:t>
  </x:si>
  <x:si>
    <x:t xml:space="preserve">$ millions, except per share</x:t>
  </x:si>
  <x:si>
    <x:t xml:space="preserve">Period</x:t>
  </x:si>
  <x:si>
    <x:t xml:space="preserve">3Q25A</x:t>
  </x:si>
  <x:si>
    <x:t xml:space="preserve">4Q25A</x:t>
  </x:si>
  <x:si>
    <x:t xml:space="preserve">FY25A</x:t>
  </x:si>
  <x:si>
    <x:t xml:space="preserve">1Q26A</x:t>
  </x:si>
  <x:si>
    <x:t xml:space="preserve">2Q26A</x:t>
  </x:si>
  <x:si>
    <x:t xml:space="preserve">3Q26E</x:t>
  </x:si>
  <x:si>
    <x:t xml:space="preserve">Period end</x:t>
  </x:si>
  <x:si>
    <x:t xml:space="preserve">Days in period</x:t>
  </x:si>
  <x:si>
    <x:t xml:space="preserve">Ticker</x:t>
  </x:si>
  <x:si>
    <x:t xml:space="preserve">Exchange</x:t>
  </x:si>
  <x:si>
    <x:t xml:space="preserve">NasdaqGS</x:t>
  </x:si>
  <x:si>
    <x:t xml:space="preserve">Fiscal year-end</x:t>
  </x:si>
  <x:si>
    <x:t xml:space="preserve">Currency</x:t>
  </x:si>
  <x:si>
    <x:t xml:space="preserve">USD</x:t>
  </x:si>
  <x:si>
    <x:t xml:space="preserve">EPS basis</x:t>
  </x:si>
  <x:si>
    <x:t xml:space="preserve">Non-GAAP diluted USD per common share</x:t>
  </x:si>
  <x:si>
    <x:t xml:space="preserve">Issuer segment count</x:t>
  </x:si>
  <x:si>
    <x:t xml:space="preserve">One operating segment; six industry verticals</x:t>
  </x:si>
  <x:si>
    <x:t xml:space="preserve">Information cutoff UTC</x:t>
  </x:si>
  <x:si>
    <x:t xml:space="preserve">2026-09-29 16:49:46</x:t>
  </x:si>
  <x:si>
    <x:t xml:space="preserve">Expected report date</x:t>
  </x:si>
  <x:si>
    <x:t xml:space="preserve">Headline metric</x:t>
  </x:si>
  <x:si>
    <x:t xml:space="preserve">ESTIMATE</x:t>
  </x:si>
  <x:si>
    <x:t xml:space="preserve">GUIDE MID</x:t>
  </x:si>
  <x:si>
    <x:t xml:space="preserve">Δ STREET</x:t>
  </x:si>
  <x:si>
    <x:t xml:space="preserve">% VS STREET</x:t>
  </x:si>
  <x:si>
    <x:t xml:space="preserve">Revenue (USD m)</x:t>
  </x:si>
  <x:si>
    <x:t xml:space="preserve">Non-GAAP NI to common (USD m)</x:t>
  </x:si>
  <x:si>
    <x:t xml:space="preserve">unavailable</x:t>
  </x:si>
  <x:si>
    <x:t xml:space="preserve">Comparable NI-to-common Street estimate unavailable. EPS x guided diluted shares derives NI guidance implied, not management-issued dollar guidance.</x:t>
  </x:si>
  <x:si>
    <x:t xml:space="preserve">Non-GAAP diluted EPS</x:t>
  </x:si>
  <x:si>
    <x:t xml:space="preserve">GAAP net income (USD m)</x:t>
  </x:si>
  <x:si>
    <x:t xml:space="preserve">not guided</x:t>
  </x:si>
  <x:si>
    <x:t xml:space="preserve">Issuer gives operating-income and normalized EPS guidance, not GAAP net-income or GAAP EPS guidance.</x:t>
  </x:si>
  <x:si>
    <x:t xml:space="preserve">GAAP diluted EPS</x:t>
  </x:si>
  <x:si>
    <x:t xml:space="preserve">P(beat consensus EPS)</x:t>
  </x:si>
  <x:si>
    <x:t xml:space="preserve">Confidence</x:t>
  </x:si>
  <x:si>
    <x:t xml:space="preserve">Check: Cover = statements</x:t>
  </x:si>
  <x:si>
    <x:t xml:space="preserve">Check: probability / confidence tie</x:t>
  </x:si>
  <x:si>
    <x:t xml:space="preserve">Revenue summary</x:t>
  </x:si>
  <x:si>
    <x:t xml:space="preserve">Single operating segment | revenue by six disclosed industry verticals</x:t>
  </x:si>
  <x:si>
    <x:t xml:space="preserve">Vertical FX/M&amp;A not disclosed; modeled zero is a decomposition convention, NOT evidence of observed zero. Q3 forecast allocates company-wide guided -0.75% FX uniformly.</x:t>
  </x:si>
  <x:si>
    <x:t xml:space="preserve">Technology and consumer electronics</x:t>
  </x:si>
  <x:si>
    <x:t xml:space="preserve">  % Y/Y</x:t>
  </x:si>
  <x:si>
    <x:t xml:space="preserve">  % Q/Q</x:t>
  </x:si>
  <x:si>
    <x:t xml:space="preserve">  % of total</x:t>
  </x:si>
  <x:si>
    <x:t xml:space="preserve">  M&amp;A / scope</x:t>
  </x:si>
  <x:si>
    <x:t xml:space="preserve">  FX impact</x:t>
  </x:si>
  <x:si>
    <x:t xml:space="preserve">  Total Y/Y</x:t>
  </x:si>
  <x:si>
    <x:t xml:space="preserve">Retail, travel and e-commerce</x:t>
  </x:si>
  <x:si>
    <x:t xml:space="preserve">Communications and media</x:t>
  </x:si>
  <x:si>
    <x:t xml:space="preserve">Banking, financial services and insurance</x:t>
  </x:si>
  <x:si>
    <x:t xml:space="preserve">Healthcare</x:t>
  </x:si>
  <x:si>
    <x:t xml:space="preserve">Other</x:t>
  </x:si>
  <x:si>
    <x:t xml:space="preserve">TOTAL REVENUE</x:t>
  </x:si>
  <x:si>
    <x:t xml:space="preserve">  Organic growth Y/Y</x:t>
  </x:si>
  <x:si>
    <x:t xml:space="preserve">  Total reported Y/Y</x:t>
  </x:si>
  <x:si>
    <x:t xml:space="preserve">Check: verticals - reported actual = 0</x:t>
  </x:si>
  <x:si>
    <x:t xml:space="preserve">Check: forecast within issuer revenue guidance</x:t>
  </x:si>
  <x:si>
    <x:t xml:space="preserve">Service volume and realized price: unavailable</x:t>
  </x:si>
  <x:si>
    <x:t xml:space="preserve">Actual billed transactions, paid advisor hours, hourly rate and customer-unit ladders unavailable in FY25 10-K / 2Q26 10-Q.</x:t>
  </x:si>
  <x:si>
    <x:t xml:space="preserve">FY25 non-US operations revenue (not customer geography)</x:t>
  </x:si>
  <x:si>
    <x:t xml:space="preserve">Geographic revenue by customer billing location: unavailable in FY25 10-K and 2Q26 10-Q</x:t>
  </x:si>
  <x:si>
    <x:t xml:space="preserve">Vertical rate movements vs prior quarter (basis points)</x:t>
  </x:si>
  <x:si>
    <x:t xml:space="preserve">  Technology / electronics revenue mix Δ Q/Q (bp)</x:t>
  </x:si>
  <x:si>
    <x:t xml:space="preserve">  Technology / electronics organic Y/Y Δ Q/Q (bp)</x:t>
  </x:si>
  <x:si>
    <x:t xml:space="preserve">  Technology / electronics total Y/Y Δ Q/Q (bp)</x:t>
  </x:si>
  <x:si>
    <x:t xml:space="preserve">  Retail / travel / e-commerce revenue mix Δ Q/Q (bp)</x:t>
  </x:si>
  <x:si>
    <x:t xml:space="preserve">  Retail / travel / e-commerce organic Y/Y Δ Q/Q (bp)</x:t>
  </x:si>
  <x:si>
    <x:t xml:space="preserve">  Retail / travel / e-commerce total Y/Y Δ Q/Q (bp)</x:t>
  </x:si>
  <x:si>
    <x:t xml:space="preserve">  Communications / media revenue mix Δ Q/Q (bp)</x:t>
  </x:si>
  <x:si>
    <x:t xml:space="preserve">  Communications / media organic Y/Y Δ Q/Q (bp)</x:t>
  </x:si>
  <x:si>
    <x:t xml:space="preserve">  Communications / media total Y/Y Δ Q/Q (bp)</x:t>
  </x:si>
  <x:si>
    <x:t xml:space="preserve">  Financial services revenue mix Δ Q/Q (bp)</x:t>
  </x:si>
  <x:si>
    <x:t xml:space="preserve">  Financial services organic Y/Y Δ Q/Q (bp)</x:t>
  </x:si>
  <x:si>
    <x:t xml:space="preserve">  Financial services total Y/Y Δ Q/Q (bp)</x:t>
  </x:si>
  <x:si>
    <x:t xml:space="preserve">  Healthcare revenue mix Δ Q/Q (bp)</x:t>
  </x:si>
  <x:si>
    <x:t xml:space="preserve">  Healthcare organic Y/Y Δ Q/Q (bp)</x:t>
  </x:si>
  <x:si>
    <x:t xml:space="preserve">  Healthcare total Y/Y Δ Q/Q (bp)</x:t>
  </x:si>
  <x:si>
    <x:t xml:space="preserve">  Other revenue mix Δ Q/Q (bp)</x:t>
  </x:si>
  <x:si>
    <x:t xml:space="preserve">  Other organic Y/Y Δ Q/Q (bp)</x:t>
  </x:si>
  <x:si>
    <x:t xml:space="preserve">  Other total Y/Y Δ Q/Q (bp)</x:t>
  </x:si>
  <x:si>
    <x:t xml:space="preserve">Sequential change in revenue by industry vertical (USD m)</x:t>
  </x:si>
  <x:si>
    <x:t xml:space="preserve">  Technology / electronics revenue Δ Q/Q (USD m)</x:t>
  </x:si>
  <x:si>
    <x:t xml:space="preserve">  Retail / travel / e-commerce revenue Δ Q/Q (USD m)</x:t>
  </x:si>
  <x:si>
    <x:t xml:space="preserve">  Communications / media revenue Δ Q/Q (USD m)</x:t>
  </x:si>
  <x:si>
    <x:t xml:space="preserve">  Financial services revenue Δ Q/Q (USD m)</x:t>
  </x:si>
  <x:si>
    <x:t xml:space="preserve">  Healthcare revenue Δ Q/Q (USD m)</x:t>
  </x:si>
  <x:si>
    <x:t xml:space="preserve">  Other revenue Δ Q/Q (USD m)</x:t>
  </x:si>
  <x:si>
    <x:t xml:space="preserve">Income Statement</x:t>
  </x:si>
  <x:si>
    <x:t xml:space="preserve">Reported GAAP operations</x:t>
  </x:si>
  <x:si>
    <x:t xml:space="preserve">Revenue</x:t>
  </x:si>
  <x:si>
    <x:t xml:space="preserve">  Revenue % Y/Y</x:t>
  </x:si>
  <x:si>
    <x:t xml:space="preserve">Cost of revenue</x:t>
  </x:si>
  <x:si>
    <x:t xml:space="preserve">GROSS PROFIT</x:t>
  </x:si>
  <x:si>
    <x:t xml:space="preserve">  Gross margin</x:t>
  </x:si>
  <x:si>
    <x:t xml:space="preserve">  Gross margin Δ Y/Y (bp)</x:t>
  </x:si>
  <x:si>
    <x:t xml:space="preserve">Selling, general &amp; administrative</x:t>
  </x:si>
  <x:si>
    <x:t xml:space="preserve">Impairment charges</x:t>
  </x:si>
  <x:si>
    <x:t xml:space="preserve">OPERATING INCOME</x:t>
  </x:si>
  <x:si>
    <x:t xml:space="preserve">  Operating margin</x:t>
  </x:si>
  <x:si>
    <x:t xml:space="preserve">Interest and finance expense, net</x:t>
  </x:si>
  <x:si>
    <x:t xml:space="preserve">Other expense (income), net</x:t>
  </x:si>
  <x:si>
    <x:t xml:space="preserve">Income before taxes</x:t>
  </x:si>
  <x:si>
    <x:t xml:space="preserve">GAAP NET INCOME</x:t>
  </x:si>
  <x:si>
    <x:t xml:space="preserve">  Net margin</x:t>
  </x:si>
  <x:si>
    <x:t xml:space="preserve">Weighted-average basic shares (m)</x:t>
  </x:si>
  <x:si>
    <x:t xml:space="preserve">Weighted-average diluted shares (m)</x:t>
  </x:si>
  <x:si>
    <x:t xml:space="preserve">GAAP income attributable to common</x:t>
  </x:si>
  <x:si>
    <x:t xml:space="preserve">GAAP DILUTED EPS</x:t>
  </x:si>
  <x:si>
    <x:t xml:space="preserve">Acquisition / restructuring</x:t>
  </x:si>
  <x:si>
    <x:t xml:space="preserve">Amortization of intangibles</x:t>
  </x:si>
  <x:si>
    <x:t xml:space="preserve">Share-based compensation</x:t>
  </x:si>
  <x:si>
    <x:t xml:space="preserve">Step-up depreciation</x:t>
  </x:si>
  <x:si>
    <x:t xml:space="preserve">Impairment add-back</x:t>
  </x:si>
  <x:si>
    <x:t xml:space="preserve">Debt costs</x:t>
  </x:si>
  <x:si>
    <x:t xml:space="preserve">Seller note imputed interest</x:t>
  </x:si>
  <x:si>
    <x:t xml:space="preserve">Legal settlement costs</x:t>
  </x:si>
  <x:si>
    <x:t xml:space="preserve">Contingent consideration revaluation</x:t>
  </x:si>
  <x:si>
    <x:t xml:space="preserve">Foreign-exchange gains/losses</x:t>
  </x:si>
  <x:si>
    <x:t xml:space="preserve">Loss on held for sale</x:t>
  </x:si>
  <x:si>
    <x:t xml:space="preserve">Tax effect of adjustments</x:t>
  </x:si>
  <x:si>
    <x:t xml:space="preserve">Income tax law change</x:t>
  </x:si>
  <x:si>
    <x:t xml:space="preserve">Legal entity restructuring tax</x:t>
  </x:si>
  <x:si>
    <x:t xml:space="preserve">NON-GAAP NET INCOME</x:t>
  </x:si>
  <x:si>
    <x:t xml:space="preserve">Less: allocated participating securities</x:t>
  </x:si>
  <x:si>
    <x:t xml:space="preserve">NON-GAAP NET INCOME TO COMMON</x:t>
  </x:si>
  <x:si>
    <x:t xml:space="preserve">NORMALIZED DILUTED EPS</x:t>
  </x:si>
  <x:si>
    <x:t xml:space="preserve">Check: normalized NI common / shares - EPS</x:t>
  </x:si>
  <x:si>
    <x:t xml:space="preserve">NON-GAAP OPERATING INCOME</x:t>
  </x:si>
  <x:si>
    <x:t xml:space="preserve">  Non-GAAP operating margin</x:t>
  </x:si>
  <x:si>
    <x:t xml:space="preserve">  Normalized EPS % Y/Y</x:t>
  </x:si>
  <x:si>
    <x:t xml:space="preserve">Check: GAAP net income vs reported</x:t>
  </x:si>
  <x:si>
    <x:t xml:space="preserve">Check: bridge adjusted net income vs reported</x:t>
  </x:si>
  <x:si>
    <x:t xml:space="preserve">Check: GAAP EPS attributed / shares</x:t>
  </x:si>
  <x:si>
    <x:t xml:space="preserve">Balance Sheet</x:t>
  </x:si>
  <x:si>
    <x:t xml:space="preserve">Balance sheet | FY25 and 4Q25 same balance date</x:t>
  </x:si>
  <x:si>
    <x:t xml:space="preserve">Cash and cash equivalents</x:t>
  </x:si>
  <x:si>
    <x:t xml:space="preserve">Accounts receivable, net</x:t>
  </x:si>
  <x:si>
    <x:t xml:space="preserve">Assets held for sale</x:t>
  </x:si>
  <x:si>
    <x:t xml:space="preserve">Other current assets</x:t>
  </x:si>
  <x:si>
    <x:t xml:space="preserve">TOTAL CURRENT ASSETS</x:t>
  </x:si>
  <x:si>
    <x:t xml:space="preserve">Property and equipment, net</x:t>
  </x:si>
  <x:si>
    <x:t xml:space="preserve">Goodwill</x:t>
  </x:si>
  <x:si>
    <x:t xml:space="preserve">Intangible assets, net</x:t>
  </x:si>
  <x:si>
    <x:t xml:space="preserve">Deferred tax assets</x:t>
  </x:si>
  <x:si>
    <x:t xml:space="preserve">Other noncurrent assets</x:t>
  </x:si>
  <x:si>
    <x:t xml:space="preserve">TOTAL ASSETS</x:t>
  </x:si>
  <x:si>
    <x:t xml:space="preserve">Accounts payable</x:t>
  </x:si>
  <x:si>
    <x:t xml:space="preserve">Current portion long-term debt</x:t>
  </x:si>
  <x:si>
    <x:t xml:space="preserve">Accrued compensation</x:t>
  </x:si>
  <x:si>
    <x:t xml:space="preserve">Other accrued liabilities</x:t>
  </x:si>
  <x:si>
    <x:t xml:space="preserve">Income taxes payable</x:t>
  </x:si>
  <x:si>
    <x:t xml:space="preserve">Liabilities held for sale</x:t>
  </x:si>
  <x:si>
    <x:t xml:space="preserve">TOTAL CURRENT LIABILITIES</x:t>
  </x:si>
  <x:si>
    <x:t xml:space="preserve">Long-term debt, net</x:t>
  </x:si>
  <x:si>
    <x:t xml:space="preserve">Other long-term liabilities</x:t>
  </x:si>
  <x:si>
    <x:t xml:space="preserve">Deferred tax liabilities</x:t>
  </x:si>
  <x:si>
    <x:t xml:space="preserve">TOTAL LIABILITIES</x:t>
  </x:si>
  <x:si>
    <x:t xml:space="preserve">Common stock, par value</x:t>
  </x:si>
  <x:si>
    <x:t xml:space="preserve">Additional paid-in capital</x:t>
  </x:si>
  <x:si>
    <x:t xml:space="preserve">Treasury stock</x:t>
  </x:si>
  <x:si>
    <x:t xml:space="preserve">Retained earnings (deficit)</x:t>
  </x:si>
  <x:si>
    <x:t xml:space="preserve">Accumulated other comprehensive loss</x:t>
  </x:si>
  <x:si>
    <x:t xml:space="preserve">STOCKHOLDERS’ EQUITY</x:t>
  </x:si>
  <x:si>
    <x:t xml:space="preserve">Total liabilities and equity</x:t>
  </x:si>
  <x:si>
    <x:t xml:space="preserve">CHECK: ASSETS - LIABILITIES - EQUITY</x:t>
  </x:si>
  <x:si>
    <x:t xml:space="preserve">Check: reported assets (historical)</x:t>
  </x:si>
  <x:si>
    <x:t xml:space="preserve">Check: reported liabilities and equity (historical)</x:t>
  </x:si>
  <x:si>
    <x:t xml:space="preserve">Cash Flow Statement</x:t>
  </x:si>
  <x:si>
    <x:t xml:space="preserve">CASH FROM OPERATING ACTIVITIES</x:t>
  </x:si>
  <x:si>
    <x:t xml:space="preserve">Cash from investing activities</x:t>
  </x:si>
  <x:si>
    <x:t xml:space="preserve">Cash from financing activities</x:t>
  </x:si>
  <x:si>
    <x:t xml:space="preserve">FX on cash and restricted cash</x:t>
  </x:si>
  <x:si>
    <x:t xml:space="preserve">CHANGE IN TOTAL CASH / RESTRICTED</x:t>
  </x:si>
  <x:si>
    <x:t xml:space="preserve">Restricted / held-for-sale cash, ending</x:t>
  </x:si>
  <x:si>
    <x:t xml:space="preserve">Cash + restricted, beginning</x:t>
  </x:si>
  <x:si>
    <x:t xml:space="preserve">CASH + RESTRICTED, ENDING</x:t>
  </x:si>
  <x:si>
    <x:t xml:space="preserve">Balance-sheet cash / unrestricted</x:t>
  </x:si>
  <x:si>
    <x:t xml:space="preserve">Check: total cash - restricted - BS cash</x:t>
  </x:si>
  <x:si>
    <x:t xml:space="preserve">Capital expenditures (negative)</x:t>
  </x:si>
  <x:si>
    <x:t xml:space="preserve">  Free cash flow (unadjusted)</x:t>
  </x:si>
  <x:si>
    <x:t xml:space="preserve">Forecast operating-cash-flow ladder</x:t>
  </x:si>
  <x:si>
    <x:t xml:space="preserve">  GAAP net income</x:t>
  </x:si>
  <x:si>
    <x:t xml:space="preserve">  Amortization of intangibles</x:t>
  </x:si>
  <x:si>
    <x:t xml:space="preserve">  Share-based compensation</x:t>
  </x:si>
  <x:si>
    <x:t xml:space="preserve">  Depreciation</x:t>
  </x:si>
  <x:si>
    <x:t xml:space="preserve">  Working capital and other movements</x:t>
  </x:si>
  <x:si>
    <x:t xml:space="preserve">Check: forecast operating ladder</x:t>
  </x:si>
  <x:si>
    <x:t xml:space="preserve">Cash and restricted-cash presentation</x:t>
  </x:si>
  <x:si>
    <x:t xml:space="preserve">Source: issuer cash flow includes restricted and held-for-sale cash; not just balance-sheet cash</x:t>
  </x:si>
  <x:si>
    <x:t xml:space="preserve">Share Count</x:t>
  </x:si>
  <x:si>
    <x:t xml:space="preserve">Issued / treasury shares and weighted shares</x:t>
  </x:si>
  <x:si>
    <x:t xml:space="preserve">Opening common shares outstanding (m)</x:t>
  </x:si>
  <x:si>
    <x:t xml:space="preserve">Gross issuance during period (m)</x:t>
  </x:si>
  <x:si>
    <x:t xml:space="preserve">Treasury repurchases / withholding (m)</x:t>
  </x:si>
  <x:si>
    <x:t xml:space="preserve">CLOSING SHARES OUTSTANDING (m)</x:t>
  </x:si>
  <x:si>
    <x:t xml:space="preserve">Dilutive awards (m)</x:t>
  </x:si>
  <x:si>
    <x:t xml:space="preserve">EPS DENOMINATOR (m)</x:t>
  </x:si>
  <x:si>
    <x:t xml:space="preserve">Check: closing shares = issued - treasury (m)</x:t>
  </x:si>
  <x:si>
    <x:t xml:space="preserve">Driver movements, absolute shares / USD m</x:t>
  </x:si>
  <x:si>
    <x:t xml:space="preserve">  Opening shares Δ Q/Q</x:t>
  </x:si>
  <x:si>
    <x:t xml:space="preserve">  Opening shares Δ Y/Y</x:t>
  </x:si>
  <x:si>
    <x:t xml:space="preserve">  Gross issuance Δ Q/Q</x:t>
  </x:si>
  <x:si>
    <x:t xml:space="preserve">  Gross issuance Δ Y/Y</x:t>
  </x:si>
  <x:si>
    <x:t xml:space="preserve">  Repurchases / withholding Δ Q/Q</x:t>
  </x:si>
  <x:si>
    <x:t xml:space="preserve">  Repurchases / withholding Δ Y/Y</x:t>
  </x:si>
  <x:si>
    <x:t xml:space="preserve">  Closing shares Δ Q/Q</x:t>
  </x:si>
  <x:si>
    <x:t xml:space="preserve">  Closing shares Δ Y/Y</x:t>
  </x:si>
  <x:si>
    <x:t xml:space="preserve">  Weighted basic shares Δ Q/Q</x:t>
  </x:si>
  <x:si>
    <x:t xml:space="preserve">  Weighted basic shares Δ Y/Y</x:t>
  </x:si>
  <x:si>
    <x:t xml:space="preserve">  Weighted diluted shares Δ Q/Q</x:t>
  </x:si>
  <x:si>
    <x:t xml:space="preserve">  Weighted diluted shares Δ Y/Y</x:t>
  </x:si>
  <x:si>
    <x:t xml:space="preserve">  Repurchase spend Δ Q/Q</x:t>
  </x:si>
  <x:si>
    <x:t xml:space="preserve">  Repurchase spend Δ Y/Y</x:t>
  </x:si>
  <x:si>
    <x:t xml:space="preserve">Shares per share forecast: weighted-average diluted = management guidance</x:t>
  </x:si>
  <x:si>
    <x:t xml:space="preserve">Guidance</x:t>
  </x:si>
  <x:si>
    <x:t xml:space="preserve">Published</x:t>
  </x:si>
  <x:si>
    <x:t xml:space="preserve">For period</x:t>
  </x:si>
  <x:si>
    <x:t xml:space="preserve">Metric</x:t>
  </x:si>
  <x:si>
    <x:t xml:space="preserve">Low</x:t>
  </x:si>
  <x:si>
    <x:t xml:space="preserve">High</x:t>
  </x:si>
  <x:si>
    <x:t xml:space="preserve">MIDPOINT</x:t>
  </x:si>
  <x:si>
    <x:t xml:space="preserve">Actual / estimate</x:t>
  </x:si>
  <x:si>
    <x:t xml:space="preserve">Beat / miss</x:t>
  </x:si>
  <x:si>
    <x:t xml:space="preserve">Sources</x:t>
  </x:si>
  <x:si>
    <x:t xml:space="preserve">Source ID</x:t>
  </x:si>
  <x:si>
    <x:t xml:space="preserve">Publication date</x:t>
  </x:si>
  <x:si>
    <x:t xml:space="preserve">Publisher</x:t>
  </x:si>
  <x:si>
    <x:t xml:space="preserve">URL / input file</x:t>
  </x:si>
  <x:si>
    <x:t xml:space="preserve">What this feeds</x:t>
  </x:si>
  <x:si>
    <x:t xml:space="preserve">SEC-Q325</x:t>
  </x:si>
  <x:si>
    <x:t xml:space="preserve">SEC / 10-Q</x:t>
  </x:si>
  <x:si>
    <x:t xml:space="preserve">https://www.sec.gov/Archives/edgar/data/1803599/000180359925000147/cnxc-20250831.htm</x:t>
  </x:si>
  <x:si>
    <x:t xml:space="preserve">3Q25 balance sheet; 9m cash flows and vertical comparatives</x:t>
  </x:si>
  <x:si>
    <x:t xml:space="preserve">RELEASE-Q325</x:t>
  </x:si>
  <x:si>
    <x:t xml:space="preserve">Concentrix / SEC</x:t>
  </x:si>
  <x:si>
    <x:t xml:space="preserve">https://www.sec.gov/Archives/edgar/data/1803599/000180359925000143/exhibit991q32025.htm</x:t>
  </x:si>
  <x:si>
    <x:t xml:space="preserve">3Q25 GAAP and non-GAAP history; 4Q25 guide</x:t>
  </x:si>
  <x:si>
    <x:t xml:space="preserve">SEC-FY25</x:t>
  </x:si>
  <x:si>
    <x:t xml:space="preserve">SEC / Form 10-K</x:t>
  </x:si>
  <x:si>
    <x:t xml:space="preserve">https://www.sec.gov/Archives/edgar/data/1803599/000180359926000027/cnxc-20251130.htm</x:t>
  </x:si>
  <x:si>
    <x:t xml:space="preserve">FY25 reporting, single segment, 89% non-US operations</x:t>
  </x:si>
  <x:si>
    <x:t xml:space="preserve">SEC-FY25-CF</x:t>
  </x:si>
  <x:si>
    <x:t xml:space="preserve">SEC / cash flow</x:t>
  </x:si>
  <x:si>
    <x:t xml:space="preserve">https://www.sec.gov/Archives/edgar/data/1803599/000180359926000027/R9.htm</x:t>
  </x:si>
  <x:si>
    <x:t xml:space="preserve">FY25 cash flow and prior year opening cash</x:t>
  </x:si>
  <x:si>
    <x:t xml:space="preserve">RELEASE-Q425</x:t>
  </x:si>
  <x:si>
    <x:t xml:space="preserve">https://www.sec.gov/Archives/edgar/data/1803599/000180359926000003/exhibit991q42025.htm</x:t>
  </x:si>
  <x:si>
    <x:t xml:space="preserve">4Q25 / FY25 results; impairment; Q1 guidance</x:t>
  </x:si>
  <x:si>
    <x:t xml:space="preserve">SEC-Q126</x:t>
  </x:si>
  <x:si>
    <x:t xml:space="preserve">https://www.sec.gov/Archives/edgar/data/1803599/000180359926000122/cnxc-20260228.htm</x:t>
  </x:si>
  <x:si>
    <x:t xml:space="preserve">1Q26 balance sheet, cash and restricted amounts</x:t>
  </x:si>
  <x:si>
    <x:t xml:space="preserve">RELEASE-Q126</x:t>
  </x:si>
  <x:si>
    <x:t xml:space="preserve">https://www.sec.gov/Archives/edgar/data/1803599/000180359926000084/exhibit991q12026.htm</x:t>
  </x:si>
  <x:si>
    <x:t xml:space="preserve">1Q26 operations and bridge; Q2 guidance</x:t>
  </x:si>
  <x:si>
    <x:t xml:space="preserve">SEC-Q226</x:t>
  </x:si>
  <x:si>
    <x:t xml:space="preserve">https://www.sec.gov/Archives/edgar/data/1803599/000180359926000136/cnxc-20260531.htm</x:t>
  </x:si>
  <x:si>
    <x:t xml:space="preserve">2Q26 GAAP BS, cash flow, one operating segment, vertical split</x:t>
  </x:si>
  <x:si>
    <x:t xml:space="preserve">RELEASE-Q226</x:t>
  </x:si>
  <x:si>
    <x:t xml:space="preserve">https://www.sec.gov/Archives/edgar/data/1803599/000180359926000133/exhibit991q22026.htm</x:t>
  </x:si>
  <x:si>
    <x:t xml:space="preserve">2Q26, Q3 2026 revenue/operating/EPS/adjustment guidance</x:t>
  </x:si>
  <x:si>
    <x:t xml:space="preserve">CALENDAR</x:t>
  </x:si>
  <x:si>
    <x:t xml:space="preserve">Concentrix</x:t>
  </x:si>
  <x:si>
    <x:t xml:space="preserve">https://www.globenewswire.com/news-release/2026/09/08/3357738/0/en/concentrix-schedules-release-of-third-quarter-2026-financial-results-and-investor-conference-call.html</x:t>
  </x:si>
  <x:si>
    <x:t xml:space="preserve">Report Sept 29 after close; no target-quarter actuals used</x:t>
  </x:si>
  <x:si>
    <x:t xml:space="preserve">REUTERS</x:t>
  </x:si>
  <x:si>
    <x:t xml:space="preserve">Reuters</x:t>
  </x:si>
  <x:si>
    <x:t xml:space="preserve">https://www.reuters.com/business/concentrix-cuts-annual-forecast-clients-trim-spend-shares-fall-2026-06-29/</x:t>
  </x:si>
  <x:si>
    <x:t xml:space="preserve">Client spending headwind; June guidance reduction</x:t>
  </x:si>
  <x:si>
    <x:t xml:space="preserve">PREVIEW</x:t>
  </x:si>
  <x:si>
    <x:t xml:space="preserve">StockStory</x:t>
  </x:si>
  <x:si>
    <x:t xml:space="preserve">https://stockstory.org/us/stocks/nasdaq/cnxc/news/earnings/concentrix-cnxc-q3-earnings-report-preview-what-to-look-for</x:t>
  </x:si>
  <x:si>
    <x:t xml:space="preserve">Analysts reconfirmed estimates; no new peer quarter reported</x:t>
  </x:si>
  <x:si>
    <x:t xml:space="preserve">ALT-EPS</x:t>
  </x:si>
  <x:si>
    <x:t xml:space="preserve">Earnings Whispers</x:t>
  </x:si>
  <x:si>
    <x:t xml:space="preserve">https://beta.earningswhispers.com/article/CNXC/20275</x:t>
  </x:si>
  <x:si>
    <x:t xml:space="preserve">Alternate-provider EPS $2.71; not frozen CapIQ baseline</x:t>
  </x:si>
  <x:si>
    <x:t xml:space="preserve">CAP-SIZE</x:t>
  </x:si>
  <x:si>
    <x:t xml:space="preserve">StockAnalysis / S&amp;P Global</x:t>
  </x:si>
  <x:si>
    <x:t xml:space="preserve">https://stockanalysis.com/stocks/cnxc/statistics/</x:t>
  </x:si>
  <x:si>
    <x:t xml:space="preserve">Market cap $1.65bn close Sept 25, small cap</x:t>
  </x:si>
  <x:si>
    <x:t xml:space="preserve">INDEX</x:t>
  </x:si>
  <x:si>
    <x:t xml:space="preserve">S&amp;P Dow Jones Indices</x:t>
  </x:si>
  <x:si>
    <x:t xml:space="preserve">https://press.spglobal.com/2026-06-05-Marvell-Technology-and-Flex-Set-to-Join-S-P-500-Others-to-Join-S-P-MidCap-400-and-S-P-SmallCap-600</x:t>
  </x:si>
  <x:si>
    <x:t xml:space="preserve">Moved to S&amp;P SmallCap 600 June 22; not S&amp;P 500</x:t>
  </x:si>
  <x:si>
    <x:t xml:space="preserve">CONSENSUS</x:t>
  </x:si>
  <x:si>
    <x:t xml:space="preserve">S&amp;P Capital IQ</x:t>
  </x:si>
  <x:si>
    <x:t xml:space="preserve">CNXC_consensus.json</x:t>
  </x:si>
  <x:si>
    <x:t xml:space="preserve">Frozen Sep 24 median/means; four normalized EPS contributors</x:t>
  </x:si>
  <x:si>
    <x:t xml:space="preserve">HISTORY</x:t>
  </x:si>
  <x:si>
    <x:t xml:space="preserve">CNXC_history.csv</x:t>
  </x:si>
  <x:si>
    <x:t xml:space="preserve">Six EPS actual/consensus pairs; separate GAAP/normalized</x:t>
  </x:si>
  <x:si>
    <x:t xml:space="preserve">PEER</x:t>
  </x:si>
  <x:si>
    <x:t xml:space="preserve">Teleperformance / Marketscreener</x:t>
  </x:si>
  <x:si>
    <x:t xml:space="preserve">https://www.marketscreener.com/news/teleperformance-first-half-2026-results-a-financial-report-a-july-30-2026-ce7f50dade8cf423</x:t>
  </x:si>
  <x:si>
    <x:t xml:space="preserve">Peer H1 sales headwind context only; no direct CNXC Q3 adjustment</x:t>
  </x:si>
  <x:si>
    <x:t xml:space="preserve">CapIQ history SHA256</x:t>
  </x:si>
  <x:si>
    <x:t xml:space="preserve">CapIQ consensus SHA256</x:t>
  </x:si>
  <x:si>
    <x:t xml:space="preserve">Original consensus captured</x:t>
  </x:si>
  <x:si>
    <x:t xml:space="preserve">Omitted Segment tabs: FY25 10-K and 2Q26 10-Q report one operating segment; drivers on Revenue summary.</x:t>
  </x:si>
  <x:si>
    <x:t xml:space="preserve">Omitted Geo: FY25 10-K and 2Q26 10-Q do not provide an auditable country-by-country customer revenue series.</x:t>
  </x:si>
  <x:si>
    <x:t xml:space="preserve">NO-UNITS</x:t>
  </x:si>
  <x:si>
    <x:t xml:space="preserve">No volume, billed hours or per-unit prices disclosed in FY25 10-K or 2Q26 10-Q; unavailable, not inferred.</x:t>
  </x:si>
  <x:si>
    <x:t xml:space="preserve">ALT-EPS-NOTE</x:t>
  </x:si>
  <x:si>
    <x:t xml:space="preserve">Inputs</x:t>
  </x:si>
  <x:si>
    <x:t xml:space="preserve">REPORTED ACTUALS: source units thousands / 1,000 to USD millions</x:t>
  </x:si>
  <x:si>
    <x:t xml:space="preserve">Forecast organic assumptions</x:t>
  </x:si>
  <x:si>
    <x:t xml:space="preserve">Zero is a modeled FX/scope convention when vertical breakdown is unavailable; not an observed zero.</x:t>
  </x:si>
  <x:si>
    <x:t xml:space="preserve">Total revenue / sum of industry verticals</x:t>
  </x:si>
  <x:si>
    <x:t xml:space="preserve">Exceptional charges not preannounced — zero is explicit forecast assumption</x:t>
  </x:si>
  <x:si>
    <x:t xml:space="preserve">Selling, general and administrative expenses</x:t>
  </x:si>
  <x:si>
    <x:t xml:space="preserve">Interest expense and finance charges, net</x:t>
  </x:si>
  <x:si>
    <x:t xml:space="preserve">Other expense</x:t>
  </x:si>
  <x:si>
    <x:t xml:space="preserve">Provision for income taxes</x:t>
  </x:si>
  <x:si>
    <x:t xml:space="preserve">GAAP net income, issuer-reported</x:t>
  </x:si>
  <x:si>
    <x:t xml:space="preserve">GAAP diluted EPS, issuer / CapIQ</x:t>
  </x:si>
  <x:si>
    <x:t xml:space="preserve">Normalized diluted EPS, issuer / CapIQ</x:t>
  </x:si>
  <x:si>
    <x:t xml:space="preserve">Prior year same-quarter vertical revenue (issuer-reported)</x:t>
  </x:si>
  <x:si>
    <x:t xml:space="preserve">Technology prior year</x:t>
  </x:si>
  <x:si>
    <x:t xml:space="preserve">Retail / travel / e-commerce prior year</x:t>
  </x:si>
  <x:si>
    <x:t xml:space="preserve">Communications / media prior year</x:t>
  </x:si>
  <x:si>
    <x:t xml:space="preserve">Banking / financial services / insurance prior year</x:t>
  </x:si>
  <x:si>
    <x:t xml:space="preserve">Healthcare prior year</x:t>
  </x:si>
  <x:si>
    <x:t xml:space="preserve">Other prior year</x:t>
  </x:si>
  <x:si>
    <x:t xml:space="preserve">Prior FY / year-ago reported total revenue</x:t>
  </x:si>
  <x:si>
    <x:t xml:space="preserve">Reported FX Y/Y impact (positive lifts USD revenue)</x:t>
  </x:si>
  <x:si>
    <x:t xml:space="preserve">FY2025 revenue from non-US operations / not customer geography</x:t>
  </x:si>
  <x:si>
    <x:t xml:space="preserve">Adjusted net income, issuer-reported</x:t>
  </x:si>
  <x:si>
    <x:t xml:space="preserve">Non-GAAP earnings attributable common / issuer</x:t>
  </x:si>
  <x:si>
    <x:t xml:space="preserve">Program share repurchases / period USD m</x:t>
  </x:si>
  <x:si>
    <x:t xml:space="preserve">FY2025 first nine months repurchases / USD m</x:t>
  </x:si>
  <x:si>
    <x:t xml:space="preserve">Reported common stock par value / USD millions</x:t>
  </x:si>
  <x:si>
    <x:t xml:space="preserve">Other assets</x:t>
  </x:si>
  <x:si>
    <x:t xml:space="preserve">Current portion of long-term debt</x:t>
  </x:si>
  <x:si>
    <x:t xml:space="preserve">Accrued compensation and benefits</x:t>
  </x:si>
  <x:si>
    <x:t xml:space="preserve">Retained deficit</x:t>
  </x:si>
  <x:si>
    <x:t xml:space="preserve">Total assets</x:t>
  </x:si>
  <x:si>
    <x:t xml:space="preserve">Total liabilities</x:t>
  </x:si>
  <x:si>
    <x:t xml:space="preserve">Total stockholders’ equity</x:t>
  </x:si>
  <x:si>
    <x:t xml:space="preserve">Restructuring &amp; integration</x:t>
  </x:si>
  <x:si>
    <x:t xml:space="preserve">Contingent consideration remeasurement</x:t>
  </x:si>
  <x:si>
    <x:t xml:space="preserve">Tax law change</x:t>
  </x:si>
  <x:si>
    <x:t xml:space="preserve">Cumulative cash flows: nine months / FY / first quarter / six months</x:t>
  </x:si>
  <x:si>
    <x:t xml:space="preserve">Net cash provided by operating activities</x:t>
  </x:si>
  <x:si>
    <x:t xml:space="preserve">Net cash used in investing activities</x:t>
  </x:si>
  <x:si>
    <x:t xml:space="preserve">Net cash used in financing activities</x:t>
  </x:si>
  <x:si>
    <x:t xml:space="preserve">Effect of exchange rate changes</x:t>
  </x:si>
  <x:si>
    <x:t xml:space="preserve">Purchases of property and equipment</x:t>
  </x:si>
  <x:si>
    <x:t xml:space="preserve">Restricted + held-for-sale cash at period end</x:t>
  </x:si>
  <x:si>
    <x:t xml:space="preserve">FY2024 ending cash including restricted / FY2025 opening</x:t>
  </x:si>
  <x:si>
    <x:t xml:space="preserve">Common shares issued at period end (m)</x:t>
  </x:si>
  <x:si>
    <x:t xml:space="preserve">Treasury shares at period end (m)</x:t>
  </x:si>
  <x:si>
    <x:t xml:space="preserve">Forecast gross stock issuance (m)</x:t>
  </x:si>
  <x:si>
    <x:t xml:space="preserve">FY2024 issued shares, m</x:t>
  </x:si>
  <x:si>
    <x:t xml:space="preserve">FY2024 treasury shares, m</x:t>
  </x:si>
  <x:si>
    <x:t xml:space="preserve">Q3 FY25 program buyback shares, m (approximately)</x:t>
  </x:si>
  <x:si>
    <x:t xml:space="preserve">Forecast working capital cash flow</x:t>
  </x:si>
  <x:si>
    <x:t xml:space="preserve">Forecast assumptions / management guidance + analyst judgment</x:t>
  </x:si>
  <x:si>
    <x:t xml:space="preserve">Forecast depreciation</x:t>
  </x:si>
  <x:si>
    <x:t xml:space="preserve">Gross margin forecast</x:t>
  </x:si>
  <x:si>
    <x:t xml:space="preserve">Arithmetic check tolerance / USD million</x:t>
  </x:si>
  <x:si>
    <x:t xml:space="preserve">Basic diluted shares / millions</x:t>
  </x:si>
  <x:si>
    <x:t xml:space="preserve">Weighted-average basic shares / millions</x:t>
  </x:si>
  <x:si>
    <x:t xml:space="preserve">Weighted-average diluted shares / millions</x:t>
  </x:si>
  <x:si>
    <x:t xml:space="preserve">Share repurchases</x:t>
  </x:si>
  <x:si>
    <x:t xml:space="preserve">Dividends</x:t>
  </x:si>
  <x:si>
    <x:t xml:space="preserve">Net debt repayment</x:t>
  </x:si>
  <x:si>
    <x:t xml:space="preserve">Accounts receivable forecast</x:t>
  </x:si>
  <x:si>
    <x:t xml:space="preserve">FX impact Q3 y/y (June 29 guidance)</x:t>
  </x:si>
  <x:si>
    <x:t xml:space="preserve">Non-GAAP operating income</x:t>
  </x:si>
  <x:si>
    <x:t xml:space="preserve">Interest expense</x:t>
  </x:si>
  <x:si>
    <x:t xml:space="preserve">Other income incl. FX gain</x:t>
  </x:si>
  <x:si>
    <x:t xml:space="preserve">Restructuring expense</x:t>
  </x:si>
  <x:si>
    <x:t xml:space="preserve">Participating securities allocation</x:t>
  </x:si>
  <x:si>
    <x:t xml:space="preserve">Diluted weighted shares guidance</x:t>
  </x:si>
  <x:si>
    <x:t xml:space="preserve">S&amp;P Capital IQ | six historical actual-consensus pairs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</x:si>
  <x:si>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</x:si>
  <x:si>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</x:si>
  <x:si>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</x:si>
  <x:si>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</x:si>
  <x:si>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</x:si>
  <x:si>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</x:si>
  <x:si>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</x:si>
  <x:si>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S&amp;P Capital IQ | full summary row | captured 2026-09-24 (time unknown)</x:t>
  </x:si>
  <x:si>
    <x:t xml:space="preserve">ticker</x:t>
  </x:si>
  <x:si>
    <x:t xml:space="preserve">CNXC</x:t>
  </x:si>
  <x:si>
    <x:t xml:space="preserve">company</x:t>
  </x:si>
  <x:si>
    <x:t xml:space="preserve">Concentrix Corporation</x:t>
  </x:si>
  <x:si>
    <x:t xml:space="preserve">exchange_ticker</x:t>
  </x:si>
  <x:si>
    <x:t xml:space="preserve">NasdaqGS:CNXC</x:t>
  </x:si>
  <x:si>
    <x:t xml:space="preserve">capiq_company_id</x:t>
  </x:si>
  <x:si>
    <x:t xml:space="preserve">analyst_count</x:t>
  </x:si>
  <x:si>
    <x:t xml:space="preserve">fiscal_year_end</x:t>
  </x:si>
  <x:si>
    <x:t xml:space="preserve">Nov-30</x:t>
  </x:si>
  <x:si>
    <x:t xml:space="preserve">forward_quarter_label</x:t>
  </x:si>
  <x:si>
    <x:t xml:space="preserve">FQ3 2026 - Aug 2026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</x:si>
  <x:si>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</x:si>
  <x:si>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</x:si>
  <x:si>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</x:si>
  <x:si>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</x:si>
  <x:si>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</x:si>
  <x:si>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</x:si>
  <x:si>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</x:si>
  <x:si>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</x:si>
  <x:si>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</x:si>
  <x:si>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</x:si>
  <x:si>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</x:si>
  <x:si>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</x:si>
  <x:si>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</x:si>
  <x:si>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</x:si>
  <x:si>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</x:si>
  <x:si>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</x:si>
  <x:si>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</x:si>
  <x:si>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</x:si>
  <x:si>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</x:si>
  <x:si>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</x:si>
  <x:si>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</x:si>
  <x:si>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</x:si>
  <x:si>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</x:si>
  <x:si>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</x:si>
  <x:si>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</x:si>
  <x:si>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</x:si>
  <x:si>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</x:si>
  <x:si>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</x:si>
  <x:si>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</x:si>
  <x:si>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</x:si>
  <x:si>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</x:si>
  <x:si>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</x:si>
  <x:si>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</x:si>
  <x:si>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</x:si>
  <x:si>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</x:si>
  <x:si>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</x:si>
  <x:si>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</x:si>
  <x:si>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</x:si>
  <x:si>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</x:si>
  <x:si>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</x:si>
  <x:si>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</x:si>
  <x:si>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</x:si>
  <x:si>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Market capitalization, 2026-09-25 (USD bn)</x:t>
  </x:si>
  <x:si>
    <x:t xml:space="preserve">recommendation</x:t>
  </x:si>
  <x:si>
    <x:t xml:space="preserve">Outperform</x:t>
  </x:si>
  <x:si>
    <x:t xml:space="preserve">Size bucket</x:t>
  </x:si>
  <x:si>
    <x:t xml:space="preserve">small</x:t>
  </x:si>
  <x:si>
    <x:t xml:space="preserve">recommendation_score</x:t>
  </x:si>
  <x:si>
    <x:t xml:space="preserve">S&amp;P 500 membership (in S&amp;P SmallCap 600)</x:t>
  </x:si>
  <x:si>
    <x:t xml:space="preserve">last_close_price</x:t>
  </x:si>
  <x:si>
    <x:t xml:space="preserve">notes</x:t>
  </x:si>
  <x:si>
    <x:t xml:space="preserve">Only 4 contributors in CapIQ. CapIQ lists the FQ3 2026 earnings release date as Sep-30-2026; user calendar says Sep 29 after close. FQ4 2025 (Nov-2025) GAAP EPS actual (23.85) reflects a large impairment/one-off, so GAAP surprise is NM there.</x:t>
  </x:si>
  <x:si>
    <x:t xml:space="preserve">Small-cap cohort prior</x:t>
  </x:si>
  <x:si>
    <x:t xml:space="preserve">Fixed prior pseudo-observations</x:t>
  </x:si>
  <x:si>
    <x:t xml:space="preserve">Strict EPS beats, six reported quarters</x:t>
  </x:si>
  <x:si>
    <x:t xml:space="preserve">History SHA256</x:t>
  </x:si>
  <x:si>
    <x:t xml:space="preserve">ecb03e6dc08c9d035f4ce200ba3691493a87b7e74a5262dcec23536f3d6b593a</x:t>
  </x:si>
  <x:si>
    <x:t xml:space="preserve">Valid normalized EPS pairs</x:t>
  </x:si>
  <x:si>
    <x:t xml:space="preserve">Consensus SHA256</x:t>
  </x:si>
  <x:si>
    <x:t xml:space="preserve">02e1e746d20c5fef261215d34693eb73604c225b69716e1e22443b1af59919a4</x:t>
  </x:si>
  <x:si>
    <x:t xml:space="preserve">Regularized starting probability</x:t>
  </x:si>
  <x:si>
    <x:t xml:space="preserve">Captured date (date only)</x:t>
  </x:si>
  <x:si>
    <x:t xml:space="preserve">Quarter-specific downside update</x:t>
  </x:si>
  <x:si>
    <x:t xml:space="preserve">Final P(beat frozen consensus)</x:t>
  </x:si>
  <x:si>
    <x:t xml:space="preserve">Confidence label</x:t>
  </x:si>
  <x:si>
    <x:t xml:space="preserve">low</x:t>
  </x:si>
  <x:si>
    <x:t xml:space="preserve">Issuer management guidance; units USD m unless EPS / shares / rates</x:t>
  </x:si>
  <x:si>
    <x:t xml:space="preserve">Published date</x:t>
  </x:si>
  <x:si>
    <x:t xml:space="preserve">3Q26</x:t>
  </x:si>
  <x:si>
    <x:t xml:space="preserve">GAAP operating income</x:t>
  </x:si>
  <x:si>
    <x:t xml:space="preserve">Diluted shares (m)</x:t>
  </x:si>
  <x:si>
    <x:t xml:space="preserve">FX revenue Y/Y</x:t>
  </x:si>
  <x:si>
    <x:t xml:space="preserve">FY26</x:t>
  </x:si>
  <x:si>
    <x:t xml:space="preserve">Adjusted free cash flow</x:t>
  </x:si>
  <x:si>
    <x:t xml:space="preserve">2Q26</x:t>
  </x:si>
  <x:si>
    <x:t xml:space="preserve">1Q26</x:t>
  </x:si>
  <x:si>
    <x:t xml:space="preserve">4Q25</x:t>
  </x:si>
  <x:si>
    <x:t xml:space="preserve">Amortization forecast</x:t>
  </x:si>
  <x:si>
    <x:t xml:space="preserve">Restructuring forecast</x:t>
  </x:si>
  <x:si>
    <x:t xml:space="preserve">FY25 constituent-quarter audit (Q1/Q2 2025 comparatives)</x:t>
  </x:si>
  <x:si>
    <x:t xml:space="preserve">FY25 revenue reconciliation</x:t>
  </x:si>
  <x:si>
    <x:t xml:space="preserve">FY25 cost of sales reconciliation</x:t>
  </x:si>
  <x:si>
    <x:t xml:space="preserve">FY25 gross profit reconciliation</x:t>
  </x:si>
</x:sst>
</file>

<file path=xl/styles.xml><?xml version="1.0" encoding="utf-8"?>
<x:styleSheet xmlns:x="http://schemas.openxmlformats.org/spreadsheetml/2006/main">
  <x:numFmts count="10">
    <x:numFmt numFmtId="164" formatCode="#,##0.0_);(#,##0.0);&quot;–&quot;_)"/>
    <x:numFmt numFmtId="165" formatCode="yyyy-mm-dd"/>
    <x:numFmt numFmtId="166" formatCode="$0.00;($0.00);&quot;–&quot;"/>
    <x:numFmt numFmtId="167" formatCode="0.0%_);(0.0%);&quot;–&quot;_)"/>
    <x:numFmt numFmtId="168" formatCode="General"/>
    <x:numFmt numFmtId="169" formatCode="0.0%"/>
    <x:numFmt numFmtId="170" formatCode="#,##0;(#,##0);&quot;–&quot;"/>
    <x:numFmt numFmtId="171" formatCode="0.0%_);(0.0%);&quot;-&quot;_)"/>
    <x:numFmt numFmtId="172" formatCode="$0.00"/>
    <x:numFmt numFmtId="173" formatCode="0"/>
  </x:numFmts>
  <x:fonts count="10">
    <x:font>
      <x:sz val="11"/>
      <x:name val="Calibri"/>
    </x:font>
    <x:font>
      <x:sz val="11"/>
      <x:color rgb="FF000000"/>
      <x:name val="Aptos Narrow"/>
    </x:font>
    <x:font>
      <x:b/>
      <x:sz val="11"/>
      <x:color rgb="FF000000"/>
      <x:name val="Aptos Narrow"/>
    </x:font>
    <x:font>
      <x:sz val="11"/>
      <x:color rgb="FF006100"/>
      <x:name val="Aptos Narrow"/>
    </x:font>
    <x:font>
      <x:b/>
      <x:sz val="11"/>
      <x:color rgb="FF006100"/>
      <x:name val="Aptos Narrow"/>
    </x:font>
    <x:font>
      <x:sz val="11"/>
      <x:color rgb="FF000000"/>
      <x:name val="Calibri"/>
    </x:font>
    <x:font>
      <x:i/>
      <x:sz val="11"/>
      <x:color rgb="FF000000"/>
      <x:name val="Aptos Narrow"/>
    </x:font>
    <x:font>
      <x:i/>
      <x:sz val="11"/>
      <x:color rgb="FF006100"/>
      <x:name val="Aptos Narrow"/>
    </x:font>
    <x:font>
      <x:sz val="11"/>
      <x:color rgb="FF0000FF"/>
      <x:name val="Aptos Narrow"/>
    </x:font>
    <x:font>
      <x:b/>
      <x:sz val="11"/>
      <x:color rgb="FF0000FF"/>
      <x:name val="Aptos Narrow"/>
    </x:font>
  </x:fonts>
  <x:fills count="7">
    <x:fill>
      <x:patternFill patternType="none"/>
    </x:fill>
    <x:fill>
      <x:patternFill patternType="gray125"/>
    </x:fill>
    <x:fill>
      <x:patternFill patternType="solid">
        <x:fgColor rgb="FFF0F1F2"/>
      </x:patternFill>
    </x:fill>
    <x:fill>
      <x:patternFill patternType="solid">
        <x:fgColor rgb="FFF3F6FA"/>
      </x:patternFill>
    </x:fill>
    <x:fill>
      <x:patternFill patternType="solid">
        <x:fgColor rgb="FFE8EDF6"/>
      </x:patternFill>
    </x:fill>
    <x:fill>
      <x:patternFill patternType="solid">
        <x:fgColor rgb="FFECEEF0"/>
      </x:patternFill>
    </x:fill>
    <x:fill>
      <x:patternFill patternType="solid">
        <x:fgColor rgb="FFE9EBED"/>
      </x:patternFill>
    </x:fill>
  </x:fills>
  <x:borders count="7">
    <x:border/>
    <x:border>
      <x:top style="thin">
        <x:color rgb="FFCBD0D4"/>
      </x:top>
      <x:bottom style="thin">
        <x:color rgb="FFCBD0D4"/>
      </x:bottom>
    </x:border>
    <x:border>
      <x:top style="thin">
        <x:color rgb="FFADB5BB"/>
      </x:top>
    </x:border>
    <x:border>
      <x:top style="thin">
        <x:color rgb="FFAAB2B9"/>
      </x:top>
    </x:border>
    <x:border>
      <x:top style="thin">
        <x:color rgb="FFAAB2B9"/>
      </x:top>
      <x:bottom style="thin">
        <x:color rgb="FFAAB2B9"/>
      </x:bottom>
    </x:border>
    <x:border>
      <x:top style="thin">
        <x:color rgb="FF8A929B"/>
      </x:top>
    </x:border>
    <x:border>
      <x:top style="thin">
        <x:color rgb="FFAEB5BC"/>
      </x:top>
    </x:border>
  </x:borders>
  <x:cellStyleXfs count="1">
    <x:xf numFmtId="0" fontId="0" fillId="0" borderId="0"/>
  </x:cellStyleXfs>
  <x:cellXfs count="98">
    <x:xf numFmtId="0" fontId="0" fillId="0" borderId="0" xfId="0"/>
    <x:xf numFmtId="0" fontId="1" fillId="0" borderId="0" xfId="0" applyFont="1" applyFill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/>
    </x:xf>
    <x:xf numFmtId="0" fontId="1" fillId="2" borderId="1" xfId="0" applyFont="1" applyFill="1" applyBorder="1" applyAlignment="1">
      <x:alignment horizontal="center" vertical="bottom"/>
    </x:xf>
    <x:xf numFmtId="164" fontId="2" fillId="0" borderId="2" xfId="0" applyNumberFormat="1" applyFont="1" applyFill="1" applyBorder="1" applyAlignment="1">
      <x:alignment horizontal="general" vertical="bottom"/>
    </x:xf>
    <x:xf numFmtId="164" fontId="3" fillId="3" borderId="0" xfId="0" applyNumberFormat="1" applyFont="1" applyFill="1" applyAlignment="1">
      <x:alignment horizontal="general" vertical="bottom"/>
    </x:xf>
    <x:xf numFmtId="164" fontId="3" fillId="0" borderId="0" xfId="0" applyNumberFormat="1" applyFont="1" applyFill="1" applyAlignment="1">
      <x:alignment horizontal="general" vertical="bottom"/>
    </x:xf>
    <x:xf numFmtId="0" fontId="1" fillId="3" borderId="0" xfId="0" applyFont="1" applyFill="1" applyAlignment="1">
      <x:alignment horizontal="general" vertical="bottom"/>
    </x:xf>
    <x:xf numFmtId="0" fontId="1" fillId="2" borderId="1" xfId="0" applyFont="1" applyFill="1" applyBorder="1" applyAlignment="1">
      <x:alignment horizontal="general" vertical="bottom"/>
    </x:xf>
    <x:xf numFmtId="165" fontId="2" fillId="4" borderId="1" xfId="0" applyNumberFormat="1" applyFont="1" applyFill="1" applyBorder="1" applyAlignment="1">
      <x:alignment horizontal="center" vertical="bottom"/>
    </x:xf>
    <x:xf numFmtId="165" fontId="1" fillId="2" borderId="1" xfId="0" applyNumberFormat="1" applyFont="1" applyFill="1" applyBorder="1" applyAlignment="1">
      <x:alignment horizontal="center" vertical="bottom"/>
    </x:xf>
    <x:xf numFmtId="0" fontId="2" fillId="0" borderId="3" xfId="0" applyFont="1" applyFill="1" applyBorder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164" fontId="1" fillId="3" borderId="0" xfId="0" applyNumberFormat="1" applyFont="1" applyFill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164" fontId="4" fillId="0" borderId="2" xfId="0" applyNumberFormat="1" applyFont="1" applyFill="1" applyBorder="1" applyAlignment="1">
      <x:alignment horizontal="general" vertical="bottom"/>
    </x:xf>
    <x:xf numFmtId="0" fontId="2" fillId="5" borderId="0" xfId="0" applyFont="1" applyFill="1" applyAlignment="1">
      <x:alignment horizontal="general" vertical="bottom"/>
    </x:xf>
    <x:xf numFmtId="0" fontId="3" fillId="0" borderId="0" xfId="0" applyFont="1" applyFill="1" applyAlignment="1">
      <x:alignment horizontal="general" vertical="bottom"/>
    </x:xf>
    <x:xf numFmtId="165" fontId="3" fillId="0" borderId="0" xfId="0" applyNumberFormat="1" applyFont="1" applyFill="1" applyAlignment="1">
      <x:alignment horizontal="general" vertical="bottom"/>
    </x:xf>
    <x:xf numFmtId="164" fontId="2" fillId="3" borderId="2" xfId="0" applyNumberFormat="1" applyFont="1" applyFill="1" applyBorder="1" applyAlignment="1">
      <x:alignment horizontal="general" vertical="bottom"/>
    </x:xf>
    <x:xf numFmtId="0" fontId="2" fillId="6" borderId="4" xfId="0" applyFont="1" applyFill="1" applyBorder="1" applyAlignment="1">
      <x:alignment horizontal="general" vertical="bottom"/>
    </x:xf>
    <x:xf numFmtId="0" fontId="2" fillId="0" borderId="2" xfId="0" applyFont="1" applyFill="1" applyBorder="1" applyAlignment="1">
      <x:alignment horizontal="general" vertical="bottom"/>
    </x:xf>
    <x:xf numFmtId="166" fontId="3" fillId="0" borderId="0" xfId="0" applyNumberFormat="1" applyFont="1" applyFill="1" applyAlignment="1">
      <x:alignment horizontal="general" vertical="bottom"/>
    </x:xf>
    <x:xf numFmtId="0" fontId="2" fillId="4" borderId="1" xfId="0" applyFont="1" applyFill="1" applyBorder="1" applyAlignment="1">
      <x:alignment horizontal="center" vertical="bottom"/>
    </x:xf>
    <x:xf numFmtId="167" fontId="3" fillId="3" borderId="0" xfId="0" applyNumberFormat="1" applyFont="1" applyFill="1" applyAlignment="1">
      <x:alignment horizontal="general" vertical="bottom"/>
    </x:xf>
    <x:xf numFmtId="166" fontId="1" fillId="3" borderId="0" xfId="0" applyNumberFormat="1" applyFont="1" applyFill="1" applyAlignment="1">
      <x:alignment horizontal="general" vertical="bottom"/>
    </x:xf>
    <x:xf numFmtId="166" fontId="3" fillId="3" borderId="0" xfId="0" applyNumberFormat="1" applyFont="1" applyFill="1" applyAlignment="1">
      <x:alignment horizontal="general" vertical="bottom"/>
    </x:xf>
    <x:xf numFmtId="167" fontId="3" fillId="0" borderId="0" xfId="0" applyNumberFormat="1" applyFont="1" applyFill="1" applyAlignment="1">
      <x:alignment horizontal="general" vertical="bottom"/>
    </x:xf>
    <x:xf numFmtId="164" fontId="4" fillId="3" borderId="2" xfId="0" applyNumberFormat="1" applyFont="1" applyFill="1" applyBorder="1" applyAlignment="1">
      <x:alignment horizontal="general" vertical="bottom"/>
    </x:xf>
    <x:xf numFmtId="0" fontId="4" fillId="0" borderId="3" xfId="0" applyFont="1" applyFill="1" applyBorder="1" applyAlignment="1">
      <x:alignment horizontal="general" vertical="bottom"/>
    </x:xf>
    <x:xf numFmtId="168" fontId="3" fillId="0" borderId="0" xfId="0" applyNumberFormat="1" applyFont="1" applyFill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169" fontId="3" fillId="0" borderId="0" xfId="0" applyNumberFormat="1" applyFont="1" applyFill="1" applyAlignment="1">
      <x:alignment horizontal="general" vertical="bottom"/>
    </x:xf>
    <x:xf numFmtId="167" fontId="6" fillId="0" borderId="0" xfId="0" applyNumberFormat="1" applyFont="1" applyFill="1" applyAlignment="1">
      <x:alignment horizontal="general" vertical="bottom"/>
    </x:xf>
    <x:xf numFmtId="170" fontId="1" fillId="0" borderId="0" xfId="0" applyNumberFormat="1" applyFont="1" applyFill="1" applyAlignment="1">
      <x:alignment horizontal="general" vertical="bottom"/>
    </x:xf>
    <x:xf numFmtId="167" fontId="7" fillId="0" borderId="0" xfId="0" applyNumberFormat="1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bottom" wrapText="1"/>
    </x:xf>
    <x:xf numFmtId="0" fontId="8" fillId="0" borderId="0" xfId="0" applyFont="1" applyFill="1" applyAlignment="1">
      <x:alignment horizontal="general" vertical="bottom"/>
    </x:xf>
    <x:xf numFmtId="164" fontId="2" fillId="0" borderId="3" xfId="0" applyNumberFormat="1" applyFont="1" applyFill="1" applyBorder="1" applyAlignment="1">
      <x:alignment horizontal="general" vertical="bottom"/>
    </x:xf>
    <x:xf numFmtId="164" fontId="4" fillId="0" borderId="3" xfId="0" applyNumberFormat="1" applyFont="1" applyFill="1" applyBorder="1" applyAlignment="1">
      <x:alignment horizontal="general" vertical="bottom"/>
    </x:xf>
    <x:xf numFmtId="166" fontId="2" fillId="0" borderId="3" xfId="0" applyNumberFormat="1" applyFont="1" applyFill="1" applyBorder="1" applyAlignment="1">
      <x:alignment horizontal="general" vertical="bottom"/>
    </x:xf>
    <x:xf numFmtId="171" fontId="6" fillId="0" borderId="0" xfId="0" applyNumberFormat="1" applyFont="1" applyFill="1" applyAlignment="1">
      <x:alignment horizontal="general" vertical="bottom"/>
    </x:xf>
    <x:xf numFmtId="167" fontId="6" fillId="3" borderId="0" xfId="0" applyNumberFormat="1" applyFont="1" applyFill="1" applyAlignment="1">
      <x:alignment horizontal="general" vertical="bottom"/>
    </x:xf>
    <x:xf numFmtId="166" fontId="4" fillId="0" borderId="3" xfId="0" applyNumberFormat="1" applyFont="1" applyFill="1" applyBorder="1" applyAlignment="1">
      <x:alignment horizontal="general" vertical="bottom"/>
    </x:xf>
    <x:xf numFmtId="164" fontId="2" fillId="3" borderId="3" xfId="0" applyNumberFormat="1" applyFont="1" applyFill="1" applyBorder="1" applyAlignment="1">
      <x:alignment horizontal="general" vertical="bottom"/>
    </x:xf>
    <x:xf numFmtId="164" fontId="4" fillId="3" borderId="3" xfId="0" applyNumberFormat="1" applyFont="1" applyFill="1" applyBorder="1" applyAlignment="1">
      <x:alignment horizontal="general" vertical="bottom"/>
    </x:xf>
    <x:xf numFmtId="166" fontId="2" fillId="3" borderId="3" xfId="0" applyNumberFormat="1" applyFont="1" applyFill="1" applyBorder="1" applyAlignment="1">
      <x:alignment horizontal="general" vertical="bottom"/>
    </x:xf>
    <x:xf numFmtId="170" fontId="1" fillId="3" borderId="0" xfId="0" applyNumberFormat="1" applyFont="1" applyFill="1" applyAlignment="1">
      <x:alignment horizontal="general" vertical="bottom"/>
    </x:xf>
    <x:xf numFmtId="167" fontId="7" fillId="3" borderId="0" xfId="0" applyNumberFormat="1" applyFont="1" applyFill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164" fontId="2" fillId="3" borderId="5" xfId="0" applyNumberFormat="1" applyFont="1" applyFill="1" applyBorder="1" applyAlignment="1">
      <x:alignment horizontal="general" vertical="bottom"/>
    </x:xf>
    <x:xf numFmtId="0" fontId="2" fillId="0" borderId="3" xfId="0" applyFont="1" applyFill="1" applyBorder="1" applyAlignment="1">
      <x:alignment horizontal="general" vertical="bottom" wrapText="1"/>
    </x:xf>
    <x:xf numFmtId="164" fontId="2" fillId="0" borderId="5" xfId="0" applyNumberFormat="1" applyFont="1" applyFill="1" applyBorder="1" applyAlignment="1">
      <x:alignment horizontal="general" vertical="bottom"/>
    </x:xf>
    <x:xf numFmtId="0" fontId="2" fillId="0" borderId="5" xfId="0" applyFont="1" applyFill="1" applyBorder="1" applyAlignment="1">
      <x:alignment horizontal="general" vertical="bottom"/>
    </x:xf>
    <x:xf numFmtId="164" fontId="8" fillId="0" borderId="0" xfId="0" applyNumberFormat="1" applyFont="1" applyFill="1" applyAlignment="1">
      <x:alignment horizontal="general" vertical="bottom"/>
    </x:xf>
    <x:xf numFmtId="0" fontId="8" fillId="3" borderId="0" xfId="0" applyFont="1" applyFill="1" applyAlignment="1">
      <x:alignment horizontal="general" vertical="bottom"/>
    </x:xf>
    <x:xf numFmtId="164" fontId="9" fillId="0" borderId="6" xfId="0" applyNumberFormat="1" applyFont="1" applyFill="1" applyBorder="1" applyAlignment="1">
      <x:alignment horizontal="general" vertical="bottom"/>
    </x:xf>
    <x:xf numFmtId="167" fontId="8" fillId="0" borderId="0" xfId="0" applyNumberFormat="1" applyFont="1" applyFill="1" applyAlignment="1">
      <x:alignment horizontal="general" vertical="bottom"/>
    </x:xf>
    <x:xf numFmtId="165" fontId="8" fillId="0" borderId="0" xfId="0" applyNumberFormat="1" applyFont="1" applyFill="1" applyAlignment="1">
      <x:alignment horizontal="general" vertical="bottom"/>
    </x:xf>
    <x:xf numFmtId="167" fontId="8" fillId="3" borderId="0" xfId="0" applyNumberFormat="1" applyFont="1" applyFill="1" applyAlignment="1">
      <x:alignment horizontal="general" vertical="bottom"/>
    </x:xf>
    <x:xf numFmtId="172" fontId="8" fillId="0" borderId="0" xfId="0" applyNumberFormat="1" applyFont="1" applyFill="1" applyAlignment="1">
      <x:alignment horizontal="general" vertical="bottom"/>
    </x:xf>
    <x:xf numFmtId="0" fontId="2" fillId="0" borderId="6" xfId="0" applyFont="1" applyFill="1" applyBorder="1" applyAlignment="1">
      <x:alignment horizontal="general" vertical="bottom"/>
    </x:xf>
    <x:xf numFmtId="164" fontId="8" fillId="3" borderId="0" xfId="0" applyNumberFormat="1" applyFont="1" applyFill="1" applyAlignment="1">
      <x:alignment horizontal="general" vertical="bottom"/>
    </x:xf>
    <x:xf numFmtId="164" fontId="2" fillId="3" borderId="6" xfId="0" applyNumberFormat="1" applyFont="1" applyFill="1" applyBorder="1" applyAlignment="1">
      <x:alignment horizontal="general" vertical="bottom"/>
    </x:xf>
    <x:xf numFmtId="164" fontId="2" fillId="0" borderId="6" xfId="0" applyNumberFormat="1" applyFont="1" applyFill="1" applyBorder="1" applyAlignment="1">
      <x:alignment horizontal="general" vertical="bottom"/>
    </x:xf>
    <x:xf numFmtId="0" fontId="2" fillId="3" borderId="6" xfId="0" applyFont="1" applyFill="1" applyBorder="1" applyAlignment="1">
      <x:alignment horizontal="general" vertical="bottom"/>
    </x:xf>
    <x:xf numFmtId="167" fontId="1" fillId="3" borderId="0" xfId="0" applyNumberFormat="1" applyFont="1" applyFill="1" applyAlignment="1">
      <x:alignment horizontal="general" vertical="bottom"/>
    </x:xf>
    <x:xf numFmtId="0" fontId="9" fillId="0" borderId="6" xfId="0" applyFont="1" applyFill="1" applyBorder="1" applyAlignment="1">
      <x:alignment horizontal="general" vertical="bottom"/>
    </x:xf>
    <x:xf numFmtId="164" fontId="9" fillId="3" borderId="6" xfId="0" applyNumberFormat="1" applyFont="1" applyFill="1" applyBorder="1" applyAlignment="1">
      <x:alignment horizontal="general" vertical="bottom"/>
    </x:xf>
    <x:xf numFmtId="166" fontId="8" fillId="0" borderId="0" xfId="0" applyNumberFormat="1" applyFont="1" applyFill="1" applyAlignment="1">
      <x:alignment horizontal="general" vertical="bottom"/>
    </x:xf>
    <x:xf numFmtId="173" fontId="1" fillId="0" borderId="0" xfId="0" applyNumberFormat="1" applyFont="1" applyFill="1" applyAlignment="1">
      <x:alignment horizontal="general" vertical="bottom"/>
    </x:xf>
    <x:xf numFmtId="164" fontId="4" fillId="3" borderId="6" xfId="0" applyNumberFormat="1" applyFont="1" applyFill="1" applyBorder="1" applyAlignment="1">
      <x:alignment horizontal="general" vertical="bottom"/>
    </x:xf>
    <x:xf numFmtId="0" fontId="1" fillId="2" borderId="1" xfId="0" applyNumberFormat="1" applyFont="1" applyFill="1" applyBorder="1" applyAlignment="1">
      <x:alignment horizontal="right" vertical="bottom"/>
    </x:xf>
    <x:xf numFmtId="0" fontId="2" fillId="4" borderId="1" xfId="0" applyNumberFormat="1" applyFont="1" applyFill="1" applyBorder="1" applyAlignment="1">
      <x:alignment horizontal="right" vertical="bottom"/>
    </x:xf>
    <x:xf numFmtId="165" fontId="1" fillId="2" borderId="1" xfId="0" applyNumberFormat="1" applyFont="1" applyFill="1" applyBorder="1" applyAlignment="1">
      <x:alignment horizontal="right" vertical="bottom"/>
    </x:xf>
    <x:xf numFmtId="165" fontId="2" fillId="4" borderId="1" xfId="0" applyNumberFormat="1" applyFont="1" applyFill="1" applyBorder="1" applyAlignment="1">
      <x:alignment horizontal="right" vertical="bottom"/>
    </x:xf>
    <x:xf numFmtId="0" fontId="2" fillId="6" borderId="4" xfId="0" applyNumberFormat="1" applyFont="1" applyFill="1" applyBorder="1" applyAlignment="1">
      <x:alignment horizontal="right" vertical="bottom"/>
    </x:xf>
    <x:xf numFmtId="164" fontId="1" fillId="0" borderId="0" xfId="0" applyNumberFormat="1" applyFont="1" applyFill="1" applyBorder="1" applyAlignment="1">
      <x:alignment horizontal="right" vertical="bottom"/>
    </x:xf>
    <x:xf numFmtId="167" fontId="1" fillId="0" borderId="0" xfId="0" applyNumberFormat="1" applyFont="1" applyFill="1" applyBorder="1" applyAlignment="1">
      <x:alignment horizontal="right" vertical="bottom"/>
    </x:xf>
    <x:xf numFmtId="166" fontId="1" fillId="0" borderId="0" xfId="0" applyNumberFormat="1" applyFont="1" applyFill="1" applyBorder="1" applyAlignment="1">
      <x:alignment horizontal="right" vertical="bottom"/>
    </x:xf>
    <x:xf numFmtId="164" fontId="1" fillId="3" borderId="0" xfId="0" applyNumberFormat="1" applyFont="1" applyFill="1" applyBorder="1" applyAlignment="1">
      <x:alignment horizontal="right" vertical="bottom"/>
    </x:xf>
    <x:xf numFmtId="0" fontId="2" fillId="5" borderId="0" xfId="0" applyNumberFormat="1" applyFont="1" applyFill="1" applyBorder="1" applyAlignment="1">
      <x:alignment horizontal="right" vertical="bottom"/>
    </x:xf>
    <x:xf numFmtId="0" fontId="3" fillId="0" borderId="0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  <x:xf numFmtId="0" fontId="1" fillId="3" borderId="0" xfId="0" applyNumberFormat="1" applyFont="1" applyFill="1" applyBorder="1" applyAlignment="1">
      <x:alignment horizontal="right" vertical="bottom"/>
    </x:xf>
    <x:xf numFmtId="0" fontId="1" fillId="2" borderId="1" xfId="0" applyNumberFormat="1" applyFont="1" applyFill="1" applyBorder="1" applyAlignment="1">
      <x:alignment horizontal="left" vertical="bottom"/>
    </x:xf>
    <x:xf numFmtId="173" fontId="8" fillId="3" borderId="0" xfId="0" applyNumberFormat="1" applyFont="1" applyFill="1" applyBorder="1" applyAlignment="1">
      <x:alignment horizontal="general" vertical="bottom"/>
    </x:xf>
    <x:xf numFmtId="165" fontId="8" fillId="0" borderId="0" xfId="0" applyNumberFormat="1" applyFont="1" applyFill="1" applyBorder="1" applyAlignment="1">
      <x:alignment horizontal="general" vertical="bottom"/>
    </x:xf>
    <x:xf numFmtId="165" fontId="1" fillId="0" borderId="0" xfId="0" applyNumberFormat="1" applyFont="1" applyFill="1" applyBorder="1" applyAlignment="1">
      <x:alignment horizontal="general" vertical="bottom"/>
    </x:xf>
    <x:xf numFmtId="0" fontId="1" fillId="0" borderId="0" xfId="0" applyNumberFormat="1" applyFont="1" applyFill="1" applyBorder="1" applyAlignment="1">
      <x:alignment horizontal="general" vertical="bottom" wrapText="1"/>
    </x:xf>
    <x:xf numFmtId="0" fontId="2" fillId="0" borderId="2" xfId="0" applyNumberFormat="1" applyFont="1" applyFill="1" applyBorder="1" applyAlignment="1">
      <x:alignment horizontal="general" vertical="bottom" wrapText="1"/>
    </x:xf>
    <x:xf numFmtId="0" fontId="2" fillId="0" borderId="6" xfId="0" applyNumberFormat="1" applyFont="1" applyFill="1" applyBorder="1" applyAlignment="1">
      <x:alignment horizontal="general" vertical="bottom" wrapText="1"/>
    </x:xf>
    <x:xf numFmtId="167" fontId="8" fillId="0" borderId="0" xfId="0" applyNumberFormat="1" applyFont="1" applyFill="1" applyBorder="1" applyAlignment="1">
      <x:alignment horizontal="general" vertical="bottom" wrapText="1"/>
    </x:xf>
    <x:xf numFmtId="0" fontId="2" fillId="6" borderId="4" xfId="0" applyNumberFormat="1" applyFont="1" applyFill="1" applyBorder="1" applyAlignment="1">
      <x:alignment horizontal="right" vertical="bottom" wrapText="1"/>
    </x:xf>
    <x:xf numFmtId="0" fontId="2" fillId="5" borderId="0" xfId="0" applyNumberFormat="1" applyFont="1" applyFill="1" applyBorder="1" applyAlignment="1">
      <x:alignment horizontal="right" vertical="bottom" wrapText="1"/>
    </x:xf>
    <x:xf numFmtId="0" fontId="2" fillId="5" borderId="0" xfId="0" applyNumberFormat="1" applyFont="1" applyFill="1" applyBorder="1" applyAlignment="1">
      <x:alignment horizontal="general" vertical="bottom" wrapText="1"/>
    </x:xf>
    <x:xf numFmtId="0" fontId="1" fillId="0" borderId="0" xfId="0" applyNumberFormat="1" applyFont="1" applyFill="1" applyBorder="1" applyAlignment="1">
      <x:alignment horizontal="right" vertical="bottom" wrapText="1"/>
    </x:xf>
    <x:xf numFmtId="0" fontId="1" fillId="3" borderId="0" xfId="0" applyNumberFormat="1" applyFont="1" applyFill="1" applyBorder="1" applyAlignment="1">
      <x:alignment horizontal="right"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8dcd9a47c4733" /><Relationship Type="http://schemas.openxmlformats.org/officeDocument/2006/relationships/theme" Target="/xl/theme/theme1.xml" Id="Rfdff31ae49f84340" /><Relationship Type="http://schemas.openxmlformats.org/officeDocument/2006/relationships/sharedStrings" Target="/xl/sharedStrings.xml" Id="R7d686ca15a694333" /><Relationship Type="http://schemas.openxmlformats.org/officeDocument/2006/relationships/worksheet" Target="/xl/worksheets/sheet1.xml" Id="R49390fb8b1304d40" /><Relationship Type="http://schemas.openxmlformats.org/officeDocument/2006/relationships/worksheet" Target="/xl/worksheets/sheet2.xml" Id="Ree7af7d2420b4cc1" /><Relationship Type="http://schemas.openxmlformats.org/officeDocument/2006/relationships/worksheet" Target="/xl/worksheets/sheet3.xml" Id="Rfb0871b095dd4d44" /><Relationship Type="http://schemas.openxmlformats.org/officeDocument/2006/relationships/worksheet" Target="/xl/worksheets/sheet4.xml" Id="R2b47fc476da441eb" /><Relationship Type="http://schemas.openxmlformats.org/officeDocument/2006/relationships/worksheet" Target="/xl/worksheets/sheet5.xml" Id="R64d6b83c7dc24e69" /><Relationship Type="http://schemas.openxmlformats.org/officeDocument/2006/relationships/worksheet" Target="/xl/worksheets/sheet6.xml" Id="R0039a1e33cc34141" /><Relationship Type="http://schemas.openxmlformats.org/officeDocument/2006/relationships/worksheet" Target="/xl/worksheets/sheet7.xml" Id="R359fdf7ab8a345dd" /><Relationship Type="http://schemas.openxmlformats.org/officeDocument/2006/relationships/worksheet" Target="/xl/worksheets/sheet8.xml" Id="R16db161e7abe4137" /><Relationship Type="http://schemas.openxmlformats.org/officeDocument/2006/relationships/worksheet" Target="/xl/worksheets/sheet9.xml" Id="R60e73a4e46b34af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2e7ce4467324e2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e7ce4467324e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d6674475b3c4e3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47" hidden="0" customWidth="1"/>
    <x:col min="3" max="8" width="13" customWidth="1"/>
    <x:col min="9" max="9" width="18" customWidth="1"/>
    <x:col min="10" max="10" width="60" hidden="0" customWidth="1"/>
  </x:cols>
  <x:sheetData>
    <x:row r="1">
      <x:c r="I1" s="1"/>
      <x:c r="J1" s="1"/>
      <x:c r="K1" s="1"/>
    </x:row>
    <x:row r="2">
      <x:c r="B2" s="1"/>
      <x:c r="C2" s="1" t="s">
        <x:v>0</x:v>
      </x:c>
      <x:c r="D2" s="1"/>
      <x:c r="E2" s="1"/>
      <x:c r="F2" s="1"/>
      <x:c r="G2" s="1"/>
      <x:c r="H2" s="1"/>
      <x:c r="I2" s="1"/>
      <x:c r="J2" s="1"/>
      <x:c r="K2" s="1"/>
    </x:row>
    <x:row r="3">
      <x:c r="B3" s="1"/>
      <x:c r="C3" s="1" t="s">
        <x:v>1</x:v>
      </x:c>
      <x:c r="D3" s="1"/>
      <x:c r="E3" s="1"/>
      <x:c r="F3" s="1"/>
      <x:c r="G3" s="1"/>
      <x:c r="H3" s="1"/>
      <x:c r="I3" s="1"/>
      <x:c r="J3" s="1"/>
      <x:c r="K3" s="1"/>
    </x:row>
    <x:row r="4">
      <x:c r="B4" s="1"/>
      <x:c r="C4" s="1" t="s">
        <x:v>2</x:v>
      </x:c>
      <x:c r="D4" s="1"/>
      <x:c r="E4" s="1"/>
      <x:c r="F4" s="1"/>
      <x:c r="G4" s="1"/>
      <x:c r="H4" s="1"/>
      <x:c r="I4" s="1"/>
      <x:c r="J4" s="1"/>
      <x:c r="K4" s="1"/>
    </x:row>
    <x:row r="5">
      <x:c r="B5" s="85" t="s">
        <x:v>3</x:v>
      </x:c>
      <x:c r="C5" s="72" t="s">
        <x:v>4</x:v>
      </x:c>
      <x:c r="D5" s="72" t="s">
        <x:v>5</x:v>
      </x:c>
      <x:c r="E5" s="72" t="s">
        <x:v>6</x:v>
      </x:c>
      <x:c r="F5" s="72" t="s">
        <x:v>7</x:v>
      </x:c>
      <x:c r="G5" s="72" t="s">
        <x:v>8</x:v>
      </x:c>
      <x:c r="H5" s="73" t="s">
        <x:v>9</x:v>
      </x:c>
      <x:c r="I5" s="1"/>
      <x:c r="J5" s="1"/>
      <x:c r="K5" s="1"/>
    </x:row>
    <x:row r="6">
      <x:c r="B6" s="85" t="s">
        <x:v>10</x:v>
      </x:c>
      <x:c r="C6" s="74">
        <x:v>45900</x:v>
      </x:c>
      <x:c r="D6" s="74">
        <x:v>45991</x:v>
      </x:c>
      <x:c r="E6" s="74">
        <x:v>45991</x:v>
      </x:c>
      <x:c r="F6" s="74">
        <x:v>46081</x:v>
      </x:c>
      <x:c r="G6" s="74">
        <x:v>46173</x:v>
      </x:c>
      <x:c r="H6" s="75">
        <x:v>46265</x:v>
      </x:c>
      <x:c r="I6" s="1"/>
      <x:c r="J6" s="1"/>
      <x:c r="K6" s="1"/>
    </x:row>
    <x:row r="7">
      <x:c r="B7" s="85" t="s">
        <x:v>11</x:v>
      </x:c>
      <x:c r="C7" s="72">
        <x:v>92</x:v>
      </x:c>
      <x:c r="D7" s="72">
        <x:v>91</x:v>
      </x:c>
      <x:c r="E7" s="72">
        <x:v>365</x:v>
      </x:c>
      <x:c r="F7" s="72">
        <x:v>90</x:v>
      </x:c>
      <x:c r="G7" s="72">
        <x:v>92</x:v>
      </x:c>
      <x:c r="H7" s="73">
        <x:v>92</x:v>
      </x:c>
      <x:c r="I7" s="1"/>
      <x:c r="J7" s="1"/>
      <x:c r="K7" s="1"/>
    </x:row>
    <x:row r="8">
      <x:c r="B8" s="1"/>
      <x:c r="C8" s="1"/>
      <x:c r="D8" s="1"/>
      <x:c r="E8" s="1"/>
      <x:c r="F8" s="1"/>
      <x:c r="G8" s="1"/>
      <x:c r="H8" s="7"/>
      <x:c r="I8" s="1"/>
      <x:c r="J8" s="1"/>
      <x:c r="K8" s="1"/>
    </x:row>
    <x:row r="9">
      <x:c r="B9" s="1" t="s">
        <x:v>12</x:v>
      </x:c>
      <x:c r="C9" s="17" t="str">
        <x:f>Inputs!C151</x:f>
        <x:v>CNXC</x:v>
      </x:c>
      <x:c r="D9" s="1"/>
      <x:c r="E9" s="1"/>
      <x:c r="F9" s="1"/>
      <x:c r="G9" s="1"/>
      <x:c r="H9" s="7"/>
      <x:c r="I9" s="1"/>
      <x:c r="J9" s="1"/>
      <x:c r="K9" s="1"/>
    </x:row>
    <x:row r="10">
      <x:c r="B10" s="1" t="s">
        <x:v>13</x:v>
      </x:c>
      <x:c r="C10" s="1" t="s">
        <x:v>14</x:v>
      </x:c>
      <x:c r="D10" s="1"/>
      <x:c r="E10" s="1"/>
      <x:c r="F10" s="1"/>
      <x:c r="G10" s="1"/>
      <x:c r="H10" s="7"/>
      <x:c r="I10" s="1"/>
      <x:c r="J10" s="1"/>
      <x:c r="K10" s="1"/>
    </x:row>
    <x:row r="11">
      <x:c r="B11" s="1" t="s">
        <x:v>15</x:v>
      </x:c>
      <x:c r="C11" s="17" t="str">
        <x:f>Inputs!C156</x:f>
        <x:v>Nov-30</x:v>
      </x:c>
      <x:c r="D11" s="1"/>
      <x:c r="E11" s="1"/>
      <x:c r="F11" s="1"/>
      <x:c r="G11" s="1"/>
      <x:c r="H11" s="7"/>
      <x:c r="I11" s="1"/>
      <x:c r="J11" s="1"/>
      <x:c r="K11" s="1"/>
    </x:row>
    <x:row r="12">
      <x:c r="B12" s="1" t="s">
        <x:v>16</x:v>
      </x:c>
      <x:c r="C12" s="1" t="s">
        <x:v>17</x:v>
      </x:c>
      <x:c r="D12" s="1"/>
      <x:c r="E12" s="1"/>
      <x:c r="F12" s="1"/>
      <x:c r="G12" s="1"/>
      <x:c r="H12" s="7"/>
      <x:c r="I12" s="1"/>
      <x:c r="J12" s="1"/>
      <x:c r="K12" s="1"/>
    </x:row>
    <x:row r="13">
      <x:c r="B13" s="1" t="s">
        <x:v>18</x:v>
      </x:c>
      <x:c r="C13" s="1" t="s">
        <x:v>19</x:v>
      </x:c>
      <x:c r="D13" s="1"/>
      <x:c r="E13" s="1"/>
      <x:c r="F13" s="1"/>
      <x:c r="G13" s="1"/>
      <x:c r="H13" s="7"/>
      <x:c r="I13" s="1"/>
      <x:c r="J13" s="1"/>
      <x:c r="K13" s="1"/>
    </x:row>
    <x:row r="14">
      <x:c r="B14" s="1" t="s">
        <x:v>20</x:v>
      </x:c>
      <x:c r="C14" s="1" t="s">
        <x:v>21</x:v>
      </x:c>
      <x:c r="D14" s="1"/>
      <x:c r="E14" s="1"/>
      <x:c r="F14" s="1"/>
      <x:c r="G14" s="1"/>
      <x:c r="H14" s="7"/>
      <x:c r="I14" s="1"/>
      <x:c r="J14" s="1"/>
      <x:c r="K14" s="1"/>
    </x:row>
    <x:row r="15">
      <x:c r="B15" s="1" t="s">
        <x:v>22</x:v>
      </x:c>
      <x:c r="C15" s="1" t="s">
        <x:v>23</x:v>
      </x:c>
      <x:c r="D15" s="1"/>
      <x:c r="E15" s="1"/>
      <x:c r="F15" s="1"/>
      <x:c r="G15" s="1"/>
      <x:c r="H15" s="7"/>
      <x:c r="I15" s="1"/>
      <x:c r="J15" s="1"/>
      <x:c r="K15" s="1"/>
    </x:row>
    <x:row r="16">
      <x:c r="B16" s="1" t="s">
        <x:v>24</x:v>
      </x:c>
      <x:c r="C16" s="18" t="n">
        <x:f>Inputs!C159</x:f>
        <x:v>46294</x:v>
      </x:c>
      <x:c r="D16" s="1"/>
      <x:c r="E16" s="1"/>
      <x:c r="F16" s="1"/>
      <x:c r="G16" s="1"/>
      <x:c r="H16" s="7"/>
      <x:c r="I16" s="1"/>
      <x:c r="J16" s="1"/>
      <x:c r="K16" s="1"/>
    </x:row>
    <x:row r="17" ht="32" customHeight="1">
      <x:c r="B17" s="20" t="s">
        <x:v>25</x:v>
      </x:c>
      <x:c r="C17" s="93" t="s">
        <x:v>26</x:v>
      </x:c>
      <x:c r="D17" s="93" t="str">
        <x:v>Street mean</x:v>
      </x:c>
      <x:c r="E17" s="93" t="s">
        <x:v>27</x:v>
      </x:c>
      <x:c r="F17" s="93" t="s">
        <x:v>28</x:v>
      </x:c>
      <x:c r="G17" s="93" t="s">
        <x:v>29</x:v>
      </x:c>
      <x:c r="H17" s="7"/>
      <x:c r="I17" s="1"/>
      <x:c r="J17" s="1"/>
      <x:c r="K17" s="1"/>
    </x:row>
    <x:row r="18">
      <x:c r="B18" s="1" t="s">
        <x:v>30</x:v>
      </x:c>
      <x:c r="C18" s="6" t="n">
        <x:f>'Revenue summary'!H60</x:f>
        <x:v>2479.4804082299997</x:v>
      </x:c>
      <x:c r="D18" s="6" t="n">
        <x:f>Inputs!C177</x:f>
        <x:v>2477.44</x:v>
      </x:c>
      <x:c r="E18" s="6" t="n">
        <x:f>Guidance!G10</x:f>
        <x:v>2477.5</x:v>
      </x:c>
      <x:c r="F18" s="2" t="n">
        <x:f>C18-D18</x:f>
        <x:v>2.0404082299996844</x:v>
      </x:c>
      <x:c r="G18" s="14" t="n">
        <x:f>IFERROR(F18/D18,0)</x:f>
        <x:v>0.0008235954170432722</x:v>
      </x:c>
      <x:c r="H18" s="7"/>
      <x:c r="I18" s="1"/>
      <x:c r="J18" s="1"/>
      <x:c r="K18" s="1"/>
    </x:row>
    <x:row r="19" ht="48" customHeight="1">
      <x:c r="B19" s="1" t="s">
        <x:v>31</x:v>
      </x:c>
      <x:c r="C19" s="6" t="n">
        <x:f>'Income Statement'!H45</x:f>
        <x:v>167.5044</x:v>
      </x:c>
      <x:c r="D19" s="77" t="s">
        <x:v>32</x:v>
      </x:c>
      <x:c r="E19" s="6" t="n">
        <x:f>E20*Guidance!G15</x:f>
        <x:v>165.039</x:v>
      </x:c>
      <x:c r="F19" s="77" t="s">
        <x:v>32</x:v>
      </x:c>
      <x:c r="G19" s="78" t="s">
        <x:v>32</x:v>
      </x:c>
      <x:c r="H19" s="7"/>
      <x:c r="I19" s="1"/>
      <x:c r="J19" s="89" t="s">
        <x:v>33</x:v>
      </x:c>
      <x:c r="K19" s="1"/>
    </x:row>
    <x:row r="20" ht="48" customHeight="1">
      <x:c r="B20" s="1" t="s">
        <x:v>34</x:v>
      </x:c>
      <x:c r="C20" s="22" t="n">
        <x:f>'Income Statement'!H46</x:f>
        <x:v>2.7504827586206897</x:v>
      </x:c>
      <x:c r="D20" s="22" t="n">
        <x:f>Inputs!C160</x:f>
        <x:v>2.81</x:v>
      </x:c>
      <x:c r="E20" s="22" t="n">
        <x:f>Guidance!G13</x:f>
        <x:v>2.71</x:v>
      </x:c>
      <x:c r="F20" s="12" t="n">
        <x:f>C20-D20</x:f>
        <x:v>-0.05951724137931036</x:v>
      </x:c>
      <x:c r="G20" s="14" t="n">
        <x:f>IFERROR(F20/D20,0)</x:f>
        <x:v>-0.021180512946373794</x:v>
      </x:c>
      <x:c r="H20" s="7"/>
      <x:c r="I20" s="1"/>
      <x:c r="J20" s="89"/>
      <x:c r="K20" s="1"/>
    </x:row>
    <x:row r="21" ht="48" customHeight="1">
      <x:c r="B21" s="1" t="s">
        <x:v>35</x:v>
      </x:c>
      <x:c r="C21" s="6" t="n">
        <x:f>'Income Statement'!H23</x:f>
        <x:v>50.625</x:v>
      </x:c>
      <x:c r="D21" s="6" t="n">
        <x:f>Inputs!C188</x:f>
        <x:v>50.15</x:v>
      </x:c>
      <x:c r="E21" s="77" t="s">
        <x:v>36</x:v>
      </x:c>
      <x:c r="F21" s="2" t="n">
        <x:f>C21-D21</x:f>
        <x:v>0.4750000000000014</x:v>
      </x:c>
      <x:c r="G21" s="14" t="n">
        <x:f>IFERROR(F21/D21,0)</x:f>
        <x:v>0.009471585244267227</x:v>
      </x:c>
      <x:c r="H21" s="7"/>
      <x:c r="I21" s="1"/>
      <x:c r="J21" s="89" t="s">
        <x:v>37</x:v>
      </x:c>
      <x:c r="K21" s="1"/>
    </x:row>
    <x:row r="22">
      <x:c r="B22" s="1" t="s">
        <x:v>38</x:v>
      </x:c>
      <x:c r="C22" s="22" t="n">
        <x:f>'Income Statement'!H28</x:f>
        <x:v>0.7913793103448276</x:v>
      </x:c>
      <x:c r="D22" s="22" t="n">
        <x:f>Inputs!C169</x:f>
        <x:v>0.81</x:v>
      </x:c>
      <x:c r="E22" s="79" t="s">
        <x:v>36</x:v>
      </x:c>
      <x:c r="F22" s="12" t="n">
        <x:f>C22-D22</x:f>
        <x:v>-0.018620689655172495</x:v>
      </x:c>
      <x:c r="G22" s="14" t="n">
        <x:f>IFERROR(F22/D22,0)</x:f>
        <x:v>-0.022988505747126537</x:v>
      </x:c>
      <x:c r="H22" s="7"/>
      <x:c r="I22" s="1"/>
      <x:c r="J22" s="1"/>
      <x:c r="K22" s="1"/>
    </x:row>
    <x:row r="23">
      <x:c r="B23" s="1" t="s">
        <x:v>39</x:v>
      </x:c>
      <x:c r="C23" s="32" t="n">
        <x:f>Inputs!H211</x:f>
        <x:v>0.42</x:v>
      </x:c>
      <x:c r="D23" s="1"/>
      <x:c r="E23" s="1"/>
      <x:c r="F23" s="1"/>
      <x:c r="G23" s="1"/>
      <x:c r="H23" s="7"/>
      <x:c r="I23" s="1"/>
      <x:c r="J23" s="1"/>
      <x:c r="K23" s="1"/>
    </x:row>
    <x:row r="24">
      <x:c r="B24" s="1" t="s">
        <x:v>40</x:v>
      </x:c>
      <x:c r="C24" s="17" t="str">
        <x:f>Inputs!H212</x:f>
        <x:v>low</x:v>
      </x:c>
      <x:c r="D24" s="1"/>
      <x:c r="E24" s="1"/>
      <x:c r="F24" s="1"/>
      <x:c r="G24" s="1"/>
      <x:c r="H24" s="7"/>
      <x:c r="I24" s="1"/>
      <x:c r="J24" s="1"/>
      <x:c r="K24" s="1"/>
    </x:row>
    <x:row r="25" ht="48" customHeight="1">
      <x:c r="B25" s="11" t="str">
        <x:v>Arithmetic and linkage checks</x:v>
      </x:c>
      <x:c r="C25" s="29" t="b">
        <x:f>AND(ABS('Revenue summary'!H67)&lt;Inputs!H110,'Revenue summary'!H68,ABS('Balance Sheet'!H39)&lt;Inputs!H110,ABS('Cash Flow Statement'!H19)&lt;Inputs!H110,ABS('Income Statement'!H47)&lt;Inputs!H110,C26,C27)</x:f>
        <x:v>1</x:v>
      </x:c>
      <x:c r="D25" s="1"/>
      <x:c r="E25" s="1"/>
      <x:c r="F25" s="1"/>
      <x:c r="G25" s="1"/>
      <x:c r="H25" s="7"/>
      <x:c r="I25" s="1"/>
      <x:c r="J25" s="89" t="str">
        <x:v>Checks verify internal consistency, not independent validation of every source or forecast assumption.</x:v>
      </x:c>
      <x:c r="K25" s="1"/>
    </x:row>
    <x:row r="26">
      <x:c r="B26" s="1" t="s">
        <x:v>41</x:v>
      </x:c>
      <x:c r="C26" s="30" t="b">
        <x:f>AND(C18='Revenue summary'!H60,C19='Income Statement'!H45,C20='Income Statement'!H46,C21='Income Statement'!H23,C22='Income Statement'!H28)</x:f>
        <x:v>1</x:v>
      </x:c>
      <x:c r="D26" s="1"/>
      <x:c r="E26" s="1"/>
      <x:c r="F26" s="1"/>
      <x:c r="G26" s="1"/>
      <x:c r="H26" s="7"/>
      <x:c r="I26" s="1"/>
      <x:c r="J26" s="1"/>
      <x:c r="K26" s="1"/>
    </x:row>
    <x:row r="27">
      <x:c r="B27" s="1" t="s">
        <x:v>42</x:v>
      </x:c>
      <x:c r="C27" s="30" t="b">
        <x:f>AND(C23=Inputs!H211,C24=Inputs!H212)</x:f>
        <x:v>1</x:v>
      </x:c>
      <x:c r="D27" s="1"/>
      <x:c r="E27" s="1"/>
      <x:c r="F27" s="1"/>
      <x:c r="G27" s="1"/>
      <x:c r="H27" s="7"/>
      <x:c r="I27" s="1"/>
      <x:c r="J27" s="1"/>
      <x:c r="K27" s="1"/>
    </x:row>
  </x:sheetData>
  <x:pageMargins left="0.7" right="0.7" top="0.75" bottom="0.75" header="0.3" footer="0.3"/>
  <x:drawing xmlns:r="http://schemas.openxmlformats.org/officeDocument/2006/relationships" r:id="R9d6674475b3c4e34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4" customWidth="1"/>
    <x:col min="2" max="2" width="47" hidden="0" customWidth="1"/>
    <x:col min="3" max="8" width="13" customWidth="1"/>
    <x:col min="9" max="9" width="18" customWidth="1"/>
    <x:col min="10" max="10" width="60" hidden="0" customWidth="1"/>
  </x:cols>
  <x:sheetData>
    <x:row r="1">
      <x:c r="I1" s="1"/>
      <x:c r="J1" s="1"/>
      <x:c r="K1" s="1"/>
    </x:row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B3" s="1" t="s">
        <x:v>43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85" t="s">
        <x:v>3</x:v>
      </x:c>
      <x:c r="C5" s="72" t="s">
        <x:v>4</x:v>
      </x:c>
      <x:c r="D5" s="72" t="s">
        <x:v>5</x:v>
      </x:c>
      <x:c r="E5" s="72" t="s">
        <x:v>6</x:v>
      </x:c>
      <x:c r="F5" s="72" t="s">
        <x:v>7</x:v>
      </x:c>
      <x:c r="G5" s="72" t="s">
        <x:v>8</x:v>
      </x:c>
      <x:c r="H5" s="73" t="s">
        <x:v>9</x:v>
      </x:c>
      <x:c r="I5" s="1"/>
      <x:c r="J5" s="1"/>
      <x:c r="K5" s="1"/>
    </x:row>
    <x:row r="6">
      <x:c r="B6" s="85" t="s">
        <x:v>10</x:v>
      </x:c>
      <x:c r="C6" s="74">
        <x:v>45900</x:v>
      </x:c>
      <x:c r="D6" s="74">
        <x:v>45991</x:v>
      </x:c>
      <x:c r="E6" s="74">
        <x:v>45991</x:v>
      </x:c>
      <x:c r="F6" s="74">
        <x:v>46081</x:v>
      </x:c>
      <x:c r="G6" s="74">
        <x:v>46173</x:v>
      </x:c>
      <x:c r="H6" s="75">
        <x:v>46265</x:v>
      </x:c>
      <x:c r="I6" s="1"/>
      <x:c r="J6" s="1"/>
      <x:c r="K6" s="1"/>
    </x:row>
    <x:row r="7">
      <x:c r="B7" s="85" t="s">
        <x:v>11</x:v>
      </x:c>
      <x:c r="C7" s="72">
        <x:v>92</x:v>
      </x:c>
      <x:c r="D7" s="72">
        <x:v>91</x:v>
      </x:c>
      <x:c r="E7" s="72">
        <x:v>365</x:v>
      </x:c>
      <x:c r="F7" s="72">
        <x:v>90</x:v>
      </x:c>
      <x:c r="G7" s="72">
        <x:v>92</x:v>
      </x:c>
      <x:c r="H7" s="73">
        <x:v>92</x:v>
      </x:c>
      <x:c r="I7" s="1"/>
      <x:c r="J7" s="1"/>
      <x:c r="K7" s="1"/>
    </x:row>
    <x:row r="8">
      <x:c r="B8" s="1"/>
      <x:c r="C8" s="1"/>
      <x:c r="D8" s="1"/>
      <x:c r="E8" s="1"/>
      <x:c r="F8" s="1"/>
      <x:c r="G8" s="1"/>
      <x:c r="H8" s="7"/>
      <x:c r="I8" s="1"/>
      <x:c r="J8" s="1"/>
      <x:c r="K8" s="1"/>
    </x:row>
    <x:row r="9" ht="32" customHeight="1">
      <x:c r="B9" s="89" t="s">
        <x:v>44</x:v>
      </x:c>
      <x:c r="C9" s="2"/>
      <x:c r="D9" s="2"/>
      <x:c r="E9" s="2"/>
      <x:c r="F9" s="2"/>
      <x:c r="G9" s="2"/>
      <x:c r="H9" s="13"/>
      <x:c r="I9" s="1"/>
      <x:c r="J9" s="1" t="s">
        <x:v>45</x:v>
      </x:c>
      <x:c r="K9" s="1"/>
    </x:row>
    <x:row r="10">
      <x:c r="B10" s="1"/>
      <x:c r="C10" s="2"/>
      <x:c r="D10" s="2"/>
      <x:c r="E10" s="2"/>
      <x:c r="F10" s="2"/>
      <x:c r="G10" s="2"/>
      <x:c r="H10" s="13"/>
      <x:c r="I10" s="1"/>
      <x:c r="J10" s="1"/>
      <x:c r="K10" s="1"/>
    </x:row>
    <x:row r="11">
      <x:c r="B11" s="11" t="s">
        <x:v>46</x:v>
      </x:c>
      <x:c r="C11" s="39" t="n">
        <x:f>Inputs!C11</x:f>
        <x:v>670.573</x:v>
      </x:c>
      <x:c r="D11" s="39" t="n">
        <x:f>Inputs!D11</x:f>
        <x:v>675.088</x:v>
      </x:c>
      <x:c r="E11" s="39" t="n">
        <x:f>Inputs!E11</x:f>
        <x:v>2666.072</x:v>
      </x:c>
      <x:c r="F11" s="39" t="n">
        <x:f>Inputs!F11</x:f>
        <x:v>635.089</x:v>
      </x:c>
      <x:c r="G11" s="39" t="n">
        <x:f>Inputs!G11</x:f>
        <x:v>624.244</x:v>
      </x:c>
      <x:c r="H11" s="45" t="n">
        <x:f>Inputs!H11</x:f>
        <x:v>618.955643325</x:v>
      </x:c>
      <x:c r="I11" s="1"/>
      <x:c r="J11" s="1"/>
      <x:c r="K11" s="1"/>
    </x:row>
    <x:row r="12">
      <x:c r="B12" s="41" t="s">
        <x:v>47</x:v>
      </x:c>
      <x:c r="C12" s="35" t="n">
        <x:f>IFERROR(C11/Inputs!C30-1,0)</x:f>
        <x:v>0.008639815651844351</x:v>
      </x:c>
      <x:c r="D12" s="35" t="n">
        <x:f>IFERROR(D11/Inputs!D30-1,0)</x:f>
        <x:v>-0.01567856106590304</x:v>
      </x:c>
      <x:c r="E12" s="35" t="n">
        <x:f>IFERROR(E11/Inputs!E30-1,0)</x:f>
        <x:v>-0.00297976096094299</x:v>
      </x:c>
      <x:c r="F12" s="35" t="n">
        <x:f>IFERROR(F11/Inputs!F30-1,0)</x:f>
        <x:v>-0.03436715058112305</x:v>
      </x:c>
      <x:c r="G12" s="35" t="n">
        <x:f>IFERROR(G11/Inputs!G30-1,0)</x:f>
        <x:v>-0.058056280263580784</x:v>
      </x:c>
      <x:c r="H12" s="42" t="n">
        <x:f>IFERROR(H11/C11-1,0)</x:f>
        <x:v>-0.07697500000000002</x:v>
      </x:c>
      <x:c r="I12" s="1"/>
      <x:c r="J12" s="1"/>
      <x:c r="K12" s="1"/>
    </x:row>
    <x:row r="13">
      <x:c r="B13" s="41" t="s">
        <x:v>48</x:v>
      </x:c>
      <x:c r="C13" s="33"/>
      <x:c r="D13" s="33" t="n">
        <x:f>IFERROR(D11/C11-1,0)</x:f>
        <x:v>0.006733047706961148</x:v>
      </x:c>
      <x:c r="E13" s="33"/>
      <x:c r="F13" s="33" t="n">
        <x:f>IFERROR(F11/D11-1,0)</x:f>
        <x:v>-0.059250053326381</x:v>
      </x:c>
      <x:c r="G13" s="33" t="n">
        <x:f>IFERROR(G11/F11-1,0)</x:f>
        <x:v>-0.01707634677974268</x:v>
      </x:c>
      <x:c r="H13" s="42" t="n">
        <x:f>IFERROR(H11/G11-1,0)</x:f>
        <x:v>-0.008471617949071253</x:v>
      </x:c>
      <x:c r="I13" s="1"/>
      <x:c r="J13" s="1"/>
      <x:c r="K13" s="1"/>
    </x:row>
    <x:row r="14">
      <x:c r="B14" s="41" t="s">
        <x:v>49</x:v>
      </x:c>
      <x:c r="C14" s="33" t="n">
        <x:f>IFERROR(C11/C60,0)</x:f>
        <x:v>0.2700381314348558</x:v>
      </x:c>
      <x:c r="D14" s="33" t="n">
        <x:f>IFERROR(D11/D60,0)</x:f>
        <x:v>0.2644370672855646</x:v>
      </x:c>
      <x:c r="E14" s="33" t="n">
        <x:f>IFERROR(E11/E60,0)</x:f>
        <x:v>0.271334636233635</x:v>
      </x:c>
      <x:c r="F14" s="33" t="n">
        <x:f>IFERROR(F11/F60,0)</x:f>
        <x:v>0.2539958750451429</x:v>
      </x:c>
      <x:c r="G14" s="33" t="n">
        <x:f>IFERROR(G11/G60,0)</x:f>
        <x:v>0.25350288104681756</x:v>
      </x:c>
      <x:c r="H14" s="42" t="n">
        <x:f>IFERROR(H11/H60,0)</x:f>
        <x:v>0.24963118936956927</x:v>
      </x:c>
      <x:c r="I14" s="1"/>
      <x:c r="J14" s="1"/>
      <x:c r="K14" s="1"/>
    </x:row>
    <x:row r="15">
      <x:c r="B15" s="41" t="str">
        <x:v>  Organic Y/Y (history: reported proxy)</x:v>
      </x:c>
      <x:c r="C15" s="33" t="n">
        <x:f>(1+C12)/((1+C16)*(1+C17))-1</x:f>
        <x:v>0.008639815651844351</x:v>
      </x:c>
      <x:c r="D15" s="33" t="n">
        <x:f>(1+D12)/((1+D16)*(1+D17))-1</x:f>
        <x:v>-0.01567856106590304</x:v>
      </x:c>
      <x:c r="E15" s="33" t="n">
        <x:f>(1+E12)/((1+E16)*(1+E17))-1</x:f>
        <x:v>-0.00297976096094299</x:v>
      </x:c>
      <x:c r="F15" s="33" t="n">
        <x:f>(1+F12)/((1+F16)*(1+F17))-1</x:f>
        <x:v>-0.03436715058112305</x:v>
      </x:c>
      <x:c r="G15" s="33" t="n">
        <x:f>(1+G12)/((1+G16)*(1+G17))-1</x:f>
        <x:v>-0.058056280263580784</x:v>
      </x:c>
      <x:c r="H15" s="42" t="n">
        <x:f>(1+H12)/((1+H16)*(1+H17))-1</x:f>
        <x:v>-0.07000000000000006</x:v>
      </x:c>
      <x:c r="I15" s="1"/>
      <x:c r="J15" s="1"/>
      <x:c r="K15" s="1"/>
    </x:row>
    <x:row r="16">
      <x:c r="B16" s="41" t="s">
        <x:v>50</x:v>
      </x:c>
      <x:c r="C16" s="35" t="n">
        <x:f>Inputs!J17</x:f>
        <x:v>0</x:v>
      </x:c>
      <x:c r="D16" s="35" t="n">
        <x:f>Inputs!J17</x:f>
        <x:v>0</x:v>
      </x:c>
      <x:c r="E16" s="35" t="n">
        <x:f>Inputs!J17</x:f>
        <x:v>0</x:v>
      </x:c>
      <x:c r="F16" s="35" t="n">
        <x:f>Inputs!J17</x:f>
        <x:v>0</x:v>
      </x:c>
      <x:c r="G16" s="35" t="n">
        <x:f>Inputs!J17</x:f>
        <x:v>0</x:v>
      </x:c>
      <x:c r="H16" s="48" t="n">
        <x:f>Inputs!J17</x:f>
        <x:v>0</x:v>
      </x:c>
      <x:c r="I16" s="1"/>
      <x:c r="J16" s="1"/>
      <x:c r="K16" s="1"/>
    </x:row>
    <x:row r="17">
      <x:c r="B17" s="41" t="s">
        <x:v>51</x:v>
      </x:c>
      <x:c r="C17" s="35" t="n">
        <x:f>Inputs!J17</x:f>
        <x:v>0</x:v>
      </x:c>
      <x:c r="D17" s="35" t="n">
        <x:f>Inputs!J17</x:f>
        <x:v>0</x:v>
      </x:c>
      <x:c r="E17" s="35" t="n">
        <x:f>Inputs!J17</x:f>
        <x:v>0</x:v>
      </x:c>
      <x:c r="F17" s="35" t="n">
        <x:f>Inputs!J17</x:f>
        <x:v>0</x:v>
      </x:c>
      <x:c r="G17" s="35" t="n">
        <x:f>Inputs!J17</x:f>
        <x:v>0</x:v>
      </x:c>
      <x:c r="H17" s="48" t="n">
        <x:f>Inputs!H119</x:f>
        <x:v>-0.0075</x:v>
      </x:c>
      <x:c r="I17" s="1"/>
      <x:c r="J17" s="1"/>
      <x:c r="K17" s="1"/>
    </x:row>
    <x:row r="18">
      <x:c r="B18" s="41" t="s">
        <x:v>52</x:v>
      </x:c>
      <x:c r="C18" s="33" t="n">
        <x:f>C12</x:f>
        <x:v>0.008639815651844351</x:v>
      </x:c>
      <x:c r="D18" s="33" t="n">
        <x:f>D12</x:f>
        <x:v>-0.01567856106590304</x:v>
      </x:c>
      <x:c r="E18" s="33" t="n">
        <x:f>E12</x:f>
        <x:v>-0.00297976096094299</x:v>
      </x:c>
      <x:c r="F18" s="33" t="n">
        <x:f>F12</x:f>
        <x:v>-0.03436715058112305</x:v>
      </x:c>
      <x:c r="G18" s="33" t="n">
        <x:f>G12</x:f>
        <x:v>-0.058056280263580784</x:v>
      </x:c>
      <x:c r="H18" s="42" t="n">
        <x:f>H12</x:f>
        <x:v>-0.07697500000000002</x:v>
      </x:c>
      <x:c r="I18" s="1"/>
      <x:c r="J18" s="1"/>
      <x:c r="K18" s="1"/>
    </x:row>
    <x:row r="19">
      <x:c r="B19" s="11" t="s">
        <x:v>53</x:v>
      </x:c>
      <x:c r="C19" s="39" t="n">
        <x:f>Inputs!C12</x:f>
        <x:v>622.822</x:v>
      </x:c>
      <x:c r="D19" s="39" t="n">
        <x:f>Inputs!D12</x:f>
        <x:v>643.383</x:v>
      </x:c>
      <x:c r="E19" s="39" t="n">
        <x:f>Inputs!E12</x:f>
        <x:v>2433.885</x:v>
      </x:c>
      <x:c r="F19" s="39" t="n">
        <x:f>Inputs!F12</x:f>
        <x:v>649.363</x:v>
      </x:c>
      <x:c r="G19" s="39" t="n">
        <x:f>Inputs!G12</x:f>
        <x:v>640.795</x:v>
      </x:c>
      <x:c r="H19" s="45" t="n">
        <x:f>Inputs!H12</x:f>
        <x:v>660.18509178</x:v>
      </x:c>
      <x:c r="I19" s="1"/>
      <x:c r="J19" s="1"/>
      <x:c r="K19" s="1"/>
    </x:row>
    <x:row r="20">
      <x:c r="B20" s="41" t="s">
        <x:v>47</x:v>
      </x:c>
      <x:c r="C20" s="35" t="n">
        <x:f>IFERROR(C19/Inputs!C31-1,0)</x:f>
        <x:v>0.04898810245631058</x:v>
      </x:c>
      <x:c r="D20" s="35" t="n">
        <x:f>IFERROR(D19/Inputs!D31-1,0)</x:f>
        <x:v>0.043881837371438026</x:v>
      </x:c>
      <x:c r="E20" s="35" t="n">
        <x:f>IFERROR(E19/Inputs!E31-1,0)</x:f>
        <x:v>0.030492415742468193</x:v>
      </x:c>
      <x:c r="F20" s="35" t="n">
        <x:f>IFERROR(F19/Inputs!F31-1,0)</x:f>
        <x:v>0.1121171848507787</x:v>
      </x:c>
      <x:c r="G20" s="35" t="n">
        <x:f>IFERROR(G19/Inputs!G31-1,0)</x:f>
        <x:v>0.09766145581741115</x:v>
      </x:c>
      <x:c r="H20" s="42" t="n">
        <x:f>IFERROR(H19/C19-1,0)</x:f>
        <x:v>0.05998999999999999</x:v>
      </x:c>
      <x:c r="I20" s="1"/>
      <x:c r="J20" s="1"/>
      <x:c r="K20" s="1"/>
    </x:row>
    <x:row r="21">
      <x:c r="B21" s="41" t="s">
        <x:v>48</x:v>
      </x:c>
      <x:c r="C21" s="33"/>
      <x:c r="D21" s="33" t="n">
        <x:f>IFERROR(D19/C19-1,0)</x:f>
        <x:v>0.03301264245643232</x:v>
      </x:c>
      <x:c r="E21" s="33"/>
      <x:c r="F21" s="33" t="n">
        <x:f>IFERROR(F19/D19-1,0)</x:f>
        <x:v>0.009294619223697342</x:v>
      </x:c>
      <x:c r="G21" s="33" t="n">
        <x:f>IFERROR(G19/F19-1,0)</x:f>
        <x:v>-0.01319446904119903</x:v>
      </x:c>
      <x:c r="H21" s="42" t="n">
        <x:f>IFERROR(H19/G19-1,0)</x:f>
        <x:v>0.030259430519901098</x:v>
      </x:c>
      <x:c r="I21" s="1"/>
      <x:c r="J21" s="1"/>
      <x:c r="K21" s="1"/>
    </x:row>
    <x:row r="22">
      <x:c r="B22" s="41" t="s">
        <x:v>49</x:v>
      </x:c>
      <x:c r="C22" s="33" t="n">
        <x:f>IFERROR(C19/C60,0)</x:f>
        <x:v>0.250808918785158</x:v>
      </x:c>
      <x:c r="D22" s="33" t="n">
        <x:f>IFERROR(D19/D60,0)</x:f>
        <x:v>0.2520179793765975</x:v>
      </x:c>
      <x:c r="E22" s="33" t="n">
        <x:f>IFERROR(E19/E60,0)</x:f>
        <x:v>0.24770422595845157</x:v>
      </x:c>
      <x:c r="F22" s="33" t="n">
        <x:f>IFERROR(F19/F60,0)</x:f>
        <x:v>0.2597045822033434</x:v>
      </x:c>
      <x:c r="G22" s="33" t="n">
        <x:f>IFERROR(G19/G60,0)</x:f>
        <x:v>0.2602241730163133</x:v>
      </x:c>
      <x:c r="H22" s="42" t="n">
        <x:f>IFERROR(H19/H60,0)</x:f>
        <x:v>0.2662594508061789</x:v>
      </x:c>
      <x:c r="I22" s="1"/>
      <x:c r="J22" s="1"/>
      <x:c r="K22" s="1"/>
    </x:row>
    <x:row r="23">
      <x:c r="B23" s="41" t="str">
        <x:v>  Organic Y/Y (history: reported proxy)</x:v>
      </x:c>
      <x:c r="C23" s="33" t="n">
        <x:f>(1+C20)/((1+C24)*(1+C25))-1</x:f>
        <x:v>0.04898810245631058</x:v>
      </x:c>
      <x:c r="D23" s="33" t="n">
        <x:f>(1+D20)/((1+D24)*(1+D25))-1</x:f>
        <x:v>0.043881837371438026</x:v>
      </x:c>
      <x:c r="E23" s="33" t="n">
        <x:f>(1+E20)/((1+E24)*(1+E25))-1</x:f>
        <x:v>0.030492415742468193</x:v>
      </x:c>
      <x:c r="F23" s="33" t="n">
        <x:f>(1+F20)/((1+F24)*(1+F25))-1</x:f>
        <x:v>0.1121171848507787</x:v>
      </x:c>
      <x:c r="G23" s="33" t="n">
        <x:f>(1+G20)/((1+G24)*(1+G25))-1</x:f>
        <x:v>0.09766145581741115</x:v>
      </x:c>
      <x:c r="H23" s="42" t="n">
        <x:f>(1+H20)/((1+H24)*(1+H25))-1</x:f>
        <x:v>0.06799999999999984</x:v>
      </x:c>
      <x:c r="I23" s="1"/>
      <x:c r="J23" s="1"/>
      <x:c r="K23" s="1"/>
    </x:row>
    <x:row r="24">
      <x:c r="B24" s="41" t="s">
        <x:v>50</x:v>
      </x:c>
      <x:c r="C24" s="35" t="n">
        <x:f>Inputs!J17</x:f>
        <x:v>0</x:v>
      </x:c>
      <x:c r="D24" s="35" t="n">
        <x:f>Inputs!J17</x:f>
        <x:v>0</x:v>
      </x:c>
      <x:c r="E24" s="35" t="n">
        <x:f>Inputs!J17</x:f>
        <x:v>0</x:v>
      </x:c>
      <x:c r="F24" s="35" t="n">
        <x:f>Inputs!J17</x:f>
        <x:v>0</x:v>
      </x:c>
      <x:c r="G24" s="35" t="n">
        <x:f>Inputs!J17</x:f>
        <x:v>0</x:v>
      </x:c>
      <x:c r="H24" s="48" t="n">
        <x:f>Inputs!J17</x:f>
        <x:v>0</x:v>
      </x:c>
      <x:c r="I24" s="1"/>
      <x:c r="J24" s="1"/>
      <x:c r="K24" s="1"/>
    </x:row>
    <x:row r="25">
      <x:c r="B25" s="41" t="s">
        <x:v>51</x:v>
      </x:c>
      <x:c r="C25" s="35" t="n">
        <x:f>Inputs!J17</x:f>
        <x:v>0</x:v>
      </x:c>
      <x:c r="D25" s="35" t="n">
        <x:f>Inputs!J17</x:f>
        <x:v>0</x:v>
      </x:c>
      <x:c r="E25" s="35" t="n">
        <x:f>Inputs!J17</x:f>
        <x:v>0</x:v>
      </x:c>
      <x:c r="F25" s="35" t="n">
        <x:f>Inputs!J17</x:f>
        <x:v>0</x:v>
      </x:c>
      <x:c r="G25" s="35" t="n">
        <x:f>Inputs!J17</x:f>
        <x:v>0</x:v>
      </x:c>
      <x:c r="H25" s="48" t="n">
        <x:f>Inputs!H119</x:f>
        <x:v>-0.0075</x:v>
      </x:c>
      <x:c r="I25" s="1"/>
      <x:c r="J25" s="1"/>
      <x:c r="K25" s="1"/>
    </x:row>
    <x:row r="26">
      <x:c r="B26" s="41" t="s">
        <x:v>52</x:v>
      </x:c>
      <x:c r="C26" s="33" t="n">
        <x:f>C20</x:f>
        <x:v>0.04898810245631058</x:v>
      </x:c>
      <x:c r="D26" s="33" t="n">
        <x:f>D20</x:f>
        <x:v>0.043881837371438026</x:v>
      </x:c>
      <x:c r="E26" s="33" t="n">
        <x:f>E20</x:f>
        <x:v>0.030492415742468193</x:v>
      </x:c>
      <x:c r="F26" s="33" t="n">
        <x:f>F20</x:f>
        <x:v>0.1121171848507787</x:v>
      </x:c>
      <x:c r="G26" s="33" t="n">
        <x:f>G20</x:f>
        <x:v>0.09766145581741115</x:v>
      </x:c>
      <x:c r="H26" s="42" t="n">
        <x:f>H20</x:f>
        <x:v>0.05998999999999999</x:v>
      </x:c>
      <x:c r="I26" s="1"/>
      <x:c r="J26" s="1"/>
      <x:c r="K26" s="1"/>
    </x:row>
    <x:row r="27">
      <x:c r="B27" s="11" t="s">
        <x:v>54</x:v>
      </x:c>
      <x:c r="C27" s="39" t="n">
        <x:f>Inputs!C13</x:f>
        <x:v>411.229</x:v>
      </x:c>
      <x:c r="D27" s="39" t="n">
        <x:f>Inputs!D13</x:f>
        <x:v>417.181</x:v>
      </x:c>
      <x:c r="E27" s="39" t="n">
        <x:f>Inputs!E13</x:f>
        <x:v>1592.373</x:v>
      </x:c>
      <x:c r="F27" s="39" t="n">
        <x:f>Inputs!F13</x:f>
        <x:v>394.016</x:v>
      </x:c>
      <x:c r="G27" s="39" t="n">
        <x:f>Inputs!G13</x:f>
        <x:v>392.255</x:v>
      </x:c>
      <x:c r="H27" s="45" t="n">
        <x:f>Inputs!H13</x:f>
        <x:v>391.81899119999997</x:v>
      </x:c>
      <x:c r="I27" s="1"/>
      <x:c r="J27" s="1"/>
      <x:c r="K27" s="1"/>
    </x:row>
    <x:row r="28">
      <x:c r="B28" s="41" t="s">
        <x:v>47</x:v>
      </x:c>
      <x:c r="C28" s="35" t="n">
        <x:f>IFERROR(C27/Inputs!C32-1,0)</x:f>
        <x:v>0.08073680448242881</x:v>
      </x:c>
      <x:c r="D28" s="35" t="n">
        <x:f>IFERROR(D27/Inputs!D32-1,0)</x:f>
        <x:v>0.08079099265277367</x:v>
      </x:c>
      <x:c r="E28" s="35" t="n">
        <x:f>IFERROR(E27/Inputs!E32-1,0)</x:f>
        <x:v>0.04218212709811109</x:v>
      </x:c>
      <x:c r="F28" s="35" t="n">
        <x:f>IFERROR(F27/Inputs!F32-1,0)</x:f>
        <x:v>0.0620377358490567</x:v>
      </x:c>
      <x:c r="G28" s="35" t="n">
        <x:f>IFERROR(G27/Inputs!G32-1,0)</x:f>
        <x:v>-0.0018016963429127175</x:v>
      </x:c>
      <x:c r="H28" s="42" t="n">
        <x:f>IFERROR(H27/C27-1,0)</x:f>
        <x:v>-0.04720000000000002</x:v>
      </x:c>
      <x:c r="I28" s="1"/>
      <x:c r="J28" s="1"/>
      <x:c r="K28" s="1"/>
    </x:row>
    <x:row r="29">
      <x:c r="B29" s="41" t="s">
        <x:v>48</x:v>
      </x:c>
      <x:c r="C29" s="33"/>
      <x:c r="D29" s="33" t="n">
        <x:f>IFERROR(D27/C27-1,0)</x:f>
        <x:v>0.014473687410177849</x:v>
      </x:c>
      <x:c r="E29" s="33"/>
      <x:c r="F29" s="33" t="n">
        <x:f>IFERROR(F27/D27-1,0)</x:f>
        <x:v>-0.05552745690719363</x:v>
      </x:c>
      <x:c r="G29" s="33" t="n">
        <x:f>IFERROR(G27/F27-1,0)</x:f>
        <x:v>-0.004469361650288328</x:v>
      </x:c>
      <x:c r="H29" s="42" t="n">
        <x:f>IFERROR(H27/G27-1,0)</x:f>
        <x:v>-0.0011115442760449845</x:v>
      </x:c>
      <x:c r="I29" s="1"/>
      <x:c r="J29" s="1"/>
      <x:c r="K29" s="1"/>
    </x:row>
    <x:row r="30">
      <x:c r="B30" s="41" t="s">
        <x:v>49</x:v>
      </x:c>
      <x:c r="C30" s="33" t="n">
        <x:f>IFERROR(C27/C60,0)</x:f>
        <x:v>0.1656009274930907</x:v>
      </x:c>
      <x:c r="D30" s="33" t="n">
        <x:f>IFERROR(D27/D60,0)</x:f>
        <x:v>0.163412947893103</x:v>
      </x:c>
      <x:c r="E30" s="33" t="n">
        <x:f>IFERROR(E27/E60,0)</x:f>
        <x:v>0.16206087033780864</x:v>
      </x:c>
      <x:c r="F30" s="33" t="n">
        <x:f>IFERROR(F27/F60,0)</x:f>
        <x:v>0.15758175421364098</x:v>
      </x:c>
      <x:c r="G30" s="33" t="n">
        <x:f>IFERROR(G27/G60,0)</x:f>
        <x:v>0.15929311712250246</x:v>
      </x:c>
      <x:c r="H30" s="42" t="n">
        <x:f>IFERROR(H27/H60,0)</x:f>
        <x:v>0.15802463689547908</x:v>
      </x:c>
      <x:c r="I30" s="1"/>
      <x:c r="J30" s="1"/>
      <x:c r="K30" s="1"/>
    </x:row>
    <x:row r="31">
      <x:c r="B31" s="41" t="str">
        <x:v>  Organic Y/Y (history: reported proxy)</x:v>
      </x:c>
      <x:c r="C31" s="33" t="n">
        <x:f>(1+C28)/((1+C32)*(1+C33))-1</x:f>
        <x:v>0.08073680448242881</x:v>
      </x:c>
      <x:c r="D31" s="33" t="n">
        <x:f>(1+D28)/((1+D32)*(1+D33))-1</x:f>
        <x:v>0.08079099265277367</x:v>
      </x:c>
      <x:c r="E31" s="33" t="n">
        <x:f>(1+E28)/((1+E32)*(1+E33))-1</x:f>
        <x:v>0.04218212709811109</x:v>
      </x:c>
      <x:c r="F31" s="33" t="n">
        <x:f>(1+F28)/((1+F32)*(1+F33))-1</x:f>
        <x:v>0.0620377358490567</x:v>
      </x:c>
      <x:c r="G31" s="33" t="n">
        <x:f>(1+G28)/((1+G32)*(1+G33))-1</x:f>
        <x:v>-0.0018016963429127175</x:v>
      </x:c>
      <x:c r="H31" s="42" t="n">
        <x:f>(1+H28)/((1+H32)*(1+H33))-1</x:f>
        <x:v>-0.040000000000000036</x:v>
      </x:c>
      <x:c r="I31" s="1"/>
      <x:c r="J31" s="1"/>
      <x:c r="K31" s="1"/>
    </x:row>
    <x:row r="32">
      <x:c r="B32" s="41" t="s">
        <x:v>50</x:v>
      </x:c>
      <x:c r="C32" s="35" t="n">
        <x:f>Inputs!J17</x:f>
        <x:v>0</x:v>
      </x:c>
      <x:c r="D32" s="35" t="n">
        <x:f>Inputs!J17</x:f>
        <x:v>0</x:v>
      </x:c>
      <x:c r="E32" s="35" t="n">
        <x:f>Inputs!J17</x:f>
        <x:v>0</x:v>
      </x:c>
      <x:c r="F32" s="35" t="n">
        <x:f>Inputs!J17</x:f>
        <x:v>0</x:v>
      </x:c>
      <x:c r="G32" s="35" t="n">
        <x:f>Inputs!J17</x:f>
        <x:v>0</x:v>
      </x:c>
      <x:c r="H32" s="48" t="n">
        <x:f>Inputs!J17</x:f>
        <x:v>0</x:v>
      </x:c>
      <x:c r="I32" s="1"/>
      <x:c r="J32" s="1"/>
      <x:c r="K32" s="1"/>
    </x:row>
    <x:row r="33">
      <x:c r="B33" s="41" t="s">
        <x:v>51</x:v>
      </x:c>
      <x:c r="C33" s="35" t="n">
        <x:f>Inputs!J17</x:f>
        <x:v>0</x:v>
      </x:c>
      <x:c r="D33" s="35" t="n">
        <x:f>Inputs!J17</x:f>
        <x:v>0</x:v>
      </x:c>
      <x:c r="E33" s="35" t="n">
        <x:f>Inputs!J17</x:f>
        <x:v>0</x:v>
      </x:c>
      <x:c r="F33" s="35" t="n">
        <x:f>Inputs!J17</x:f>
        <x:v>0</x:v>
      </x:c>
      <x:c r="G33" s="35" t="n">
        <x:f>Inputs!J17</x:f>
        <x:v>0</x:v>
      </x:c>
      <x:c r="H33" s="48" t="n">
        <x:f>Inputs!H119</x:f>
        <x:v>-0.0075</x:v>
      </x:c>
      <x:c r="I33" s="1"/>
      <x:c r="J33" s="1"/>
      <x:c r="K33" s="1"/>
    </x:row>
    <x:row r="34">
      <x:c r="B34" s="41" t="s">
        <x:v>52</x:v>
      </x:c>
      <x:c r="C34" s="33" t="n">
        <x:f>C28</x:f>
        <x:v>0.08073680448242881</x:v>
      </x:c>
      <x:c r="D34" s="33" t="n">
        <x:f>D28</x:f>
        <x:v>0.08079099265277367</x:v>
      </x:c>
      <x:c r="E34" s="33" t="n">
        <x:f>E28</x:f>
        <x:v>0.04218212709811109</x:v>
      </x:c>
      <x:c r="F34" s="33" t="n">
        <x:f>F28</x:f>
        <x:v>0.0620377358490567</x:v>
      </x:c>
      <x:c r="G34" s="33" t="n">
        <x:f>G28</x:f>
        <x:v>-0.0018016963429127175</x:v>
      </x:c>
      <x:c r="H34" s="42" t="n">
        <x:f>H28</x:f>
        <x:v>-0.04720000000000002</x:v>
      </x:c>
      <x:c r="I34" s="1"/>
      <x:c r="J34" s="1"/>
      <x:c r="K34" s="1"/>
    </x:row>
    <x:row r="35" ht="27">
      <x:c r="B35" s="51" t="s">
        <x:v>55</x:v>
      </x:c>
      <x:c r="C35" s="39" t="n">
        <x:f>Inputs!C14</x:f>
        <x:v>384.449</x:v>
      </x:c>
      <x:c r="D35" s="39" t="n">
        <x:f>Inputs!D14</x:f>
        <x:v>402.566</x:v>
      </x:c>
      <x:c r="E35" s="39" t="n">
        <x:f>Inputs!E14</x:f>
        <x:v>1536.223</x:v>
      </x:c>
      <x:c r="F35" s="39" t="n">
        <x:f>Inputs!F14</x:f>
        <x:v>421.605</x:v>
      </x:c>
      <x:c r="G35" s="39" t="n">
        <x:f>Inputs!G14</x:f>
        <x:v>432.388</x:v>
      </x:c>
      <x:c r="H35" s="45" t="n">
        <x:f>Inputs!H14</x:f>
        <x:v>434.9848210500001</x:v>
      </x:c>
      <x:c r="I35" s="1"/>
      <x:c r="J35" s="1"/>
      <x:c r="K35" s="1"/>
    </x:row>
    <x:row r="36">
      <x:c r="B36" s="41" t="s">
        <x:v>47</x:v>
      </x:c>
      <x:c r="C36" s="35" t="n">
        <x:f>IFERROR(C35/Inputs!C33-1,0)</x:f>
        <x:v>0.09072519441315752</x:v>
      </x:c>
      <x:c r="D36" s="35" t="n">
        <x:f>IFERROR(D35/Inputs!D33-1,0)</x:f>
        <x:v>0.118161238802861</x:v>
      </x:c>
      <x:c r="E36" s="35" t="n">
        <x:f>IFERROR(E35/Inputs!E33-1,0)</x:f>
        <x:v>0.05535842972271321</x:v>
      </x:c>
      <x:c r="F36" s="35" t="n">
        <x:f>IFERROR(F35/Inputs!F33-1,0)</x:f>
        <x:v>0.15447174507726058</x:v>
      </x:c>
      <x:c r="G36" s="35" t="n">
        <x:f>IFERROR(G35/Inputs!G33-1,0)</x:f>
        <x:v>0.1259664336028541</x:v>
      </x:c>
      <x:c r="H36" s="42" t="n">
        <x:f>IFERROR(H35/C35-1,0)</x:f>
        <x:v>0.1314500000000003</x:v>
      </x:c>
      <x:c r="I36" s="1"/>
      <x:c r="J36" s="1"/>
      <x:c r="K36" s="1"/>
    </x:row>
    <x:row r="37">
      <x:c r="B37" s="41" t="s">
        <x:v>48</x:v>
      </x:c>
      <x:c r="C37" s="33"/>
      <x:c r="D37" s="33" t="n">
        <x:f>IFERROR(D35/C35-1,0)</x:f>
        <x:v>0.047124586095945054</x:v>
      </x:c>
      <x:c r="E37" s="33"/>
      <x:c r="F37" s="33" t="n">
        <x:f>IFERROR(F35/D35-1,0)</x:f>
        <x:v>0.0472941082952858</x:v>
      </x:c>
      <x:c r="G37" s="33" t="n">
        <x:f>IFERROR(G35/F35-1,0)</x:f>
        <x:v>0.025576072390033122</x:v>
      </x:c>
      <x:c r="H37" s="42" t="n">
        <x:f>IFERROR(H35/G35-1,0)</x:f>
        <x:v>0.006005765770558336</x:v>
      </x:c>
      <x:c r="I37" s="1"/>
      <x:c r="J37" s="1"/>
      <x:c r="K37" s="1"/>
    </x:row>
    <x:row r="38">
      <x:c r="B38" s="41" t="s">
        <x:v>49</x:v>
      </x:c>
      <x:c r="C38" s="33" t="n">
        <x:f>IFERROR(C35/C60,0)</x:f>
        <x:v>0.1548166860162859</x:v>
      </x:c>
      <x:c r="D38" s="33" t="n">
        <x:f>IFERROR(D35/D60,0)</x:f>
        <x:v>0.15768814203315806</x:v>
      </x:c>
      <x:c r="E38" s="33" t="n">
        <x:f>IFERROR(E35/E60,0)</x:f>
        <x:v>0.15634630605577926</x:v>
      </x:c>
      <x:c r="F38" s="33" t="n">
        <x:f>IFERROR(F35/F60,0)</x:f>
        <x:v>0.16861562851570014</x:v>
      </x:c>
      <x:c r="G38" s="33" t="n">
        <x:f>IFERROR(G35/G60,0)</x:f>
        <x:v>0.17559096079429093</x:v>
      </x:c>
      <x:c r="H38" s="42" t="n">
        <x:f>IFERROR(H35/H60,0)</x:f>
        <x:v>0.17543386090334873</x:v>
      </x:c>
      <x:c r="I38" s="1"/>
      <x:c r="J38" s="1"/>
      <x:c r="K38" s="1"/>
    </x:row>
    <x:row r="39">
      <x:c r="B39" s="41" t="str">
        <x:v>  Organic Y/Y (history: reported proxy)</x:v>
      </x:c>
      <x:c r="C39" s="33" t="n">
        <x:f>(1+C36)/((1+C40)*(1+C41))-1</x:f>
        <x:v>0.09072519441315752</x:v>
      </x:c>
      <x:c r="D39" s="33" t="n">
        <x:f>(1+D36)/((1+D40)*(1+D41))-1</x:f>
        <x:v>0.118161238802861</x:v>
      </x:c>
      <x:c r="E39" s="33" t="n">
        <x:f>(1+E36)/((1+E40)*(1+E41))-1</x:f>
        <x:v>0.05535842972271321</x:v>
      </x:c>
      <x:c r="F39" s="33" t="n">
        <x:f>(1+F36)/((1+F40)*(1+F41))-1</x:f>
        <x:v>0.15447174507726058</x:v>
      </x:c>
      <x:c r="G39" s="33" t="n">
        <x:f>(1+G36)/((1+G40)*(1+G41))-1</x:f>
        <x:v>0.1259664336028541</x:v>
      </x:c>
      <x:c r="H39" s="42" t="n">
        <x:f>(1+H36)/((1+H40)*(1+H41))-1</x:f>
        <x:v>0.14000000000000012</x:v>
      </x:c>
      <x:c r="I39" s="1"/>
      <x:c r="J39" s="1"/>
      <x:c r="K39" s="1"/>
    </x:row>
    <x:row r="40">
      <x:c r="B40" s="41" t="s">
        <x:v>50</x:v>
      </x:c>
      <x:c r="C40" s="35" t="n">
        <x:f>Inputs!J17</x:f>
        <x:v>0</x:v>
      </x:c>
      <x:c r="D40" s="35" t="n">
        <x:f>Inputs!J17</x:f>
        <x:v>0</x:v>
      </x:c>
      <x:c r="E40" s="35" t="n">
        <x:f>Inputs!J17</x:f>
        <x:v>0</x:v>
      </x:c>
      <x:c r="F40" s="35" t="n">
        <x:f>Inputs!J17</x:f>
        <x:v>0</x:v>
      </x:c>
      <x:c r="G40" s="35" t="n">
        <x:f>Inputs!J17</x:f>
        <x:v>0</x:v>
      </x:c>
      <x:c r="H40" s="48" t="n">
        <x:f>Inputs!J17</x:f>
        <x:v>0</x:v>
      </x:c>
      <x:c r="I40" s="1"/>
      <x:c r="J40" s="1"/>
      <x:c r="K40" s="1"/>
    </x:row>
    <x:row r="41">
      <x:c r="B41" s="41" t="s">
        <x:v>51</x:v>
      </x:c>
      <x:c r="C41" s="35" t="n">
        <x:f>Inputs!J17</x:f>
        <x:v>0</x:v>
      </x:c>
      <x:c r="D41" s="35" t="n">
        <x:f>Inputs!J17</x:f>
        <x:v>0</x:v>
      </x:c>
      <x:c r="E41" s="35" t="n">
        <x:f>Inputs!J17</x:f>
        <x:v>0</x:v>
      </x:c>
      <x:c r="F41" s="35" t="n">
        <x:f>Inputs!J17</x:f>
        <x:v>0</x:v>
      </x:c>
      <x:c r="G41" s="35" t="n">
        <x:f>Inputs!J17</x:f>
        <x:v>0</x:v>
      </x:c>
      <x:c r="H41" s="48" t="n">
        <x:f>Inputs!H119</x:f>
        <x:v>-0.0075</x:v>
      </x:c>
      <x:c r="I41" s="1"/>
      <x:c r="J41" s="1"/>
      <x:c r="K41" s="1"/>
    </x:row>
    <x:row r="42">
      <x:c r="B42" s="41" t="s">
        <x:v>52</x:v>
      </x:c>
      <x:c r="C42" s="33" t="n">
        <x:f>C36</x:f>
        <x:v>0.09072519441315752</x:v>
      </x:c>
      <x:c r="D42" s="33" t="n">
        <x:f>D36</x:f>
        <x:v>0.118161238802861</x:v>
      </x:c>
      <x:c r="E42" s="33" t="n">
        <x:f>E36</x:f>
        <x:v>0.05535842972271321</x:v>
      </x:c>
      <x:c r="F42" s="33" t="n">
        <x:f>F36</x:f>
        <x:v>0.15447174507726058</x:v>
      </x:c>
      <x:c r="G42" s="33" t="n">
        <x:f>G36</x:f>
        <x:v>0.1259664336028541</x:v>
      </x:c>
      <x:c r="H42" s="42" t="n">
        <x:f>H36</x:f>
        <x:v>0.1314500000000003</x:v>
      </x:c>
      <x:c r="I42" s="1"/>
      <x:c r="J42" s="1"/>
      <x:c r="K42" s="1"/>
    </x:row>
    <x:row r="43">
      <x:c r="B43" s="11" t="s">
        <x:v>56</x:v>
      </x:c>
      <x:c r="C43" s="39" t="n">
        <x:f>Inputs!C15</x:f>
        <x:v>174.106</x:v>
      </x:c>
      <x:c r="D43" s="39" t="n">
        <x:f>Inputs!D15</x:f>
        <x:v>184.986</x:v>
      </x:c>
      <x:c r="E43" s="39" t="n">
        <x:f>Inputs!E15</x:f>
        <x:v>725.283</x:v>
      </x:c>
      <x:c r="F43" s="39" t="n">
        <x:f>Inputs!F15</x:f>
        <x:v>178.83</x:v>
      </x:c>
      <x:c r="G43" s="39" t="n">
        <x:f>Inputs!G15</x:f>
        <x:v>151.869</x:v>
      </x:c>
      <x:c r="H43" s="45" t="n">
        <x:f>Inputs!H15</x:f>
        <x:v>152.92818142500002</x:v>
      </x:c>
      <x:c r="I43" s="1"/>
      <x:c r="J43" s="1"/>
      <x:c r="K43" s="1"/>
    </x:row>
    <x:row r="44">
      <x:c r="B44" s="41" t="s">
        <x:v>47</x:v>
      </x:c>
      <x:c r="C44" s="35" t="n">
        <x:f>IFERROR(C43/Inputs!C34-1,0)</x:f>
        <x:v>0.00989559164733178</x:v>
      </x:c>
      <x:c r="D44" s="35" t="n">
        <x:f>IFERROR(D43/Inputs!D34-1,0)</x:f>
        <x:v>-0.01196942748642027</x:v>
      </x:c>
      <x:c r="E44" s="35" t="n">
        <x:f>IFERROR(E43/Inputs!E34-1,0)</x:f>
        <x:v>-0.0028952871159723115</x:v>
      </x:c>
      <x:c r="F44" s="35" t="n">
        <x:f>IFERROR(F43/Inputs!F34-1,0)</x:f>
        <x:v>-0.05782250204156891</x:v>
      </x:c>
      <x:c r="G44" s="35" t="n">
        <x:f>IFERROR(G43/Inputs!G34-1,0)</x:f>
        <x:v>-0.1389962922227388</x:v>
      </x:c>
      <x:c r="H44" s="42" t="n">
        <x:f>IFERROR(H43/C43-1,0)</x:f>
        <x:v>-0.12163749999999984</x:v>
      </x:c>
      <x:c r="I44" s="1"/>
      <x:c r="J44" s="1"/>
      <x:c r="K44" s="1"/>
    </x:row>
    <x:row r="45">
      <x:c r="B45" s="41" t="s">
        <x:v>48</x:v>
      </x:c>
      <x:c r="C45" s="33"/>
      <x:c r="D45" s="33" t="n">
        <x:f>IFERROR(D43/C43-1,0)</x:f>
        <x:v>0.06249066660540126</x:v>
      </x:c>
      <x:c r="E45" s="33"/>
      <x:c r="F45" s="33" t="n">
        <x:f>IFERROR(F43/D43-1,0)</x:f>
        <x:v>-0.0332781940254937</x:v>
      </x:c>
      <x:c r="G45" s="33" t="n">
        <x:f>IFERROR(G43/F43-1,0)</x:f>
        <x:v>-0.15076329474920325</x:v>
      </x:c>
      <x:c r="H45" s="42" t="n">
        <x:f>IFERROR(H43/G43-1,0)</x:f>
        <x:v>0.0069743096023549</x:v>
      </x:c>
      <x:c r="I45" s="1"/>
      <x:c r="J45" s="1"/>
      <x:c r="K45" s="1"/>
    </x:row>
    <x:row r="46">
      <x:c r="B46" s="41" t="s">
        <x:v>49</x:v>
      </x:c>
      <x:c r="C46" s="33" t="n">
        <x:f>IFERROR(C43/C60,0)</x:f>
        <x:v>0.07011206671249365</x:v>
      </x:c>
      <x:c r="D46" s="33" t="n">
        <x:f>IFERROR(D43/D60,0)</x:f>
        <x:v>0.07246041305561268</x:v>
      </x:c>
      <x:c r="E46" s="33" t="n">
        <x:f>IFERROR(E43/E60,0)</x:f>
        <x:v>0.07381436021661812</x:v>
      </x:c>
      <x:c r="F46" s="33" t="n">
        <x:f>IFERROR(F43/F60,0)</x:f>
        <x:v>0.07152081414466778</x:v>
      </x:c>
      <x:c r="G46" s="33" t="n">
        <x:f>IFERROR(G43/G60,0)</x:f>
        <x:v>0.06167336657092281</x:v>
      </x:c>
      <x:c r="H46" s="42" t="n">
        <x:f>IFERROR(H43/H60,0)</x:f>
        <x:v>0.06167751151305496</x:v>
      </x:c>
      <x:c r="I46" s="1"/>
      <x:c r="J46" s="1"/>
      <x:c r="K46" s="1"/>
    </x:row>
    <x:row r="47">
      <x:c r="B47" s="41" t="str">
        <x:v>  Organic Y/Y (history: reported proxy)</x:v>
      </x:c>
      <x:c r="C47" s="33" t="n">
        <x:f>(1+C44)/((1+C48)*(1+C49))-1</x:f>
        <x:v>0.00989559164733178</x:v>
      </x:c>
      <x:c r="D47" s="33" t="n">
        <x:f>(1+D44)/((1+D48)*(1+D49))-1</x:f>
        <x:v>-0.01196942748642027</x:v>
      </x:c>
      <x:c r="E47" s="33" t="n">
        <x:f>(1+E44)/((1+E48)*(1+E49))-1</x:f>
        <x:v>-0.0028952871159723115</x:v>
      </x:c>
      <x:c r="F47" s="33" t="n">
        <x:f>(1+F44)/((1+F48)*(1+F49))-1</x:f>
        <x:v>-0.05782250204156891</x:v>
      </x:c>
      <x:c r="G47" s="33" t="n">
        <x:f>(1+G44)/((1+G48)*(1+G49))-1</x:f>
        <x:v>-0.1389962922227388</x:v>
      </x:c>
      <x:c r="H47" s="42" t="n">
        <x:f>(1+H44)/((1+H48)*(1+H49))-1</x:f>
        <x:v>-0.11499999999999988</x:v>
      </x:c>
      <x:c r="I47" s="1"/>
      <x:c r="J47" s="1"/>
      <x:c r="K47" s="1"/>
    </x:row>
    <x:row r="48">
      <x:c r="B48" s="41" t="s">
        <x:v>50</x:v>
      </x:c>
      <x:c r="C48" s="35" t="n">
        <x:f>Inputs!J17</x:f>
        <x:v>0</x:v>
      </x:c>
      <x:c r="D48" s="35" t="n">
        <x:f>Inputs!J17</x:f>
        <x:v>0</x:v>
      </x:c>
      <x:c r="E48" s="35" t="n">
        <x:f>Inputs!J17</x:f>
        <x:v>0</x:v>
      </x:c>
      <x:c r="F48" s="35" t="n">
        <x:f>Inputs!J17</x:f>
        <x:v>0</x:v>
      </x:c>
      <x:c r="G48" s="35" t="n">
        <x:f>Inputs!J17</x:f>
        <x:v>0</x:v>
      </x:c>
      <x:c r="H48" s="48" t="n">
        <x:f>Inputs!J17</x:f>
        <x:v>0</x:v>
      </x:c>
      <x:c r="I48" s="1"/>
      <x:c r="J48" s="1"/>
      <x:c r="K48" s="1"/>
    </x:row>
    <x:row r="49">
      <x:c r="B49" s="41" t="s">
        <x:v>51</x:v>
      </x:c>
      <x:c r="C49" s="35" t="n">
        <x:f>Inputs!J17</x:f>
        <x:v>0</x:v>
      </x:c>
      <x:c r="D49" s="35" t="n">
        <x:f>Inputs!J17</x:f>
        <x:v>0</x:v>
      </x:c>
      <x:c r="E49" s="35" t="n">
        <x:f>Inputs!J17</x:f>
        <x:v>0</x:v>
      </x:c>
      <x:c r="F49" s="35" t="n">
        <x:f>Inputs!J17</x:f>
        <x:v>0</x:v>
      </x:c>
      <x:c r="G49" s="35" t="n">
        <x:f>Inputs!J17</x:f>
        <x:v>0</x:v>
      </x:c>
      <x:c r="H49" s="48" t="n">
        <x:f>Inputs!H119</x:f>
        <x:v>-0.0075</x:v>
      </x:c>
      <x:c r="I49" s="1"/>
      <x:c r="J49" s="1"/>
      <x:c r="K49" s="1"/>
    </x:row>
    <x:row r="50">
      <x:c r="B50" s="41" t="s">
        <x:v>52</x:v>
      </x:c>
      <x:c r="C50" s="33" t="n">
        <x:f>C44</x:f>
        <x:v>0.00989559164733178</x:v>
      </x:c>
      <x:c r="D50" s="33" t="n">
        <x:f>D44</x:f>
        <x:v>-0.01196942748642027</x:v>
      </x:c>
      <x:c r="E50" s="33" t="n">
        <x:f>E44</x:f>
        <x:v>-0.0028952871159723115</x:v>
      </x:c>
      <x:c r="F50" s="33" t="n">
        <x:f>F44</x:f>
        <x:v>-0.05782250204156891</x:v>
      </x:c>
      <x:c r="G50" s="33" t="n">
        <x:f>G44</x:f>
        <x:v>-0.1389962922227388</x:v>
      </x:c>
      <x:c r="H50" s="42" t="n">
        <x:f>H44</x:f>
        <x:v>-0.12163749999999984</x:v>
      </x:c>
      <x:c r="I50" s="1"/>
      <x:c r="J50" s="1"/>
      <x:c r="K50" s="1"/>
    </x:row>
    <x:row r="51">
      <x:c r="B51" s="11" t="s">
        <x:v>57</x:v>
      </x:c>
      <x:c r="C51" s="39" t="n">
        <x:f>Inputs!C16</x:f>
        <x:v>220.074</x:v>
      </x:c>
      <x:c r="D51" s="39" t="n">
        <x:f>Inputs!D16</x:f>
        <x:v>229.721</x:v>
      </x:c>
      <x:c r="E51" s="39" t="n">
        <x:f>Inputs!E16</x:f>
        <x:v>871.935</x:v>
      </x:c>
      <x:c r="F51" s="39" t="n">
        <x:f>Inputs!F16</x:f>
        <x:v>221.488</x:v>
      </x:c>
      <x:c r="G51" s="39" t="n">
        <x:f>Inputs!G16</x:f>
        <x:v>220.922</x:v>
      </x:c>
      <x:c r="H51" s="45" t="n">
        <x:f>Inputs!H16</x:f>
        <x:v>220.60767945</x:v>
      </x:c>
      <x:c r="I51" s="1"/>
      <x:c r="J51" s="1"/>
      <x:c r="K51" s="1"/>
    </x:row>
    <x:row r="52">
      <x:c r="B52" s="41" t="s">
        <x:v>47</x:v>
      </x:c>
      <x:c r="C52" s="35" t="n">
        <x:f>IFERROR(C51/Inputs!C35-1,0)</x:f>
        <x:v>-0.015187856874362193</x:v>
      </x:c>
      <x:c r="D52" s="35" t="n">
        <x:f>IFERROR(D51/Inputs!D35-1,0)</x:f>
        <x:v>0.08054167960187764</x:v>
      </x:c>
      <x:c r="E52" s="35" t="n">
        <x:f>IFERROR(E51/Inputs!E35-1,0)</x:f>
        <x:v>-0.00012270051213136846</x:v>
      </x:c>
      <x:c r="F52" s="35" t="n">
        <x:f>IFERROR(F51/Inputs!F35-1,0)</x:f>
        <x:v>0.08236167987724441</x:v>
      </x:c>
      <x:c r="G52" s="35" t="n">
        <x:f>IFERROR(G51/Inputs!G35-1,0)</x:f>
        <x:v>0.01570531387639873</x:v>
      </x:c>
      <x:c r="H52" s="42" t="n">
        <x:f>IFERROR(H51/C51-1,0)</x:f>
        <x:v>0.0024249999999998995</x:v>
      </x:c>
      <x:c r="I52" s="1"/>
      <x:c r="J52" s="1"/>
      <x:c r="K52" s="1"/>
    </x:row>
    <x:row r="53">
      <x:c r="B53" s="41" t="s">
        <x:v>48</x:v>
      </x:c>
      <x:c r="C53" s="33"/>
      <x:c r="D53" s="33" t="n">
        <x:f>IFERROR(D51/C51-1,0)</x:f>
        <x:v>0.04383525541408795</x:v>
      </x:c>
      <x:c r="E53" s="33"/>
      <x:c r="F53" s="33" t="n">
        <x:f>IFERROR(F51/D51-1,0)</x:f>
        <x:v>-0.03583912659269284</x:v>
      </x:c>
      <x:c r="G53" s="33" t="n">
        <x:f>IFERROR(G51/F51-1,0)</x:f>
        <x:v>-0.0025554431842809144</x:v>
      </x:c>
      <x:c r="H53" s="42" t="n">
        <x:f>IFERROR(H51/G51-1,0)</x:f>
        <x:v>-0.0014227670852156038</x:v>
      </x:c>
      <x:c r="I53" s="1"/>
      <x:c r="J53" s="1"/>
      <x:c r="K53" s="1"/>
    </x:row>
    <x:row r="54">
      <x:c r="B54" s="41" t="s">
        <x:v>49</x:v>
      </x:c>
      <x:c r="C54" s="33" t="n">
        <x:f>IFERROR(C51/C60,0)</x:f>
        <x:v>0.0886232695581159</x:v>
      </x:c>
      <x:c r="D54" s="33" t="n">
        <x:f>IFERROR(D51/D60,0)</x:f>
        <x:v>0.08998345035596425</x:v>
      </x:c>
      <x:c r="E54" s="33" t="n">
        <x:f>IFERROR(E51/E60,0)</x:f>
        <x:v>0.08873960119770755</x:v>
      </x:c>
      <x:c r="F54" s="33" t="n">
        <x:f>IFERROR(F51/F60,0)</x:f>
        <x:v>0.08858134587750476</x:v>
      </x:c>
      <x:c r="G54" s="33" t="n">
        <x:f>IFERROR(G51/G60,0)</x:f>
        <x:v>0.08971550144915294</x:v>
      </x:c>
      <x:c r="H54" s="42" t="n">
        <x:f>IFERROR(H51/H60,0)</x:f>
        <x:v>0.08897335051236918</x:v>
      </x:c>
      <x:c r="I54" s="1"/>
      <x:c r="J54" s="1"/>
      <x:c r="K54" s="1"/>
    </x:row>
    <x:row r="55">
      <x:c r="B55" s="41" t="str">
        <x:v>  Organic Y/Y (history: reported proxy)</x:v>
      </x:c>
      <x:c r="C55" s="33" t="n">
        <x:f>(1+C52)/((1+C56)*(1+C57))-1</x:f>
        <x:v>-0.015187856874362193</x:v>
      </x:c>
      <x:c r="D55" s="33" t="n">
        <x:f>(1+D52)/((1+D56)*(1+D57))-1</x:f>
        <x:v>0.08054167960187764</x:v>
      </x:c>
      <x:c r="E55" s="33" t="n">
        <x:f>(1+E52)/((1+E56)*(1+E57))-1</x:f>
        <x:v>-0.00012270051213136846</x:v>
      </x:c>
      <x:c r="F55" s="33" t="n">
        <x:f>(1+F52)/((1+F56)*(1+F57))-1</x:f>
        <x:v>0.08236167987724441</x:v>
      </x:c>
      <x:c r="G55" s="33" t="n">
        <x:f>(1+G52)/((1+G56)*(1+G57))-1</x:f>
        <x:v>0.01570531387639873</x:v>
      </x:c>
      <x:c r="H55" s="42" t="n">
        <x:f>(1+H52)/((1+H56)*(1+H57))-1</x:f>
        <x:v>0.009999999999999787</x:v>
      </x:c>
      <x:c r="I55" s="1"/>
      <x:c r="J55" s="1"/>
      <x:c r="K55" s="1"/>
    </x:row>
    <x:row r="56">
      <x:c r="B56" s="41" t="s">
        <x:v>50</x:v>
      </x:c>
      <x:c r="C56" s="35" t="n">
        <x:f>Inputs!J17</x:f>
        <x:v>0</x:v>
      </x:c>
      <x:c r="D56" s="35" t="n">
        <x:f>Inputs!J17</x:f>
        <x:v>0</x:v>
      </x:c>
      <x:c r="E56" s="35" t="n">
        <x:f>Inputs!J17</x:f>
        <x:v>0</x:v>
      </x:c>
      <x:c r="F56" s="35" t="n">
        <x:f>Inputs!J17</x:f>
        <x:v>0</x:v>
      </x:c>
      <x:c r="G56" s="35" t="n">
        <x:f>Inputs!J17</x:f>
        <x:v>0</x:v>
      </x:c>
      <x:c r="H56" s="48" t="n">
        <x:f>Inputs!J17</x:f>
        <x:v>0</x:v>
      </x:c>
      <x:c r="I56" s="1"/>
      <x:c r="J56" s="1"/>
      <x:c r="K56" s="1"/>
    </x:row>
    <x:row r="57">
      <x:c r="B57" s="41" t="s">
        <x:v>51</x:v>
      </x:c>
      <x:c r="C57" s="35" t="n">
        <x:f>Inputs!J17</x:f>
        <x:v>0</x:v>
      </x:c>
      <x:c r="D57" s="35" t="n">
        <x:f>Inputs!J17</x:f>
        <x:v>0</x:v>
      </x:c>
      <x:c r="E57" s="35" t="n">
        <x:f>Inputs!J17</x:f>
        <x:v>0</x:v>
      </x:c>
      <x:c r="F57" s="35" t="n">
        <x:f>Inputs!J17</x:f>
        <x:v>0</x:v>
      </x:c>
      <x:c r="G57" s="35" t="n">
        <x:f>Inputs!J17</x:f>
        <x:v>0</x:v>
      </x:c>
      <x:c r="H57" s="48" t="n">
        <x:f>Inputs!H119</x:f>
        <x:v>-0.0075</x:v>
      </x:c>
      <x:c r="I57" s="1"/>
      <x:c r="J57" s="1"/>
      <x:c r="K57" s="1"/>
    </x:row>
    <x:row r="58">
      <x:c r="B58" s="41" t="s">
        <x:v>52</x:v>
      </x:c>
      <x:c r="C58" s="33" t="n">
        <x:f>C52</x:f>
        <x:v>-0.015187856874362193</x:v>
      </x:c>
      <x:c r="D58" s="33" t="n">
        <x:f>D52</x:f>
        <x:v>0.08054167960187764</x:v>
      </x:c>
      <x:c r="E58" s="33" t="n">
        <x:f>E52</x:f>
        <x:v>-0.00012270051213136846</x:v>
      </x:c>
      <x:c r="F58" s="33" t="n">
        <x:f>F52</x:f>
        <x:v>0.08236167987724441</x:v>
      </x:c>
      <x:c r="G58" s="33" t="n">
        <x:f>G52</x:f>
        <x:v>0.01570531387639873</x:v>
      </x:c>
      <x:c r="H58" s="42" t="n">
        <x:f>H52</x:f>
        <x:v>0.0024249999999998995</x:v>
      </x:c>
      <x:c r="I58" s="1"/>
      <x:c r="J58" s="1"/>
      <x:c r="K58" s="1"/>
    </x:row>
    <x:row r="59">
      <x:c r="B59" s="1"/>
      <x:c r="C59" s="2"/>
      <x:c r="D59" s="2"/>
      <x:c r="E59" s="2"/>
      <x:c r="F59" s="2"/>
      <x:c r="G59" s="2"/>
      <x:c r="H59" s="13"/>
      <x:c r="I59" s="1"/>
      <x:c r="J59" s="1"/>
      <x:c r="K59" s="1"/>
    </x:row>
    <x:row r="60">
      <x:c r="B60" s="53" t="s">
        <x:v>58</x:v>
      </x:c>
      <x:c r="C60" s="52" t="n">
        <x:f>SUM(C11,C19,C27,C35,C43,C51)</x:f>
        <x:v>2483.253</x:v>
      </x:c>
      <x:c r="D60" s="52" t="n">
        <x:f>SUM(D11,D19,D27,D35,D43,D51)</x:f>
        <x:v>2552.9249999999997</x:v>
      </x:c>
      <x:c r="E60" s="52" t="n">
        <x:f>SUM(E11,E19,E27,E35,E43,E51)</x:f>
        <x:v>9825.770999999999</x:v>
      </x:c>
      <x:c r="F60" s="52" t="n">
        <x:f>SUM(F11,F19,F27,F35,F43,F51)</x:f>
        <x:v>2500.391</x:v>
      </x:c>
      <x:c r="G60" s="52" t="n">
        <x:f>SUM(G11,G19,G27,G35,G43,G51)</x:f>
        <x:v>2462.473</x:v>
      </x:c>
      <x:c r="H60" s="50" t="n">
        <x:f>SUM(H11,H19,H27,H35,H43,H51)</x:f>
        <x:v>2479.4804082299997</x:v>
      </x:c>
      <x:c r="I60" s="1"/>
      <x:c r="J60" s="1"/>
      <x:c r="K60" s="1"/>
    </x:row>
    <x:row r="61">
      <x:c r="B61" s="41" t="s">
        <x:v>47</x:v>
      </x:c>
      <x:c r="C61" s="35" t="n">
        <x:f>IFERROR(C60/Inputs!C37-1,0)</x:f>
        <x:v>0.04014430688963633</x:v>
      </x:c>
      <x:c r="D61" s="35" t="n">
        <x:f>IFERROR(D60/Inputs!D37-1,0)</x:f>
        <x:v>0.04285129557553358</x:v>
      </x:c>
      <x:c r="E61" s="35" t="n">
        <x:f>IFERROR(E60/Inputs!E37-1,0)</x:f>
        <x:v>0.021506721142750207</x:v>
      </x:c>
      <x:c r="F61" s="35" t="n">
        <x:f>IFERROR(F60/Inputs!F37-1,0)</x:f>
        <x:v>0.05402909171232695</x:v>
      </x:c>
      <x:c r="G61" s="35" t="n">
        <x:f>IFERROR(G60/Inputs!G37-1,0)</x:f>
        <x:v>0.01865745886750525</x:v>
      </x:c>
      <x:c r="H61" s="42" t="n">
        <x:f>IFERROR(H60/C60-1,0)</x:f>
        <x:v>-0.0015192136161721326</x:v>
      </x:c>
      <x:c r="I61" s="1"/>
      <x:c r="J61" s="1"/>
      <x:c r="K61" s="1"/>
    </x:row>
    <x:row r="62">
      <x:c r="B62" s="41" t="s">
        <x:v>48</x:v>
      </x:c>
      <x:c r="C62" s="33"/>
      <x:c r="D62" s="33" t="n">
        <x:f>IFERROR(D60/C60-1,0)</x:f>
        <x:v>0.028056746533679622</x:v>
      </x:c>
      <x:c r="E62" s="33"/>
      <x:c r="F62" s="33" t="n">
        <x:f>IFERROR(F60/D60-1,0)</x:f>
        <x:v>-0.020577964491710343</x:v>
      </x:c>
      <x:c r="G62" s="33" t="n">
        <x:f>IFERROR(G60/F60-1,0)</x:f>
        <x:v>-0.015164828220866289</x:v>
      </x:c>
      <x:c r="H62" s="42" t="n">
        <x:f>IFERROR(H60/G60-1,0)</x:f>
        <x:v>0.006906637445364794</x:v>
      </x:c>
      <x:c r="I62" s="1"/>
      <x:c r="J62" s="1"/>
      <x:c r="K62" s="1"/>
    </x:row>
    <x:row r="63">
      <x:c r="B63" s="41" t="s">
        <x:v>59</x:v>
      </x:c>
      <x:c r="C63" s="33" t="n">
        <x:f>(1+C61)/((1+C64)*(1+C65))-1</x:f>
        <x:v>0.025783340127846444</x:v>
      </x:c>
      <x:c r="D63" s="33" t="n">
        <x:f>(1+D61)/((1+D64)*(1+D65))-1</x:f>
        <x:v>0.03048546993629797</x:v>
      </x:c>
      <x:c r="E63" s="33" t="n">
        <x:f>(1+E61)/((1+E64)*(1+E65))-1</x:f>
        <x:v>0.020486234907842515</x:v>
      </x:c>
      <x:c r="F63" s="33" t="n">
        <x:f>(1+F61)/((1+F64)*(1+F65))-1</x:f>
        <x:v>0.01838559585732069</x:v>
      </x:c>
      <x:c r="G63" s="33" t="n">
        <x:f>(1+G61)/((1+G64)*(1+G65))-1</x:f>
        <x:v>0.005584855742848394</x:v>
      </x:c>
      <x:c r="H63" s="42" t="n">
        <x:f>(1+H61)/((1+H64)*(1+H65))-1</x:f>
        <x:v>0.006025981243151346</x:v>
      </x:c>
      <x:c r="I63" s="1"/>
      <x:c r="J63" s="1"/>
      <x:c r="K63" s="1"/>
    </x:row>
    <x:row r="64">
      <x:c r="B64" s="41" t="s">
        <x:v>50</x:v>
      </x:c>
      <x:c r="C64" s="35" t="n">
        <x:f>Inputs!J17</x:f>
        <x:v>0</x:v>
      </x:c>
      <x:c r="D64" s="35" t="n">
        <x:f>Inputs!J17</x:f>
        <x:v>0</x:v>
      </x:c>
      <x:c r="E64" s="35" t="n">
        <x:f>Inputs!J17</x:f>
        <x:v>0</x:v>
      </x:c>
      <x:c r="F64" s="35" t="n">
        <x:f>Inputs!J17</x:f>
        <x:v>0</x:v>
      </x:c>
      <x:c r="G64" s="35" t="n">
        <x:f>Inputs!J17</x:f>
        <x:v>0</x:v>
      </x:c>
      <x:c r="H64" s="48" t="n">
        <x:f>Inputs!J17</x:f>
        <x:v>0</x:v>
      </x:c>
      <x:c r="I64" s="1"/>
      <x:c r="J64" s="1"/>
      <x:c r="K64" s="1"/>
    </x:row>
    <x:row r="65">
      <x:c r="B65" s="41" t="s">
        <x:v>51</x:v>
      </x:c>
      <x:c r="C65" s="35" t="n">
        <x:f>Inputs!C39</x:f>
        <x:v>0.014</x:v>
      </x:c>
      <x:c r="D65" s="35" t="n">
        <x:f>Inputs!D39</x:f>
        <x:v>0.012</x:v>
      </x:c>
      <x:c r="E65" s="35" t="n">
        <x:f>Inputs!E39</x:f>
        <x:v>0.001</x:v>
      </x:c>
      <x:c r="F65" s="35" t="n">
        <x:f>Inputs!F39</x:f>
        <x:v>0.035</x:v>
      </x:c>
      <x:c r="G65" s="35" t="n">
        <x:f>Inputs!G39</x:f>
        <x:v>0.013</x:v>
      </x:c>
      <x:c r="H65" s="48" t="n">
        <x:f>Inputs!H39</x:f>
        <x:v>-0.0075</x:v>
      </x:c>
      <x:c r="I65" s="1"/>
      <x:c r="J65" s="1"/>
      <x:c r="K65" s="1"/>
    </x:row>
    <x:row r="66">
      <x:c r="B66" s="41" t="s">
        <x:v>60</x:v>
      </x:c>
      <x:c r="C66" s="33" t="n">
        <x:f>C61</x:f>
        <x:v>0.04014430688963633</x:v>
      </x:c>
      <x:c r="D66" s="33" t="n">
        <x:f>D61</x:f>
        <x:v>0.04285129557553358</x:v>
      </x:c>
      <x:c r="E66" s="33" t="n">
        <x:f>E61</x:f>
        <x:v>0.021506721142750207</x:v>
      </x:c>
      <x:c r="F66" s="33" t="n">
        <x:f>F61</x:f>
        <x:v>0.05402909171232695</x:v>
      </x:c>
      <x:c r="G66" s="33" t="n">
        <x:f>G61</x:f>
        <x:v>0.01865745886750525</x:v>
      </x:c>
      <x:c r="H66" s="42" t="n">
        <x:f>H61</x:f>
        <x:v>-0.0015192136161721326</x:v>
      </x:c>
      <x:c r="I66" s="1"/>
      <x:c r="J66" s="1"/>
      <x:c r="K66" s="1"/>
    </x:row>
    <x:row r="67">
      <x:c r="B67" s="1" t="s">
        <x:v>61</x:v>
      </x:c>
      <x:c r="C67" s="6" t="n">
        <x:f>C60-Inputs!C18</x:f>
        <x:v>0</x:v>
      </x:c>
      <x:c r="D67" s="6" t="n">
        <x:f>D60-Inputs!D18</x:f>
        <x:v>-4.547473508864641e-13</x:v>
      </x:c>
      <x:c r="E67" s="6" t="n">
        <x:f>E60-Inputs!E18</x:f>
        <x:v>-1.8189894035458565e-12</x:v>
      </x:c>
      <x:c r="F67" s="6" t="n">
        <x:f>F60-Inputs!F18</x:f>
        <x:v>0</x:v>
      </x:c>
      <x:c r="G67" s="6" t="n">
        <x:f>G60-Inputs!G18</x:f>
        <x:v>0</x:v>
      </x:c>
      <x:c r="H67" s="5" t="n">
        <x:f>H60-Inputs!H18</x:f>
        <x:v>0</x:v>
      </x:c>
      <x:c r="I67" s="1"/>
      <x:c r="J67" s="1"/>
      <x:c r="K67" s="1"/>
    </x:row>
    <x:row r="68" ht="32" customHeight="1">
      <x:c r="B68" s="89" t="s">
        <x:v>62</x:v>
      </x:c>
      <x:c r="C68" s="2"/>
      <x:c r="D68" s="2"/>
      <x:c r="E68" s="2"/>
      <x:c r="F68" s="2"/>
      <x:c r="G68" s="2"/>
      <x:c r="H68" s="5" t="b">
        <x:f>AND(H60&gt;=Guidance!E10,H60&lt;=Guidance!F10)</x:f>
        <x:v>1</x:v>
      </x:c>
      <x:c r="I68" s="1"/>
      <x:c r="J68" s="1"/>
      <x:c r="K68" s="1"/>
    </x:row>
    <x:row r="69" ht="32" customHeight="1">
      <x:c r="B69" s="89" t="s">
        <x:v>63</x:v>
      </x:c>
      <x:c r="C69" s="2"/>
      <x:c r="D69" s="2"/>
      <x:c r="E69" s="2"/>
      <x:c r="F69" s="2"/>
      <x:c r="G69" s="2"/>
      <x:c r="H69" s="13"/>
      <x:c r="I69" s="1"/>
      <x:c r="J69" s="1" t="s">
        <x:v>64</x:v>
      </x:c>
      <x:c r="K69" s="1"/>
    </x:row>
    <x:row r="70" ht="32" customHeight="1">
      <x:c r="B70" s="89" t="s">
        <x:v>65</x:v>
      </x:c>
      <x:c r="C70" s="2"/>
      <x:c r="D70" s="2"/>
      <x:c r="E70" s="27" t="n">
        <x:f>Inputs!E40</x:f>
        <x:v>0.89</x:v>
      </x:c>
      <x:c r="F70" s="2"/>
      <x:c r="G70" s="2"/>
      <x:c r="H70" s="13"/>
      <x:c r="I70" s="1"/>
      <x:c r="J70" s="1"/>
      <x:c r="K70" s="1"/>
    </x:row>
    <x:row r="71" ht="48" customHeight="1">
      <x:c r="B71" s="89" t="s">
        <x:v>66</x:v>
      </x:c>
      <x:c r="C71" s="2"/>
      <x:c r="D71" s="2"/>
      <x:c r="E71" s="2"/>
      <x:c r="F71" s="2"/>
      <x:c r="G71" s="2"/>
      <x:c r="H71" s="13"/>
      <x:c r="I71" s="1"/>
      <x:c r="J71" s="1"/>
      <x:c r="K71" s="1"/>
    </x:row>
    <x:row r="72" ht="32" customHeight="1">
      <x:c r="B72" s="89" t="s">
        <x:v>67</x:v>
      </x:c>
      <x:c r="C72" s="2"/>
      <x:c r="D72" s="2"/>
      <x:c r="E72" s="2"/>
      <x:c r="F72" s="2"/>
      <x:c r="G72" s="2"/>
      <x:c r="H72" s="13"/>
      <x:c r="I72" s="1"/>
      <x:c r="J72" s="1"/>
      <x:c r="K72" s="1"/>
    </x:row>
    <x:row r="73" ht="32" customHeight="1">
      <x:c r="B73" s="89" t="s">
        <x:v>68</x:v>
      </x:c>
      <x:c r="C73" s="2"/>
      <x:c r="D73" s="2"/>
      <x:c r="E73" s="2"/>
      <x:c r="F73" s="2"/>
      <x:c r="G73" s="2"/>
      <x:c r="H73" s="47" t="n">
        <x:f>(H14-G14)*10000</x:f>
        <x:v>-38.71691677248295</x:v>
      </x:c>
      <x:c r="I73" s="1"/>
      <x:c r="J73" s="1"/>
      <x:c r="K73" s="1"/>
    </x:row>
    <x:row r="74" ht="48" customHeight="1">
      <x:c r="B74" s="89" t="s">
        <x:v>69</x:v>
      </x:c>
      <x:c r="C74" s="2" t="str">
        <x:v>n.a.</x:v>
      </x:c>
      <x:c r="D74" s="2" t="str">
        <x:v>n.a.</x:v>
      </x:c>
      <x:c r="E74" s="2" t="str">
        <x:v>n.a.</x:v>
      </x:c>
      <x:c r="F74" s="2" t="str">
        <x:v>n.a.</x:v>
      </x:c>
      <x:c r="G74" s="2" t="str">
        <x:v>n.a.</x:v>
      </x:c>
      <x:c r="H74" s="47" t="str">
        <x:v>n.a.</x:v>
      </x:c>
      <x:c r="I74" s="1"/>
      <x:c r="J74" s="89" t="str">
        <x:v>Organic change unavailable: historical vertical FX/scope splits were not disclosed. Reported growth remains comparable.</x:v>
      </x:c>
      <x:c r="K74" s="1"/>
    </x:row>
    <x:row r="75" ht="32" customHeight="1">
      <x:c r="B75" s="89" t="s">
        <x:v>70</x:v>
      </x:c>
      <x:c r="C75" s="2"/>
      <x:c r="D75" s="2"/>
      <x:c r="E75" s="2"/>
      <x:c r="F75" s="2"/>
      <x:c r="G75" s="2"/>
      <x:c r="H75" s="47" t="n">
        <x:f>(H18-G18)*10000</x:f>
        <x:v>-189.18719736419231</x:v>
      </x:c>
      <x:c r="I75" s="1"/>
      <x:c r="J75" s="1"/>
      <x:c r="K75" s="1"/>
    </x:row>
    <x:row r="76" ht="32" customHeight="1">
      <x:c r="B76" s="89" t="s">
        <x:v>71</x:v>
      </x:c>
      <x:c r="C76" s="2"/>
      <x:c r="D76" s="2"/>
      <x:c r="E76" s="2"/>
      <x:c r="F76" s="2"/>
      <x:c r="G76" s="2"/>
      <x:c r="H76" s="47" t="n">
        <x:f>(H22-G22)*10000</x:f>
        <x:v>60.35277789865623</x:v>
      </x:c>
      <x:c r="I76" s="1"/>
      <x:c r="J76" s="1"/>
      <x:c r="K76" s="1"/>
    </x:row>
    <x:row r="77" ht="32" customHeight="1">
      <x:c r="B77" s="89" t="s">
        <x:v>72</x:v>
      </x:c>
      <x:c r="C77" s="2" t="str">
        <x:v>n.a.</x:v>
      </x:c>
      <x:c r="D77" s="2" t="str">
        <x:v>n.a.</x:v>
      </x:c>
      <x:c r="E77" s="2" t="str">
        <x:v>n.a.</x:v>
      </x:c>
      <x:c r="F77" s="2" t="str">
        <x:v>n.a.</x:v>
      </x:c>
      <x:c r="G77" s="2" t="str">
        <x:v>n.a.</x:v>
      </x:c>
      <x:c r="H77" s="47" t="str">
        <x:v>n.a.</x:v>
      </x:c>
      <x:c r="I77" s="1"/>
      <x:c r="J77" s="1"/>
      <x:c r="K77" s="1"/>
    </x:row>
    <x:row r="78" ht="32" customHeight="1">
      <x:c r="B78" s="89" t="s">
        <x:v>73</x:v>
      </x:c>
      <x:c r="C78" s="2"/>
      <x:c r="D78" s="2"/>
      <x:c r="E78" s="2"/>
      <x:c r="F78" s="2"/>
      <x:c r="G78" s="2"/>
      <x:c r="H78" s="47" t="n">
        <x:f>(H26-G26)*10000</x:f>
        <x:v>-376.7145581741116</x:v>
      </x:c>
      <x:c r="I78" s="1"/>
      <x:c r="J78" s="1"/>
      <x:c r="K78" s="1"/>
    </x:row>
    <x:row r="79" ht="32" customHeight="1">
      <x:c r="B79" s="89" t="s">
        <x:v>74</x:v>
      </x:c>
      <x:c r="C79" s="2"/>
      <x:c r="D79" s="2"/>
      <x:c r="E79" s="2"/>
      <x:c r="F79" s="2"/>
      <x:c r="G79" s="2"/>
      <x:c r="H79" s="47" t="n">
        <x:f>(H30-G30)*10000</x:f>
        <x:v>-12.684802270233886</x:v>
      </x:c>
      <x:c r="I79" s="1"/>
      <x:c r="J79" s="1"/>
      <x:c r="K79" s="1"/>
    </x:row>
    <x:row r="80" ht="32" customHeight="1">
      <x:c r="B80" s="89" t="s">
        <x:v>75</x:v>
      </x:c>
      <x:c r="C80" s="2" t="str">
        <x:v>n.a.</x:v>
      </x:c>
      <x:c r="D80" s="2" t="str">
        <x:v>n.a.</x:v>
      </x:c>
      <x:c r="E80" s="2" t="str">
        <x:v>n.a.</x:v>
      </x:c>
      <x:c r="F80" s="2" t="str">
        <x:v>n.a.</x:v>
      </x:c>
      <x:c r="G80" s="2" t="str">
        <x:v>n.a.</x:v>
      </x:c>
      <x:c r="H80" s="47" t="str">
        <x:v>n.a.</x:v>
      </x:c>
      <x:c r="I80" s="1"/>
      <x:c r="J80" s="1"/>
      <x:c r="K80" s="1"/>
    </x:row>
    <x:row r="81" ht="32" customHeight="1">
      <x:c r="B81" s="89" t="s">
        <x:v>76</x:v>
      </x:c>
      <x:c r="C81" s="2"/>
      <x:c r="D81" s="2"/>
      <x:c r="E81" s="2"/>
      <x:c r="F81" s="2"/>
      <x:c r="G81" s="2"/>
      <x:c r="H81" s="47" t="n">
        <x:f>(H34-G34)*10000</x:f>
        <x:v>-453.983036570873</x:v>
      </x:c>
      <x:c r="I81" s="1"/>
      <x:c r="J81" s="1"/>
      <x:c r="K81" s="1"/>
    </x:row>
    <x:row r="82">
      <x:c r="B82" s="1" t="s">
        <x:v>77</x:v>
      </x:c>
      <x:c r="C82" s="2"/>
      <x:c r="D82" s="2"/>
      <x:c r="E82" s="2"/>
      <x:c r="F82" s="2"/>
      <x:c r="G82" s="2"/>
      <x:c r="H82" s="47" t="n">
        <x:f>(H38-G38)*10000</x:f>
        <x:v>-1.5709989094220278</x:v>
      </x:c>
      <x:c r="I82" s="1"/>
      <x:c r="J82" s="1"/>
      <x:c r="K82" s="1"/>
    </x:row>
    <x:row r="83">
      <x:c r="B83" s="1" t="s">
        <x:v>78</x:v>
      </x:c>
      <x:c r="C83" s="2" t="str">
        <x:v>n.a.</x:v>
      </x:c>
      <x:c r="D83" s="2" t="str">
        <x:v>n.a.</x:v>
      </x:c>
      <x:c r="E83" s="2" t="str">
        <x:v>n.a.</x:v>
      </x:c>
      <x:c r="F83" s="2" t="str">
        <x:v>n.a.</x:v>
      </x:c>
      <x:c r="G83" s="2" t="str">
        <x:v>n.a.</x:v>
      </x:c>
      <x:c r="H83" s="47" t="str">
        <x:v>n.a.</x:v>
      </x:c>
      <x:c r="I83" s="1"/>
      <x:c r="J83" s="1"/>
      <x:c r="K83" s="1"/>
    </x:row>
    <x:row r="84">
      <x:c r="B84" s="1" t="s">
        <x:v>79</x:v>
      </x:c>
      <x:c r="C84" s="2"/>
      <x:c r="D84" s="2"/>
      <x:c r="E84" s="2"/>
      <x:c r="F84" s="2"/>
      <x:c r="G84" s="2"/>
      <x:c r="H84" s="47" t="n">
        <x:f>(H42-G42)*10000</x:f>
        <x:v>54.835663971462</x:v>
      </x:c>
      <x:c r="I84" s="1"/>
      <x:c r="J84" s="1"/>
      <x:c r="K84" s="1"/>
    </x:row>
    <x:row r="85">
      <x:c r="B85" s="1" t="s">
        <x:v>80</x:v>
      </x:c>
      <x:c r="C85" s="2"/>
      <x:c r="D85" s="2"/>
      <x:c r="E85" s="2"/>
      <x:c r="F85" s="2"/>
      <x:c r="G85" s="2"/>
      <x:c r="H85" s="47" t="n">
        <x:f>(H46-G46)*10000</x:f>
        <x:v>0.041449421321476665</x:v>
      </x:c>
      <x:c r="I85" s="1"/>
      <x:c r="J85" s="1"/>
      <x:c r="K85" s="1"/>
    </x:row>
    <x:row r="86">
      <x:c r="B86" s="1" t="s">
        <x:v>81</x:v>
      </x:c>
      <x:c r="C86" s="2" t="str">
        <x:v>n.a.</x:v>
      </x:c>
      <x:c r="D86" s="2" t="str">
        <x:v>n.a.</x:v>
      </x:c>
      <x:c r="E86" s="2" t="str">
        <x:v>n.a.</x:v>
      </x:c>
      <x:c r="F86" s="2" t="str">
        <x:v>n.a.</x:v>
      </x:c>
      <x:c r="G86" s="2" t="str">
        <x:v>n.a.</x:v>
      </x:c>
      <x:c r="H86" s="47" t="str">
        <x:v>n.a.</x:v>
      </x:c>
      <x:c r="I86" s="1"/>
      <x:c r="J86" s="1"/>
      <x:c r="K86" s="1"/>
    </x:row>
    <x:row r="87">
      <x:c r="B87" s="1" t="s">
        <x:v>82</x:v>
      </x:c>
      <x:c r="C87" s="2"/>
      <x:c r="D87" s="2"/>
      <x:c r="E87" s="2"/>
      <x:c r="F87" s="2"/>
      <x:c r="G87" s="2"/>
      <x:c r="H87" s="47" t="n">
        <x:f>(H50-G50)*10000</x:f>
        <x:v>173.5879222273895</x:v>
      </x:c>
      <x:c r="I87" s="1"/>
      <x:c r="J87" s="1"/>
      <x:c r="K87" s="1"/>
    </x:row>
    <x:row r="88">
      <x:c r="B88" s="1" t="s">
        <x:v>83</x:v>
      </x:c>
      <x:c r="C88" s="2"/>
      <x:c r="D88" s="2"/>
      <x:c r="E88" s="2"/>
      <x:c r="F88" s="2"/>
      <x:c r="G88" s="2"/>
      <x:c r="H88" s="47" t="n">
        <x:f>(H54-G54)*10000</x:f>
        <x:v>-7.4215093678375865</x:v>
      </x:c>
      <x:c r="I88" s="1"/>
      <x:c r="J88" s="1"/>
      <x:c r="K88" s="1"/>
    </x:row>
    <x:row r="89">
      <x:c r="B89" s="1" t="s">
        <x:v>84</x:v>
      </x:c>
      <x:c r="C89" s="2" t="str">
        <x:v>n.a.</x:v>
      </x:c>
      <x:c r="D89" s="2" t="str">
        <x:v>n.a.</x:v>
      </x:c>
      <x:c r="E89" s="2" t="str">
        <x:v>n.a.</x:v>
      </x:c>
      <x:c r="F89" s="2" t="str">
        <x:v>n.a.</x:v>
      </x:c>
      <x:c r="G89" s="2" t="str">
        <x:v>n.a.</x:v>
      </x:c>
      <x:c r="H89" s="47" t="str">
        <x:v>n.a.</x:v>
      </x:c>
      <x:c r="I89" s="1"/>
      <x:c r="J89" s="1"/>
      <x:c r="K89" s="1"/>
    </x:row>
    <x:row r="90">
      <x:c r="B90" s="1" t="s">
        <x:v>85</x:v>
      </x:c>
      <x:c r="C90" s="2"/>
      <x:c r="D90" s="2"/>
      <x:c r="E90" s="2"/>
      <x:c r="F90" s="2"/>
      <x:c r="G90" s="2"/>
      <x:c r="H90" s="47" t="n">
        <x:f>(H58-G58)*10000</x:f>
        <x:v>-132.8031387639883</x:v>
      </x:c>
      <x:c r="I90" s="1"/>
      <x:c r="J90" s="1"/>
      <x:c r="K90" s="1"/>
    </x:row>
    <x:row r="91" ht="32" customHeight="1">
      <x:c r="B91" s="89" t="s">
        <x:v>86</x:v>
      </x:c>
      <x:c r="C91" s="1"/>
      <x:c r="D91" s="1"/>
      <x:c r="E91" s="1"/>
      <x:c r="F91" s="1"/>
      <x:c r="G91" s="1"/>
      <x:c r="H91" s="7"/>
    </x:row>
    <x:row r="92" ht="32" customHeight="1">
      <x:c r="B92" s="89" t="s">
        <x:v>87</x:v>
      </x:c>
      <x:c r="C92" s="2"/>
      <x:c r="D92" s="2" t="n">
        <x:f>D11-C11</x:f>
        <x:v>4.514999999999986</x:v>
      </x:c>
      <x:c r="E92" s="2"/>
      <x:c r="F92" s="2" t="n">
        <x:f>F11-D11</x:f>
        <x:v>-39.99899999999991</x:v>
      </x:c>
      <x:c r="G92" s="2" t="n">
        <x:f>G11-F11</x:f>
        <x:v>-10.845000000000027</x:v>
      </x:c>
      <x:c r="H92" s="13" t="n">
        <x:f>H11-G11</x:f>
        <x:v>-5.2883566750000455</x:v>
      </x:c>
    </x:row>
    <x:row r="93" ht="32" customHeight="1">
      <x:c r="B93" s="89" t="s">
        <x:v>88</x:v>
      </x:c>
      <x:c r="C93" s="2"/>
      <x:c r="D93" s="2" t="n">
        <x:f>D19-C19</x:f>
        <x:v>20.561000000000035</x:v>
      </x:c>
      <x:c r="E93" s="2"/>
      <x:c r="F93" s="2" t="n">
        <x:f>F19-D19</x:f>
        <x:v>5.980000000000018</x:v>
      </x:c>
      <x:c r="G93" s="2" t="n">
        <x:f>G19-F19</x:f>
        <x:v>-8.568000000000097</x:v>
      </x:c>
      <x:c r="H93" s="13" t="n">
        <x:f>H19-G19</x:f>
        <x:v>19.390091780000034</x:v>
      </x:c>
    </x:row>
    <x:row r="94" ht="32" customHeight="1">
      <x:c r="B94" s="89" t="s">
        <x:v>89</x:v>
      </x:c>
      <x:c r="C94" s="2"/>
      <x:c r="D94" s="2" t="n">
        <x:f>D27-C27</x:f>
        <x:v>5.951999999999998</x:v>
      </x:c>
      <x:c r="E94" s="2"/>
      <x:c r="F94" s="2" t="n">
        <x:f>F27-D27</x:f>
        <x:v>-23.164999999999964</x:v>
      </x:c>
      <x:c r="G94" s="2" t="n">
        <x:f>G27-F27</x:f>
        <x:v>-1.761000000000024</x:v>
      </x:c>
      <x:c r="H94" s="13" t="n">
        <x:f>H27-G27</x:f>
        <x:v>-0.4360088000000246</x:v>
      </x:c>
    </x:row>
    <x:row r="95">
      <x:c r="B95" s="1" t="s">
        <x:v>90</x:v>
      </x:c>
      <x:c r="C95" s="2"/>
      <x:c r="D95" s="2" t="n">
        <x:f>D35-C35</x:f>
        <x:v>18.116999999999962</x:v>
      </x:c>
      <x:c r="E95" s="2"/>
      <x:c r="F95" s="2" t="n">
        <x:f>F35-D35</x:f>
        <x:v>19.039000000000044</x:v>
      </x:c>
      <x:c r="G95" s="2" t="n">
        <x:f>G35-F35</x:f>
        <x:v>10.782999999999959</x:v>
      </x:c>
      <x:c r="H95" s="13" t="n">
        <x:f>H35-G35</x:f>
        <x:v>2.5968210500001305</x:v>
      </x:c>
    </x:row>
    <x:row r="96">
      <x:c r="B96" s="1" t="s">
        <x:v>91</x:v>
      </x:c>
      <x:c r="C96" s="2"/>
      <x:c r="D96" s="2" t="n">
        <x:f>D43-C43</x:f>
        <x:v>10.879999999999995</x:v>
      </x:c>
      <x:c r="E96" s="2"/>
      <x:c r="F96" s="2" t="n">
        <x:f>F43-D43</x:f>
        <x:v>-6.1559999999999775</x:v>
      </x:c>
      <x:c r="G96" s="2" t="n">
        <x:f>G43-F43</x:f>
        <x:v>-26.961000000000013</x:v>
      </x:c>
      <x:c r="H96" s="13" t="n">
        <x:f>H43-G43</x:f>
        <x:v>1.0591814250000198</x:v>
      </x:c>
    </x:row>
    <x:row r="97">
      <x:c r="B97" s="1" t="s">
        <x:v>92</x:v>
      </x:c>
      <x:c r="C97" s="2"/>
      <x:c r="D97" s="2" t="n">
        <x:f>D51-C51</x:f>
        <x:v>9.646999999999991</x:v>
      </x:c>
      <x:c r="E97" s="2"/>
      <x:c r="F97" s="2" t="n">
        <x:f>F51-D51</x:f>
        <x:v>-8.233000000000004</x:v>
      </x:c>
      <x:c r="G97" s="2" t="n">
        <x:f>G51-F51</x:f>
        <x:v>-0.5660000000000025</x:v>
      </x:c>
      <x:c r="H97" s="13" t="n">
        <x:f>H51-G51</x:f>
        <x:v>-0.3143205499999908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4" customWidth="1"/>
    <x:col min="2" max="2" width="47" hidden="0" customWidth="1"/>
    <x:col min="3" max="8" width="13" customWidth="1"/>
    <x:col min="9" max="9" width="18" customWidth="1"/>
    <x:col min="10" max="10" width="60" hidden="0" customWidth="1"/>
  </x:cols>
  <x:sheetData>
    <x:row r="1">
      <x:c r="I1" s="1"/>
      <x:c r="J1" s="1"/>
      <x:c r="K1" s="1"/>
    </x:row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B3" s="1" t="s">
        <x:v>93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85" t="s">
        <x:v>3</x:v>
      </x:c>
      <x:c r="C5" s="72" t="s">
        <x:v>4</x:v>
      </x:c>
      <x:c r="D5" s="72" t="s">
        <x:v>5</x:v>
      </x:c>
      <x:c r="E5" s="72" t="s">
        <x:v>6</x:v>
      </x:c>
      <x:c r="F5" s="72" t="s">
        <x:v>7</x:v>
      </x:c>
      <x:c r="G5" s="72" t="s">
        <x:v>8</x:v>
      </x:c>
      <x:c r="H5" s="73" t="s">
        <x:v>9</x:v>
      </x:c>
      <x:c r="I5" s="1"/>
      <x:c r="J5" s="1"/>
      <x:c r="K5" s="1"/>
    </x:row>
    <x:row r="6">
      <x:c r="B6" s="85" t="s">
        <x:v>10</x:v>
      </x:c>
      <x:c r="C6" s="74">
        <x:v>45900</x:v>
      </x:c>
      <x:c r="D6" s="74">
        <x:v>45991</x:v>
      </x:c>
      <x:c r="E6" s="74">
        <x:v>45991</x:v>
      </x:c>
      <x:c r="F6" s="74">
        <x:v>46081</x:v>
      </x:c>
      <x:c r="G6" s="74">
        <x:v>46173</x:v>
      </x:c>
      <x:c r="H6" s="75">
        <x:v>46265</x:v>
      </x:c>
      <x:c r="I6" s="1"/>
      <x:c r="J6" s="1"/>
      <x:c r="K6" s="1"/>
    </x:row>
    <x:row r="7">
      <x:c r="B7" s="85" t="s">
        <x:v>11</x:v>
      </x:c>
      <x:c r="C7" s="72">
        <x:v>92</x:v>
      </x:c>
      <x:c r="D7" s="72">
        <x:v>91</x:v>
      </x:c>
      <x:c r="E7" s="72">
        <x:v>365</x:v>
      </x:c>
      <x:c r="F7" s="72">
        <x:v>90</x:v>
      </x:c>
      <x:c r="G7" s="72">
        <x:v>92</x:v>
      </x:c>
      <x:c r="H7" s="73">
        <x:v>92</x:v>
      </x:c>
      <x:c r="I7" s="1"/>
      <x:c r="J7" s="1"/>
      <x:c r="K7" s="1"/>
    </x:row>
    <x:row r="8">
      <x:c r="B8" s="1"/>
      <x:c r="C8" s="1"/>
      <x:c r="D8" s="1"/>
      <x:c r="E8" s="1"/>
      <x:c r="F8" s="1"/>
      <x:c r="G8" s="1"/>
      <x:c r="H8" s="7"/>
      <x:c r="I8" s="1"/>
      <x:c r="J8" s="1"/>
      <x:c r="K8" s="1"/>
    </x:row>
    <x:row r="9">
      <x:c r="B9" s="1" t="s">
        <x:v>94</x:v>
      </x:c>
      <x:c r="C9" s="2"/>
      <x:c r="D9" s="2"/>
      <x:c r="E9" s="2"/>
      <x:c r="F9" s="2"/>
      <x:c r="G9" s="2"/>
      <x:c r="H9" s="13"/>
      <x:c r="I9" s="1"/>
      <x:c r="J9" s="1"/>
      <x:c r="K9" s="1"/>
    </x:row>
    <x:row r="10">
      <x:c r="B10" s="1" t="s">
        <x:v>95</x:v>
      </x:c>
      <x:c r="C10" s="6" t="n">
        <x:f>'Revenue summary'!C60</x:f>
        <x:v>2483.253</x:v>
      </x:c>
      <x:c r="D10" s="6" t="n">
        <x:f>'Revenue summary'!D60</x:f>
        <x:v>2552.9249999999997</x:v>
      </x:c>
      <x:c r="E10" s="6" t="n">
        <x:f>'Revenue summary'!E60</x:f>
        <x:v>9825.770999999999</x:v>
      </x:c>
      <x:c r="F10" s="6" t="n">
        <x:f>'Revenue summary'!F60</x:f>
        <x:v>2500.391</x:v>
      </x:c>
      <x:c r="G10" s="6" t="n">
        <x:f>'Revenue summary'!G60</x:f>
        <x:v>2462.473</x:v>
      </x:c>
      <x:c r="H10" s="5" t="n">
        <x:f>'Revenue summary'!H60</x:f>
        <x:v>2479.4804082299997</x:v>
      </x:c>
      <x:c r="I10" s="1"/>
      <x:c r="J10" s="1"/>
      <x:c r="K10" s="1"/>
    </x:row>
    <x:row r="11">
      <x:c r="B11" s="41" t="s">
        <x:v>96</x:v>
      </x:c>
      <x:c r="C11" s="35" t="n">
        <x:f>'Revenue summary'!C61</x:f>
        <x:v>0.04014430688963633</x:v>
      </x:c>
      <x:c r="D11" s="35" t="n">
        <x:f>'Revenue summary'!D61</x:f>
        <x:v>0.04285129557553358</x:v>
      </x:c>
      <x:c r="E11" s="35" t="n">
        <x:f>'Revenue summary'!E61</x:f>
        <x:v>0.021506721142750207</x:v>
      </x:c>
      <x:c r="F11" s="35" t="n">
        <x:f>'Revenue summary'!F61</x:f>
        <x:v>0.05402909171232695</x:v>
      </x:c>
      <x:c r="G11" s="35" t="n">
        <x:f>'Revenue summary'!G61</x:f>
        <x:v>0.01865745886750525</x:v>
      </x:c>
      <x:c r="H11" s="48" t="n">
        <x:f>'Revenue summary'!H61</x:f>
        <x:v>-0.0015192136161721326</x:v>
      </x:c>
      <x:c r="I11" s="1"/>
      <x:c r="J11" s="1"/>
      <x:c r="K11" s="1"/>
    </x:row>
    <x:row r="12">
      <x:c r="B12" s="1" t="s">
        <x:v>97</x:v>
      </x:c>
      <x:c r="C12" s="6" t="n">
        <x:f>Inputs!C20</x:f>
        <x:v>1628.246</x:v>
      </x:c>
      <x:c r="D12" s="6" t="n">
        <x:f>Inputs!D20</x:f>
        <x:v>1676.968</x:v>
      </x:c>
      <x:c r="E12" s="6" t="n">
        <x:f>Inputs!E20</x:f>
        <x:v>6390.76</x:v>
      </x:c>
      <x:c r="F12" s="6" t="n">
        <x:f>Inputs!F20</x:f>
        <x:v>1650.734</x:v>
      </x:c>
      <x:c r="G12" s="6" t="n">
        <x:f>Inputs!G20</x:f>
        <x:v>1639.124</x:v>
      </x:c>
      <x:c r="H12" s="5" t="n">
        <x:f>Inputs!H20</x:f>
        <x:v>1643.89551065649</x:v>
      </x:c>
      <x:c r="I12" s="1"/>
      <x:c r="J12" s="1"/>
      <x:c r="K12" s="1"/>
    </x:row>
    <x:row r="13">
      <x:c r="B13" s="11" t="s">
        <x:v>98</x:v>
      </x:c>
      <x:c r="C13" s="38" t="n">
        <x:f>C10-C12</x:f>
        <x:v>855.0070000000001</x:v>
      </x:c>
      <x:c r="D13" s="38" t="n">
        <x:f>D10-D12</x:f>
        <x:v>875.9569999999997</x:v>
      </x:c>
      <x:c r="E13" s="38" t="n">
        <x:f>E10-E12</x:f>
        <x:v>3435.0109999999986</x:v>
      </x:c>
      <x:c r="F13" s="38" t="n">
        <x:f>F10-F12</x:f>
        <x:v>849.6570000000002</x:v>
      </x:c>
      <x:c r="G13" s="38" t="n">
        <x:f>G10-G12</x:f>
        <x:v>823.3489999999999</x:v>
      </x:c>
      <x:c r="H13" s="44" t="n">
        <x:f>H10-H12</x:f>
        <x:v>835.5848975735098</x:v>
      </x:c>
      <x:c r="I13" s="1"/>
      <x:c r="J13" s="1"/>
      <x:c r="K13" s="1"/>
    </x:row>
    <x:row r="14">
      <x:c r="B14" s="41" t="s">
        <x:v>99</x:v>
      </x:c>
      <x:c r="C14" s="33" t="n">
        <x:f>IFERROR(C13/C10,0)</x:f>
        <x:v>0.3443092588632733</x:v>
      </x:c>
      <x:c r="D14" s="33" t="n">
        <x:f>IFERROR(D13/D10,0)</x:f>
        <x:v>0.3431189713759706</x:v>
      </x:c>
      <x:c r="E14" s="33" t="n">
        <x:f>IFERROR(E13/E10,0)</x:f>
        <x:v>0.34959200657129086</x:v>
      </x:c>
      <x:c r="F14" s="33" t="n">
        <x:f>IFERROR(F13/F10,0)</x:f>
        <x:v>0.3398096537701504</x:v>
      </x:c>
      <x:c r="G14" s="33" t="n">
        <x:f>IFERROR(G13/G10,0)</x:f>
        <x:v>0.33435858992159506</x:v>
      </x:c>
      <x:c r="H14" s="42" t="n">
        <x:f>IFERROR(H13/H10,0)</x:f>
        <x:v>0.33699999999999997</x:v>
      </x:c>
      <x:c r="I14" s="1"/>
      <x:c r="J14" s="1"/>
      <x:c r="K14" s="1"/>
    </x:row>
    <x:row r="15">
      <x:c r="B15" s="1" t="s">
        <x:v>100</x:v>
      </x:c>
      <x:c r="C15" s="34"/>
      <x:c r="D15" s="34"/>
      <x:c r="E15" s="34"/>
      <x:c r="F15" s="34"/>
      <x:c r="G15" s="34"/>
      <x:c r="H15" s="47" t="n">
        <x:f>(H14-C14)*10000</x:f>
        <x:v>-73.09258863273327</x:v>
      </x:c>
      <x:c r="I15" s="1"/>
      <x:c r="J15" s="1"/>
      <x:c r="K15" s="1"/>
    </x:row>
    <x:row r="16">
      <x:c r="B16" s="1" t="s">
        <x:v>101</x:v>
      </x:c>
      <x:c r="C16" s="6" t="n">
        <x:f>Inputs!C21</x:f>
        <x:v>708.023</x:v>
      </x:c>
      <x:c r="D16" s="6" t="n">
        <x:f>Inputs!D21</x:f>
        <x:v>730.61</x:v>
      </x:c>
      <x:c r="E16" s="6" t="n">
        <x:f>Inputs!E21</x:f>
        <x:v>2825.468</x:v>
      </x:c>
      <x:c r="F16" s="6" t="n">
        <x:f>Inputs!F21</x:f>
        <x:v>731.098</x:v>
      </x:c>
      <x:c r="G16" s="6" t="n">
        <x:f>Inputs!G21</x:f>
        <x:v>727.928</x:v>
      </x:c>
      <x:c r="H16" s="5" t="n">
        <x:f>Inputs!H21</x:f>
        <x:v>708.5848975735098</x:v>
      </x:c>
      <x:c r="I16" s="1"/>
      <x:c r="J16" s="1"/>
      <x:c r="K16" s="1"/>
    </x:row>
    <x:row r="17">
      <x:c r="B17" s="1" t="s">
        <x:v>102</x:v>
      </x:c>
      <x:c r="C17" s="6" t="n">
        <x:f>Inputs!C22</x:f>
        <x:v>0</x:v>
      </x:c>
      <x:c r="D17" s="6" t="n">
        <x:f>Inputs!D22</x:f>
        <x:v>1527.726</x:v>
      </x:c>
      <x:c r="E17" s="6" t="n">
        <x:f>Inputs!E22</x:f>
        <x:v>1527.726</x:v>
      </x:c>
      <x:c r="F17" s="6" t="n">
        <x:f>Inputs!F22</x:f>
        <x:v>0</x:v>
      </x:c>
      <x:c r="G17" s="6" t="n">
        <x:f>Inputs!G22</x:f>
        <x:v>0</x:v>
      </x:c>
      <x:c r="H17" s="5" t="n">
        <x:f>Inputs!H22</x:f>
        <x:v>0</x:v>
      </x:c>
      <x:c r="I17" s="1"/>
      <x:c r="J17" s="1"/>
      <x:c r="K17" s="1"/>
    </x:row>
    <x:row r="18">
      <x:c r="B18" s="11" t="s">
        <x:v>103</x:v>
      </x:c>
      <x:c r="C18" s="38" t="n">
        <x:f>C13-C16-C17</x:f>
        <x:v>146.98400000000004</x:v>
      </x:c>
      <x:c r="D18" s="38" t="n">
        <x:f>D13-D16-D17</x:f>
        <x:v>-1382.3790000000004</x:v>
      </x:c>
      <x:c r="E18" s="38" t="n">
        <x:f>E13-E16-E17</x:f>
        <x:v>-918.1830000000014</x:v>
      </x:c>
      <x:c r="F18" s="38" t="n">
        <x:f>F13-F16-F17</x:f>
        <x:v>118.5590000000002</x:v>
      </x:c>
      <x:c r="G18" s="38" t="n">
        <x:f>G13-G16-G17</x:f>
        <x:v>95.42099999999994</x:v>
      </x:c>
      <x:c r="H18" s="44" t="n">
        <x:f>H13-H16-H17</x:f>
        <x:v>127</x:v>
      </x:c>
      <x:c r="I18" s="1"/>
      <x:c r="J18" s="1"/>
      <x:c r="K18" s="1"/>
    </x:row>
    <x:row r="19">
      <x:c r="B19" s="41" t="s">
        <x:v>104</x:v>
      </x:c>
      <x:c r="C19" s="33" t="n">
        <x:f>IFERROR(C18/C10,0)</x:f>
        <x:v>0.059190102659696785</x:v>
      </x:c>
      <x:c r="D19" s="33" t="n">
        <x:f>IFERROR(D18/D10,0)</x:f>
        <x:v>-0.5414882928405654</x:v>
      </x:c>
      <x:c r="E19" s="33" t="n">
        <x:f>IFERROR(E18/E10,0)</x:f>
        <x:v>-0.09344640741169334</x:v>
      </x:c>
      <x:c r="F19" s="33" t="n">
        <x:f>IFERROR(F18/F10,0)</x:f>
        <x:v>0.04741618410880546</x:v>
      </x:c>
      <x:c r="G19" s="33" t="n">
        <x:f>IFERROR(G18/G10,0)</x:f>
        <x:v>0.03875006954390969</x:v>
      </x:c>
      <x:c r="H19" s="42" t="n">
        <x:f>IFERROR(H18/H10,0)</x:f>
        <x:v>0.05122040875114643</x:v>
      </x:c>
      <x:c r="I19" s="1"/>
      <x:c r="J19" s="1"/>
      <x:c r="K19" s="1"/>
    </x:row>
    <x:row r="20">
      <x:c r="B20" s="1" t="s">
        <x:v>105</x:v>
      </x:c>
      <x:c r="C20" s="6" t="n">
        <x:f>Inputs!C23</x:f>
        <x:v>72.014</x:v>
      </x:c>
      <x:c r="D20" s="6" t="n">
        <x:f>Inputs!D23</x:f>
        <x:v>69.935</x:v>
      </x:c>
      <x:c r="E20" s="6" t="n">
        <x:f>Inputs!E23</x:f>
        <x:v>290.349</x:v>
      </x:c>
      <x:c r="F20" s="6" t="n">
        <x:f>Inputs!F23</x:f>
        <x:v>75.317</x:v>
      </x:c>
      <x:c r="G20" s="6" t="n">
        <x:f>Inputs!G23</x:f>
        <x:v>68.074</x:v>
      </x:c>
      <x:c r="H20" s="5" t="n">
        <x:f>Inputs!H23</x:f>
        <x:v>66.5</x:v>
      </x:c>
      <x:c r="I20" s="1"/>
      <x:c r="J20" s="1"/>
      <x:c r="K20" s="1"/>
    </x:row>
    <x:row r="21">
      <x:c r="B21" s="1" t="s">
        <x:v>106</x:v>
      </x:c>
      <x:c r="C21" s="6" t="n">
        <x:f>Inputs!C24</x:f>
        <x:v>-36.474</x:v>
      </x:c>
      <x:c r="D21" s="6" t="n">
        <x:f>Inputs!D24</x:f>
        <x:v>-6.135</x:v>
      </x:c>
      <x:c r="E21" s="6" t="n">
        <x:f>Inputs!E24</x:f>
        <x:v>-26.31</x:v>
      </x:c>
      <x:c r="F21" s="6" t="n">
        <x:f>Inputs!F24</x:f>
        <x:v>14.511</x:v>
      </x:c>
      <x:c r="G21" s="6" t="n">
        <x:f>Inputs!G24</x:f>
        <x:v>-42.128</x:v>
      </x:c>
      <x:c r="H21" s="5" t="n">
        <x:f>Inputs!H24</x:f>
        <x:v>-7</x:v>
      </x:c>
      <x:c r="I21" s="1"/>
      <x:c r="J21" s="1"/>
      <x:c r="K21" s="1"/>
    </x:row>
    <x:row r="22">
      <x:c r="B22" s="1" t="s">
        <x:v>107</x:v>
      </x:c>
      <x:c r="C22" s="2" t="n">
        <x:f>C18-C20-C21</x:f>
        <x:v>111.44400000000005</x:v>
      </x:c>
      <x:c r="D22" s="2" t="n">
        <x:f>D18-D20-D21</x:f>
        <x:v>-1446.1790000000003</x:v>
      </x:c>
      <x:c r="E22" s="2" t="n">
        <x:f>E18-E20-E21</x:f>
        <x:v>-1182.2220000000013</x:v>
      </x:c>
      <x:c r="F22" s="2" t="n">
        <x:f>F18-F20-F21</x:f>
        <x:v>28.731000000000204</x:v>
      </x:c>
      <x:c r="G22" s="2" t="n">
        <x:f>G18-G20-G21</x:f>
        <x:v>69.47499999999994</x:v>
      </x:c>
      <x:c r="H22" s="13" t="n">
        <x:f>H18-H20-H21</x:f>
        <x:v>67.5</x:v>
      </x:c>
      <x:c r="I22" s="1"/>
      <x:c r="J22" s="1"/>
      <x:c r="K22" s="1"/>
    </x:row>
    <x:row r="23">
      <x:c r="B23" s="11" t="s">
        <x:v>108</x:v>
      </x:c>
      <x:c r="C23" s="39" t="n">
        <x:f>C22-Inputs!C25</x:f>
        <x:v>88.11000000000004</x:v>
      </x:c>
      <x:c r="D23" s="39" t="n">
        <x:f>D22-Inputs!D25</x:f>
        <x:v>-1479.3840000000002</x:v>
      </x:c>
      <x:c r="E23" s="39" t="n">
        <x:f>E22-Inputs!E25</x:f>
        <x:v>-1278.9240000000013</x:v>
      </x:c>
      <x:c r="F23" s="39" t="n">
        <x:f>F22-Inputs!F25</x:f>
        <x:v>21.589000000000205</x:v>
      </x:c>
      <x:c r="G23" s="39" t="n">
        <x:f>G22-Inputs!G25</x:f>
        <x:v>55.27599999999994</x:v>
      </x:c>
      <x:c r="H23" s="45" t="n">
        <x:f>H22-Inputs!H25</x:f>
        <x:v>50.625</x:v>
      </x:c>
      <x:c r="I23" s="1"/>
      <x:c r="J23" s="1"/>
      <x:c r="K23" s="1"/>
    </x:row>
    <x:row r="24">
      <x:c r="B24" s="41" t="s">
        <x:v>109</x:v>
      </x:c>
      <x:c r="C24" s="33" t="n">
        <x:f>IFERROR(C23/C10,0)</x:f>
        <x:v>0.03548168470953223</x:v>
      </x:c>
      <x:c r="D24" s="33" t="n">
        <x:f>IFERROR(D23/D10,0)</x:f>
        <x:v>-0.5794858838391259</x:v>
      </x:c>
      <x:c r="E24" s="33" t="n">
        <x:f>IFERROR(E23/E10,0)</x:f>
        <x:v>-0.13016016758379587</x:v>
      </x:c>
      <x:c r="F24" s="33" t="n">
        <x:f>IFERROR(F23/F10,0)</x:f>
        <x:v>0.008634249603362116</x:v>
      </x:c>
      <x:c r="G24" s="33" t="n">
        <x:f>IFERROR(G23/G10,0)</x:f>
        <x:v>0.022447352722243023</x:v>
      </x:c>
      <x:c r="H24" s="42" t="n">
        <x:f>IFERROR(H23/H10,0)</x:f>
        <x:v>0.02041758419706132</x:v>
      </x:c>
      <x:c r="I24" s="1"/>
      <x:c r="J24" s="1"/>
      <x:c r="K24" s="1"/>
    </x:row>
    <x:row r="25">
      <x:c r="B25" s="1" t="s">
        <x:v>110</x:v>
      </x:c>
      <x:c r="C25" s="6" t="n">
        <x:f>Inputs!C112</x:f>
        <x:v>62.598</x:v>
      </x:c>
      <x:c r="D25" s="6" t="n">
        <x:f>Inputs!D112</x:f>
        <x:v>62.071</x:v>
      </x:c>
      <x:c r="E25" s="6" t="n">
        <x:f>Inputs!E112</x:f>
        <x:v>63.012</x:v>
      </x:c>
      <x:c r="F25" s="6" t="n">
        <x:f>Inputs!F112</x:f>
        <x:v>61.279</x:v>
      </x:c>
      <x:c r="G25" s="6" t="n">
        <x:f>Inputs!G112</x:f>
        <x:v>60.85</x:v>
      </x:c>
      <x:c r="H25" s="5" t="n">
        <x:f>Inputs!H112</x:f>
        <x:v>60.9</x:v>
      </x:c>
      <x:c r="I25" s="1"/>
      <x:c r="J25" s="1"/>
      <x:c r="K25" s="1"/>
    </x:row>
    <x:row r="26">
      <x:c r="B26" s="1" t="s">
        <x:v>111</x:v>
      </x:c>
      <x:c r="C26" s="6" t="n">
        <x:f>Inputs!C113</x:f>
        <x:v>62.702</x:v>
      </x:c>
      <x:c r="D26" s="6" t="n">
        <x:f>Inputs!D113</x:f>
        <x:v>62.071</x:v>
      </x:c>
      <x:c r="E26" s="6" t="n">
        <x:f>Inputs!E113</x:f>
        <x:v>63.012</x:v>
      </x:c>
      <x:c r="F26" s="6" t="n">
        <x:f>Inputs!F113</x:f>
        <x:v>61.3</x:v>
      </x:c>
      <x:c r="G26" s="6" t="n">
        <x:f>Inputs!G113</x:f>
        <x:v>60.862</x:v>
      </x:c>
      <x:c r="H26" s="5" t="n">
        <x:f>Inputs!H113</x:f>
        <x:v>60.9</x:v>
      </x:c>
      <x:c r="I26" s="1"/>
      <x:c r="J26" s="1"/>
      <x:c r="K26" s="1"/>
    </x:row>
    <x:row r="27" ht="48" customHeight="1">
      <x:c r="B27" s="1" t="s">
        <x:v>112</x:v>
      </x:c>
      <x:c r="C27" s="6" t="n">
        <x:f>Inputs!C27*C26</x:f>
        <x:v>84.02068</x:v>
      </x:c>
      <x:c r="D27" s="6" t="n">
        <x:f>Inputs!D27*D26</x:f>
        <x:v>-1480.39335</x:v>
      </x:c>
      <x:c r="E27" s="6" t="n">
        <x:f>Inputs!E27*E26</x:f>
        <x:v>-1282.92432</x:v>
      </x:c>
      <x:c r="F27" s="6" t="n">
        <x:f>Inputs!F27*F26</x:f>
        <x:v>20.229</x:v>
      </x:c>
      <x:c r="G27" s="6" t="n">
        <x:f>Inputs!G27*G26</x:f>
        <x:v>52.34132</x:v>
      </x:c>
      <x:c r="H27" s="5" t="n">
        <x:f>H23*(1-Inputs!H128)</x:f>
        <x:v>48.195</x:v>
      </x:c>
      <x:c r="I27" s="1"/>
      <x:c r="J27" s="89" t="str">
        <x:v>Historical income to common is inferred from rounded EPS x shares. It is not an independently sourced income figure.</x:v>
      </x:c>
      <x:c r="K27" s="1"/>
    </x:row>
    <x:row r="28">
      <x:c r="B28" s="11" t="s">
        <x:v>113</x:v>
      </x:c>
      <x:c r="C28" s="40" t="n">
        <x:f>IFERROR(C27/C26,0)</x:f>
        <x:v>1.34</x:v>
      </x:c>
      <x:c r="D28" s="40" t="n">
        <x:f>IFERROR(D27/D26,0)</x:f>
        <x:v>-23.85</x:v>
      </x:c>
      <x:c r="E28" s="40" t="n">
        <x:f>IFERROR(E27/E26,0)</x:f>
        <x:v>-20.36</x:v>
      </x:c>
      <x:c r="F28" s="40" t="n">
        <x:f>IFERROR(F27/F26,0)</x:f>
        <x:v>0.33</x:v>
      </x:c>
      <x:c r="G28" s="40" t="n">
        <x:f>IFERROR(G27/G26,0)</x:f>
        <x:v>0.86</x:v>
      </x:c>
      <x:c r="H28" s="46" t="n">
        <x:f>IFERROR(H27/H26,0)</x:f>
        <x:v>0.7913793103448276</x:v>
      </x:c>
      <x:c r="I28" s="1"/>
      <x:c r="J28" s="1"/>
      <x:c r="K28" s="1"/>
    </x:row>
    <x:row r="29">
      <x:c r="B29" s="1" t="s">
        <x:v>114</x:v>
      </x:c>
      <x:c r="C29" s="6" t="n">
        <x:f>Inputs!C75</x:f>
        <x:v>18.619</x:v>
      </x:c>
      <x:c r="D29" s="6" t="n">
        <x:f>Inputs!D75</x:f>
        <x:v>48.017</x:v>
      </x:c>
      <x:c r="E29" s="6" t="n">
        <x:f>Inputs!E75</x:f>
        <x:v>101.468</x:v>
      </x:c>
      <x:c r="F29" s="6" t="n">
        <x:f>Inputs!F75</x:f>
        <x:v>34.869</x:v>
      </x:c>
      <x:c r="G29" s="6" t="n">
        <x:f>Inputs!G75</x:f>
        <x:v>65.505</x:v>
      </x:c>
      <x:c r="H29" s="5" t="n">
        <x:f>Inputs!H75</x:f>
        <x:v>45</x:v>
      </x:c>
      <x:c r="I29" s="1"/>
      <x:c r="J29" s="1"/>
      <x:c r="K29" s="1"/>
    </x:row>
    <x:row r="30">
      <x:c r="B30" s="1" t="s">
        <x:v>115</x:v>
      </x:c>
      <x:c r="C30" s="6" t="n">
        <x:f>Inputs!C76</x:f>
        <x:v>111.779</x:v>
      </x:c>
      <x:c r="D30" s="6" t="n">
        <x:f>Inputs!D76</x:f>
        <x:v>107.776</x:v>
      </x:c>
      <x:c r="E30" s="6" t="n">
        <x:f>Inputs!E76</x:f>
        <x:v>434.332</x:v>
      </x:c>
      <x:c r="F30" s="6" t="n">
        <x:f>Inputs!F76</x:f>
        <x:v>103.456</x:v>
      </x:c>
      <x:c r="G30" s="6" t="n">
        <x:f>Inputs!G76</x:f>
        <x:v>102.057</x:v>
      </x:c>
      <x:c r="H30" s="5" t="n">
        <x:f>Inputs!H76</x:f>
        <x:v>102.5</x:v>
      </x:c>
      <x:c r="I30" s="1"/>
      <x:c r="J30" s="1"/>
      <x:c r="K30" s="1"/>
    </x:row>
    <x:row r="31">
      <x:c r="B31" s="1" t="s">
        <x:v>116</x:v>
      </x:c>
      <x:c r="C31" s="6" t="n">
        <x:f>Inputs!C77</x:f>
        <x:v>25.042</x:v>
      </x:c>
      <x:c r="D31" s="6" t="n">
        <x:f>Inputs!D77</x:f>
        <x:v>19.371</x:v>
      </x:c>
      <x:c r="E31" s="6" t="n">
        <x:f>Inputs!E77</x:f>
        <x:v>97.875</x:v>
      </x:c>
      <x:c r="F31" s="6" t="n">
        <x:f>Inputs!F77</x:f>
        <x:v>29.455</x:v>
      </x:c>
      <x:c r="G31" s="6" t="n">
        <x:f>Inputs!G77</x:f>
        <x:v>25.367</x:v>
      </x:c>
      <x:c r="H31" s="5" t="n">
        <x:f>Inputs!H77</x:f>
        <x:v>23.8</x:v>
      </x:c>
      <x:c r="I31" s="1"/>
      <x:c r="J31" s="1"/>
      <x:c r="K31" s="1"/>
    </x:row>
    <x:row r="32">
      <x:c r="B32" s="1" t="s">
        <x:v>117</x:v>
      </x:c>
      <x:c r="C32" s="6" t="n">
        <x:f>Inputs!C78</x:f>
        <x:v>2.704</x:v>
      </x:c>
      <x:c r="D32" s="6" t="n">
        <x:f>Inputs!D78</x:f>
        <x:v>2.71</x:v>
      </x:c>
      <x:c r="E32" s="6" t="n">
        <x:f>Inputs!E78</x:f>
        <x:v>10.326</x:v>
      </x:c>
      <x:c r="F32" s="6" t="n">
        <x:f>Inputs!F78</x:f>
        <x:v>2.755</x:v>
      </x:c>
      <x:c r="G32" s="6" t="n">
        <x:f>Inputs!G78</x:f>
        <x:v>2.701</x:v>
      </x:c>
      <x:c r="H32" s="5" t="n">
        <x:f>Inputs!H78</x:f>
        <x:v>2.8</x:v>
      </x:c>
      <x:c r="I32" s="1"/>
      <x:c r="J32" s="1"/>
      <x:c r="K32" s="1"/>
    </x:row>
    <x:row r="33">
      <x:c r="B33" s="1" t="s">
        <x:v>118</x:v>
      </x:c>
      <x:c r="C33" s="6" t="n">
        <x:f>Inputs!C79</x:f>
        <x:v>0</x:v>
      </x:c>
      <x:c r="D33" s="6" t="n">
        <x:f>Inputs!D79</x:f>
        <x:v>1527.726</x:v>
      </x:c>
      <x:c r="E33" s="6" t="n">
        <x:f>Inputs!E79</x:f>
        <x:v>1527.726</x:v>
      </x:c>
      <x:c r="F33" s="6" t="n">
        <x:f>Inputs!F79</x:f>
        <x:v>0</x:v>
      </x:c>
      <x:c r="G33" s="6" t="n">
        <x:f>Inputs!G79</x:f>
        <x:v>0</x:v>
      </x:c>
      <x:c r="H33" s="5" t="n">
        <x:f>Inputs!H79</x:f>
        <x:v>0</x:v>
      </x:c>
      <x:c r="I33" s="1"/>
      <x:c r="J33" s="1"/>
      <x:c r="K33" s="1"/>
    </x:row>
    <x:row r="34">
      <x:c r="B34" s="1" t="s">
        <x:v>119</x:v>
      </x:c>
      <x:c r="C34" s="6" t="n">
        <x:f>Inputs!C80</x:f>
        <x:v>0</x:v>
      </x:c>
      <x:c r="D34" s="6" t="n">
        <x:f>Inputs!D80</x:f>
        <x:v>0.221</x:v>
      </x:c>
      <x:c r="E34" s="6" t="n">
        <x:f>Inputs!E80</x:f>
        <x:v>1.323</x:v>
      </x:c>
      <x:c r="F34" s="6" t="n">
        <x:f>Inputs!F80</x:f>
        <x:v>6.268</x:v>
      </x:c>
      <x:c r="G34" s="6" t="n">
        <x:f>Inputs!G80</x:f>
        <x:v>0</x:v>
      </x:c>
      <x:c r="H34" s="5" t="n">
        <x:f>Inputs!H80</x:f>
        <x:v>0</x:v>
      </x:c>
      <x:c r="I34" s="1"/>
      <x:c r="J34" s="1"/>
      <x:c r="K34" s="1"/>
    </x:row>
    <x:row r="35">
      <x:c r="B35" s="1" t="s">
        <x:v>120</x:v>
      </x:c>
      <x:c r="C35" s="6" t="n">
        <x:f>Inputs!C81</x:f>
        <x:v>4.739</x:v>
      </x:c>
      <x:c r="D35" s="6" t="n">
        <x:f>Inputs!D81</x:f>
        <x:v>1.149</x:v>
      </x:c>
      <x:c r="E35" s="6" t="n">
        <x:f>Inputs!E81</x:f>
        <x:v>14.577</x:v>
      </x:c>
      <x:c r="F35" s="6" t="n">
        <x:f>Inputs!F81</x:f>
        <x:v>0</x:v>
      </x:c>
      <x:c r="G35" s="6" t="n">
        <x:f>Inputs!G81</x:f>
        <x:v>0</x:v>
      </x:c>
      <x:c r="H35" s="5" t="n">
        <x:f>Inputs!H81</x:f>
        <x:v>0</x:v>
      </x:c>
      <x:c r="I35" s="1"/>
      <x:c r="J35" s="1"/>
      <x:c r="K35" s="1"/>
    </x:row>
    <x:row r="36">
      <x:c r="B36" s="1" t="s">
        <x:v>121</x:v>
      </x:c>
      <x:c r="C36" s="6" t="n">
        <x:f>Inputs!C82</x:f>
        <x:v>0</x:v>
      </x:c>
      <x:c r="D36" s="6" t="n">
        <x:f>Inputs!D82</x:f>
        <x:v>0</x:v>
      </x:c>
      <x:c r="E36" s="6" t="n">
        <x:f>Inputs!E82</x:f>
        <x:v>2</x:v>
      </x:c>
      <x:c r="F36" s="6" t="n">
        <x:f>Inputs!F82</x:f>
        <x:v>0</x:v>
      </x:c>
      <x:c r="G36" s="6" t="n">
        <x:f>Inputs!G82</x:f>
        <x:v>0</x:v>
      </x:c>
      <x:c r="H36" s="5" t="n">
        <x:f>Inputs!H82</x:f>
        <x:v>0</x:v>
      </x:c>
      <x:c r="I36" s="1"/>
      <x:c r="J36" s="1"/>
      <x:c r="K36" s="1"/>
    </x:row>
    <x:row r="37">
      <x:c r="B37" s="1" t="s">
        <x:v>122</x:v>
      </x:c>
      <x:c r="C37" s="6" t="n">
        <x:f>Inputs!C83</x:f>
        <x:v>-2.417</x:v>
      </x:c>
      <x:c r="D37" s="6" t="n">
        <x:f>Inputs!D83</x:f>
        <x:v>-6.208</x:v>
      </x:c>
      <x:c r="E37" s="6" t="n">
        <x:f>Inputs!E83</x:f>
        <x:v>-1.958</x:v>
      </x:c>
      <x:c r="F37" s="6" t="n">
        <x:f>Inputs!F83</x:f>
        <x:v>-0.416</x:v>
      </x:c>
      <x:c r="G37" s="6" t="n">
        <x:f>Inputs!G83</x:f>
        <x:v>-0.529</x:v>
      </x:c>
      <x:c r="H37" s="5" t="n">
        <x:f>Inputs!H83</x:f>
        <x:v>0</x:v>
      </x:c>
      <x:c r="I37" s="1"/>
      <x:c r="J37" s="1"/>
      <x:c r="K37" s="1"/>
    </x:row>
    <x:row r="38">
      <x:c r="B38" s="1" t="s">
        <x:v>123</x:v>
      </x:c>
      <x:c r="C38" s="6" t="n">
        <x:f>Inputs!C84</x:f>
        <x:v>-35.531</x:v>
      </x:c>
      <x:c r="D38" s="6" t="n">
        <x:f>Inputs!D84</x:f>
        <x:v>-0.038</x:v>
      </x:c>
      <x:c r="E38" s="6" t="n">
        <x:f>Inputs!E84</x:f>
        <x:v>-28.959</x:v>
      </x:c>
      <x:c r="F38" s="6" t="n">
        <x:f>Inputs!F84</x:f>
        <x:v>12.306</x:v>
      </x:c>
      <x:c r="G38" s="6" t="n">
        <x:f>Inputs!G84</x:f>
        <x:v>-44.965</x:v>
      </x:c>
      <x:c r="H38" s="5" t="n">
        <x:f>Inputs!H84</x:f>
        <x:v>-7</x:v>
      </x:c>
      <x:c r="I38" s="1"/>
      <x:c r="J38" s="1"/>
      <x:c r="K38" s="1"/>
    </x:row>
    <x:row r="39">
      <x:c r="B39" s="1" t="s">
        <x:v>124</x:v>
      </x:c>
      <x:c r="C39" s="6" t="n">
        <x:f>Inputs!C85</x:f>
        <x:v>0</x:v>
      </x:c>
      <x:c r="D39" s="6" t="n">
        <x:f>Inputs!D85</x:f>
        <x:v>0</x:v>
      </x:c>
      <x:c r="E39" s="6" t="n">
        <x:f>Inputs!E85</x:f>
        <x:v>0</x:v>
      </x:c>
      <x:c r="F39" s="6" t="n">
        <x:f>Inputs!F85</x:f>
        <x:v>5.929</x:v>
      </x:c>
      <x:c r="G39" s="6" t="n">
        <x:f>Inputs!G85</x:f>
        <x:v>0.963</x:v>
      </x:c>
      <x:c r="H39" s="5" t="n">
        <x:f>Inputs!H85</x:f>
        <x:v>0</x:v>
      </x:c>
      <x:c r="I39" s="1"/>
      <x:c r="J39" s="1"/>
      <x:c r="K39" s="1"/>
    </x:row>
    <x:row r="40">
      <x:c r="B40" s="1" t="s">
        <x:v>125</x:v>
      </x:c>
      <x:c r="C40" s="6" t="n">
        <x:f>Inputs!C86</x:f>
        <x:v>-30.535</x:v>
      </x:c>
      <x:c r="D40" s="6" t="n">
        <x:f>Inputs!D86</x:f>
        <x:v>-42.576</x:v>
      </x:c>
      <x:c r="E40" s="6" t="n">
        <x:f>Inputs!E86</x:f>
        <x:v>-155.034</x:v>
      </x:c>
      <x:c r="F40" s="6" t="n">
        <x:f>Inputs!F86</x:f>
        <x:v>-48.057</x:v>
      </x:c>
      <x:c r="G40" s="6" t="n">
        <x:f>Inputs!G86</x:f>
        <x:v>-37.805</x:v>
      </x:c>
      <x:c r="H40" s="5" t="n">
        <x:f>Inputs!H86</x:f>
        <x:v>-41.775000000000006</x:v>
      </x:c>
      <x:c r="I40" s="1"/>
      <x:c r="J40" s="1"/>
      <x:c r="K40" s="1"/>
    </x:row>
    <x:row r="41">
      <x:c r="B41" s="1" t="s">
        <x:v>126</x:v>
      </x:c>
      <x:c r="C41" s="6" t="n">
        <x:f>Inputs!C87</x:f>
        <x:v>0.721</x:v>
      </x:c>
      <x:c r="D41" s="6" t="n">
        <x:f>Inputs!D87</x:f>
        <x:v>0.709</x:v>
      </x:c>
      <x:c r="E41" s="6" t="n">
        <x:f>Inputs!E87</x:f>
        <x:v>5.699</x:v>
      </x:c>
      <x:c r="F41" s="6" t="n">
        <x:f>Inputs!F87</x:f>
        <x:v>0</x:v>
      </x:c>
      <x:c r="G41" s="6" t="n">
        <x:f>Inputs!G87</x:f>
        <x:v>0</x:v>
      </x:c>
      <x:c r="H41" s="5" t="n">
        <x:f>Inputs!H87</x:f>
        <x:v>0</x:v>
      </x:c>
      <x:c r="I41" s="1"/>
      <x:c r="J41" s="1"/>
      <x:c r="K41" s="1"/>
    </x:row>
    <x:row r="42">
      <x:c r="B42" s="1" t="s">
        <x:v>127</x:v>
      </x:c>
      <x:c r="C42" s="6" t="n">
        <x:f>Inputs!C88</x:f>
        <x:v>0</x:v>
      </x:c>
      <x:c r="D42" s="6" t="n">
        <x:f>Inputs!D88</x:f>
        <x:v>12.96</x:v>
      </x:c>
      <x:c r="E42" s="6" t="n">
        <x:f>Inputs!E88</x:f>
        <x:v>12.96</x:v>
      </x:c>
      <x:c r="F42" s="6" t="n">
        <x:f>Inputs!F88</x:f>
        <x:v>0</x:v>
      </x:c>
      <x:c r="G42" s="6" t="n">
        <x:f>Inputs!G88</x:f>
        <x:v>0</x:v>
      </x:c>
      <x:c r="H42" s="5" t="n">
        <x:f>Inputs!H88</x:f>
        <x:v>0</x:v>
      </x:c>
      <x:c r="I42" s="1"/>
      <x:c r="J42" s="1"/>
      <x:c r="K42" s="1"/>
    </x:row>
    <x:row r="43">
      <x:c r="B43" s="11" t="s">
        <x:v>128</x:v>
      </x:c>
      <x:c r="C43" s="38" t="n">
        <x:f>SUM(C23,C29:C42)</x:f>
        <x:v>183.23100000000005</x:v>
      </x:c>
      <x:c r="D43" s="38" t="n">
        <x:f>SUM(D23,D29:D42)</x:f>
        <x:v>192.43299999999977</x:v>
      </x:c>
      <x:c r="E43" s="38" t="n">
        <x:f>SUM(E23,E29:E42)</x:f>
        <x:v>743.4109999999987</x:v>
      </x:c>
      <x:c r="F43" s="38" t="n">
        <x:f>SUM(F23,F29:F42)</x:f>
        <x:v>168.1540000000002</x:v>
      </x:c>
      <x:c r="G43" s="38" t="n">
        <x:f>SUM(G23,G29:G42)</x:f>
        <x:v>168.56999999999994</x:v>
      </x:c>
      <x:c r="H43" s="44" t="n">
        <x:f>SUM(H23,H29:H42)</x:f>
        <x:v>175.95000000000002</x:v>
      </x:c>
      <x:c r="I43" s="1"/>
      <x:c r="J43" s="1"/>
      <x:c r="K43" s="1"/>
    </x:row>
    <x:row r="44" ht="25.5">
      <x:c r="B44" s="36" t="s">
        <x:v>129</x:v>
      </x:c>
      <x:c r="C44" s="6" t="n">
        <x:f>Inputs!C44-C43</x:f>
        <x:v>-8.763000000000062</x:v>
      </x:c>
      <x:c r="D44" s="6" t="n">
        <x:f>Inputs!D44-D43</x:f>
        <x:v>-8.818999999999761</x:v>
      </x:c>
      <x:c r="E44" s="6" t="n">
        <x:f>Inputs!E44-E43</x:f>
        <x:v>-35.44299999999873</x:v>
      </x:c>
      <x:c r="F44" s="6" t="n">
        <x:f>Inputs!F44-F43</x:f>
        <x:v>-8.372000000000185</x:v>
      </x:c>
      <x:c r="G44" s="6" t="n">
        <x:f>Inputs!G44-G43</x:f>
        <x:v>-8.370999999999924</x:v>
      </x:c>
      <x:c r="H44" s="5" t="n">
        <x:f>-H43*Inputs!H128</x:f>
        <x:v>-8.4456</x:v>
      </x:c>
      <x:c r="I44" s="1"/>
      <x:c r="J44" s="1"/>
      <x:c r="K44" s="1"/>
    </x:row>
    <x:row r="45">
      <x:c r="B45" s="11" t="s">
        <x:v>130</x:v>
      </x:c>
      <x:c r="C45" s="38" t="n">
        <x:f>SUM(C43:C44)</x:f>
        <x:v>174.468</x:v>
      </x:c>
      <x:c r="D45" s="38" t="n">
        <x:f>SUM(D43:D44)</x:f>
        <x:v>183.614</x:v>
      </x:c>
      <x:c r="E45" s="38" t="n">
        <x:f>SUM(E43:E44)</x:f>
        <x:v>707.968</x:v>
      </x:c>
      <x:c r="F45" s="38" t="n">
        <x:f>SUM(F43:F44)</x:f>
        <x:v>159.782</x:v>
      </x:c>
      <x:c r="G45" s="38" t="n">
        <x:f>SUM(G43:G44)</x:f>
        <x:v>160.199</x:v>
      </x:c>
      <x:c r="H45" s="44" t="n">
        <x:f>SUM(H43:H44)</x:f>
        <x:v>167.5044</x:v>
      </x:c>
      <x:c r="I45" s="1"/>
      <x:c r="J45" s="1"/>
      <x:c r="K45" s="1"/>
    </x:row>
    <x:row r="46">
      <x:c r="B46" s="11" t="s">
        <x:v>131</x:v>
      </x:c>
      <x:c r="C46" s="43" t="n">
        <x:f>Inputs!C28</x:f>
        <x:v>2.78</x:v>
      </x:c>
      <x:c r="D46" s="43" t="n">
        <x:f>Inputs!D28</x:f>
        <x:v>2.95</x:v>
      </x:c>
      <x:c r="E46" s="43" t="n">
        <x:f>Inputs!E28</x:f>
        <x:v>11.22</x:v>
      </x:c>
      <x:c r="F46" s="43" t="n">
        <x:f>Inputs!F28</x:f>
        <x:v>2.61</x:v>
      </x:c>
      <x:c r="G46" s="43" t="n">
        <x:f>Inputs!G28</x:f>
        <x:v>2.63</x:v>
      </x:c>
      <x:c r="H46" s="46" t="n">
        <x:f>H45/H26</x:f>
        <x:v>2.7504827586206897</x:v>
      </x:c>
      <x:c r="I46" s="1"/>
      <x:c r="J46" s="1"/>
      <x:c r="K46" s="1"/>
    </x:row>
    <x:row r="47">
      <x:c r="B47" s="1" t="s">
        <x:v>132</x:v>
      </x:c>
      <x:c r="C47" s="6" t="n">
        <x:f>C46-Inputs!C28</x:f>
        <x:v>0</x:v>
      </x:c>
      <x:c r="D47" s="6" t="n">
        <x:f>D46-Inputs!D28</x:f>
        <x:v>0</x:v>
      </x:c>
      <x:c r="E47" s="6" t="n">
        <x:f>E46-Inputs!E28</x:f>
        <x:v>0</x:v>
      </x:c>
      <x:c r="F47" s="6" t="n">
        <x:f>F46-Inputs!F28</x:f>
        <x:v>0</x:v>
      </x:c>
      <x:c r="G47" s="6" t="n">
        <x:f>G46-Inputs!G28</x:f>
        <x:v>0</x:v>
      </x:c>
      <x:c r="H47" s="13" t="n">
        <x:f>H45/H26-H46</x:f>
        <x:v>0</x:v>
      </x:c>
      <x:c r="I47" s="1"/>
      <x:c r="J47" s="1"/>
      <x:c r="K47" s="1"/>
    </x:row>
    <x:row r="48">
      <x:c r="B48" s="11" t="s">
        <x:v>133</x:v>
      </x:c>
      <x:c r="C48" s="38" t="n">
        <x:f>SUM(C18,C29:C33,C39)</x:f>
        <x:v>305.12800000000004</x:v>
      </x:c>
      <x:c r="D48" s="38" t="n">
        <x:f>SUM(D18,D29:D33,D39)</x:f>
        <x:v>323.2209999999998</x:v>
      </x:c>
      <x:c r="E48" s="38" t="n">
        <x:f>SUM(E18,E29:E33,E39)</x:f>
        <x:v>1253.5439999999985</x:v>
      </x:c>
      <x:c r="F48" s="38" t="n">
        <x:f>SUM(F18,F29:F33,F39)</x:f>
        <x:v>295.02300000000014</x:v>
      </x:c>
      <x:c r="G48" s="38" t="n">
        <x:f>SUM(G18,G29:G33,G39)</x:f>
        <x:v>292.01399999999995</x:v>
      </x:c>
      <x:c r="H48" s="44" t="n">
        <x:f>SUM(H18,H29:H33,H39)</x:f>
        <x:v>301.1</x:v>
      </x:c>
      <x:c r="I48" s="1"/>
      <x:c r="J48" s="1"/>
      <x:c r="K48" s="1"/>
    </x:row>
    <x:row r="49">
      <x:c r="B49" s="41" t="s">
        <x:v>134</x:v>
      </x:c>
      <x:c r="C49" s="33" t="n">
        <x:f>IFERROR(C48/C10,0)</x:f>
        <x:v>0.12287431043071327</x:v>
      </x:c>
      <x:c r="D49" s="33" t="n">
        <x:f>IFERROR(D48/D10,0)</x:f>
        <x:v>0.1266081063877708</x:v>
      </x:c>
      <x:c r="E49" s="33" t="n">
        <x:f>IFERROR(E48/E10,0)</x:f>
        <x:v>0.1275771641736815</x:v>
      </x:c>
      <x:c r="F49" s="33" t="n">
        <x:f>IFERROR(F48/F10,0)</x:f>
        <x:v>0.11799074624728698</x:v>
      </x:c>
      <x:c r="G49" s="33" t="n">
        <x:f>IFERROR(G48/G10,0)</x:f>
        <x:v>0.11858566571085245</x:v>
      </x:c>
      <x:c r="H49" s="42" t="n">
        <x:f>IFERROR(H48/H10,0)</x:f>
        <x:v>0.12143673287378103</x:v>
      </x:c>
      <x:c r="I49" s="1"/>
      <x:c r="J49" s="1"/>
      <x:c r="K49" s="1"/>
    </x:row>
    <x:row r="50">
      <x:c r="B50" s="41" t="s">
        <x:v>135</x:v>
      </x:c>
      <x:c r="C50" s="33"/>
      <x:c r="D50" s="33"/>
      <x:c r="E50" s="33"/>
      <x:c r="F50" s="33"/>
      <x:c r="G50" s="33"/>
      <x:c r="H50" s="42" t="n">
        <x:f>IFERROR(H46/C46-1,0)</x:f>
        <x:v>-0.010617712726370576</x:v>
      </x:c>
      <x:c r="I50" s="1"/>
      <x:c r="J50" s="1"/>
      <x:c r="K50" s="1"/>
    </x:row>
    <x:row r="51">
      <x:c r="B51" s="1" t="s">
        <x:v>136</x:v>
      </x:c>
      <x:c r="C51" s="6" t="n">
        <x:f>C23-Inputs!C26</x:f>
        <x:v>4.263256414560601e-14</x:v>
      </x:c>
      <x:c r="D51" s="6" t="n">
        <x:f>D23-Inputs!D26</x:f>
        <x:v>-2.2737367544323206e-13</x:v>
      </x:c>
      <x:c r="E51" s="6" t="n">
        <x:f>E23-Inputs!E26</x:f>
        <x:v>-1.3642420526593924e-12</x:v>
      </x:c>
      <x:c r="F51" s="6" t="n">
        <x:f>F23-Inputs!F26</x:f>
        <x:v>2.0605739337042905e-13</x:v>
      </x:c>
      <x:c r="G51" s="6" t="n">
        <x:f>G23-Inputs!G26</x:f>
        <x:v>-6.394884621840902e-14</x:v>
      </x:c>
      <x:c r="H51" s="13"/>
      <x:c r="I51" s="1"/>
      <x:c r="J51" s="1"/>
      <x:c r="K51" s="1"/>
    </x:row>
    <x:row r="52" ht="32" customHeight="1">
      <x:c r="B52" s="89" t="s">
        <x:v>137</x:v>
      </x:c>
      <x:c r="C52" s="6" t="n">
        <x:f>C43-Inputs!C42</x:f>
        <x:v>5.684341886080802e-14</x:v>
      </x:c>
      <x:c r="D52" s="6" t="n">
        <x:f>D43-Inputs!D42</x:f>
        <x:v>-2.2737367544323206e-13</x:v>
      </x:c>
      <x:c r="E52" s="6" t="n">
        <x:f>E43-Inputs!E42</x:f>
        <x:v>-1.2505552149377763e-12</x:v>
      </x:c>
      <x:c r="F52" s="6" t="n">
        <x:f>F43-Inputs!F42</x:f>
        <x:v>1.9895196601282805e-13</x:v>
      </x:c>
      <x:c r="G52" s="6" t="n">
        <x:f>G43-Inputs!G42</x:f>
        <x:v>-5.684341886080802e-14</x:v>
      </x:c>
      <x:c r="H52" s="13"/>
      <x:c r="I52" s="1"/>
      <x:c r="J52" s="1"/>
      <x:c r="K52" s="1"/>
    </x:row>
    <x:row r="53">
      <x:c r="B53" s="1" t="s">
        <x:v>138</x:v>
      </x:c>
      <x:c r="C53" s="2" t="n">
        <x:f>C27/C26-C28</x:f>
        <x:v>0</x:v>
      </x:c>
      <x:c r="D53" s="2" t="n">
        <x:f>D27/D26-D28</x:f>
        <x:v>0</x:v>
      </x:c>
      <x:c r="E53" s="2" t="n">
        <x:f>E27/E26-E28</x:f>
        <x:v>0</x:v>
      </x:c>
      <x:c r="F53" s="2" t="n">
        <x:f>F27/F26-F28</x:f>
        <x:v>0</x:v>
      </x:c>
      <x:c r="G53" s="2" t="n">
        <x:f>G27/G26-G28</x:f>
        <x:v>0</x:v>
      </x:c>
      <x:c r="H53" s="13" t="n">
        <x:f>H27/H26-H28</x:f>
        <x:v>0</x:v>
      </x:c>
      <x:c r="I53" s="1"/>
      <x:c r="J53" s="1"/>
      <x:c r="K53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4" customWidth="1"/>
    <x:col min="2" max="2" width="47" hidden="0" customWidth="1"/>
    <x:col min="3" max="8" width="13" customWidth="1"/>
    <x:col min="9" max="9" width="18" customWidth="1"/>
    <x:col min="10" max="10" width="60" hidden="0" customWidth="1"/>
  </x:cols>
  <x:sheetData>
    <x:row r="1">
      <x:c r="I1" s="1"/>
      <x:c r="J1" s="1"/>
      <x:c r="K1" s="1"/>
    </x:row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B3" s="1" t="s">
        <x:v>139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85" t="s">
        <x:v>3</x:v>
      </x:c>
      <x:c r="C5" s="72" t="s">
        <x:v>4</x:v>
      </x:c>
      <x:c r="D5" s="72" t="s">
        <x:v>5</x:v>
      </x:c>
      <x:c r="E5" s="72" t="s">
        <x:v>6</x:v>
      </x:c>
      <x:c r="F5" s="72" t="s">
        <x:v>7</x:v>
      </x:c>
      <x:c r="G5" s="72" t="s">
        <x:v>8</x:v>
      </x:c>
      <x:c r="H5" s="73" t="s">
        <x:v>9</x:v>
      </x:c>
      <x:c r="I5" s="1"/>
      <x:c r="J5" s="1"/>
      <x:c r="K5" s="1"/>
    </x:row>
    <x:row r="6">
      <x:c r="B6" s="85" t="s">
        <x:v>10</x:v>
      </x:c>
      <x:c r="C6" s="74">
        <x:v>45900</x:v>
      </x:c>
      <x:c r="D6" s="74">
        <x:v>45991</x:v>
      </x:c>
      <x:c r="E6" s="74">
        <x:v>45991</x:v>
      </x:c>
      <x:c r="F6" s="74">
        <x:v>46081</x:v>
      </x:c>
      <x:c r="G6" s="74">
        <x:v>46173</x:v>
      </x:c>
      <x:c r="H6" s="75">
        <x:v>46265</x:v>
      </x:c>
      <x:c r="I6" s="1"/>
      <x:c r="J6" s="1"/>
      <x:c r="K6" s="1"/>
    </x:row>
    <x:row r="7">
      <x:c r="B7" s="85" t="s">
        <x:v>11</x:v>
      </x:c>
      <x:c r="C7" s="72">
        <x:v>92</x:v>
      </x:c>
      <x:c r="D7" s="72">
        <x:v>91</x:v>
      </x:c>
      <x:c r="E7" s="72">
        <x:v>365</x:v>
      </x:c>
      <x:c r="F7" s="72">
        <x:v>90</x:v>
      </x:c>
      <x:c r="G7" s="72">
        <x:v>92</x:v>
      </x:c>
      <x:c r="H7" s="73">
        <x:v>92</x:v>
      </x:c>
      <x:c r="I7" s="1"/>
      <x:c r="J7" s="1"/>
      <x:c r="K7" s="1"/>
    </x:row>
    <x:row r="8">
      <x:c r="B8" s="1"/>
      <x:c r="C8" s="1"/>
      <x:c r="D8" s="1"/>
      <x:c r="E8" s="1"/>
      <x:c r="F8" s="1"/>
      <x:c r="G8" s="1"/>
      <x:c r="H8" s="7"/>
      <x:c r="I8" s="1"/>
      <x:c r="J8" s="1"/>
      <x:c r="K8" s="1"/>
    </x:row>
    <x:row r="9" ht="32" customHeight="1">
      <x:c r="B9" s="89" t="s">
        <x:v>140</x:v>
      </x:c>
      <x:c r="C9" s="2"/>
      <x:c r="D9" s="2"/>
      <x:c r="E9" s="2"/>
      <x:c r="F9" s="2"/>
      <x:c r="G9" s="2"/>
      <x:c r="H9" s="13"/>
      <x:c r="I9" s="1"/>
      <x:c r="J9" s="1"/>
      <x:c r="K9" s="1"/>
    </x:row>
    <x:row r="10">
      <x:c r="B10" s="1" t="s">
        <x:v>141</x:v>
      </x:c>
      <x:c r="C10" s="6" t="n">
        <x:f>Inputs!C50</x:f>
        <x:v>350.259</x:v>
      </x:c>
      <x:c r="D10" s="6" t="n">
        <x:f>Inputs!D50</x:f>
        <x:v>327.347</x:v>
      </x:c>
      <x:c r="E10" s="6" t="n">
        <x:f>Inputs!E50</x:f>
        <x:v>327.347</x:v>
      </x:c>
      <x:c r="F10" s="6" t="n">
        <x:f>Inputs!F50</x:f>
        <x:v>222.699</x:v>
      </x:c>
      <x:c r="G10" s="6" t="n">
        <x:f>Inputs!G50</x:f>
        <x:v>255.566</x:v>
      </x:c>
      <x:c r="H10" s="5" t="n">
        <x:f>'Cash Flow Statement'!H17-'Cash Flow Statement'!H15</x:f>
        <x:v>325.4909999999999</x:v>
      </x:c>
      <x:c r="I10" s="1"/>
      <x:c r="J10" s="1"/>
      <x:c r="K10" s="1"/>
    </x:row>
    <x:row r="11">
      <x:c r="B11" s="1" t="s">
        <x:v>142</x:v>
      </x:c>
      <x:c r="C11" s="6" t="n">
        <x:f>Inputs!C51</x:f>
        <x:v>2051.92</x:v>
      </x:c>
      <x:c r="D11" s="6" t="n">
        <x:f>Inputs!D51</x:f>
        <x:v>1999.021</x:v>
      </x:c>
      <x:c r="E11" s="6" t="n">
        <x:f>Inputs!E51</x:f>
        <x:v>1999.021</x:v>
      </x:c>
      <x:c r="F11" s="6" t="n">
        <x:f>Inputs!F51</x:f>
        <x:v>2038.296</x:v>
      </x:c>
      <x:c r="G11" s="6" t="n">
        <x:f>Inputs!G51</x:f>
        <x:v>1987.978</x:v>
      </x:c>
      <x:c r="H11" s="5" t="n">
        <x:f>Inputs!H118</x:f>
        <x:v>1940</x:v>
      </x:c>
      <x:c r="I11" s="1"/>
      <x:c r="J11" s="1"/>
      <x:c r="K11" s="1"/>
    </x:row>
    <x:row r="12">
      <x:c r="B12" s="1" t="s">
        <x:v>143</x:v>
      </x:c>
      <x:c r="C12" s="6" t="n">
        <x:f>Inputs!C52</x:f>
        <x:v>0</x:v>
      </x:c>
      <x:c r="D12" s="6" t="n">
        <x:f>Inputs!D52</x:f>
        <x:v>0</x:v>
      </x:c>
      <x:c r="E12" s="6" t="n">
        <x:f>Inputs!E52</x:f>
        <x:v>0</x:v>
      </x:c>
      <x:c r="F12" s="6" t="n">
        <x:f>Inputs!F52</x:f>
        <x:v>207.502</x:v>
      </x:c>
      <x:c r="G12" s="6" t="n">
        <x:f>Inputs!G52</x:f>
        <x:v>202.738</x:v>
      </x:c>
      <x:c r="H12" s="13" t="n">
        <x:f>G12</x:f>
        <x:v>202.738</x:v>
      </x:c>
      <x:c r="I12" s="1"/>
      <x:c r="J12" s="1"/>
      <x:c r="K12" s="1"/>
    </x:row>
    <x:row r="13" ht="48" customHeight="1">
      <x:c r="B13" s="1" t="s">
        <x:v>144</x:v>
      </x:c>
      <x:c r="C13" s="6" t="n">
        <x:f>Inputs!C53</x:f>
        <x:v>735.332</x:v>
      </x:c>
      <x:c r="D13" s="6" t="n">
        <x:f>Inputs!D53</x:f>
        <x:v>758.135</x:v>
      </x:c>
      <x:c r="E13" s="6" t="n">
        <x:f>Inputs!E53</x:f>
        <x:v>758.135</x:v>
      </x:c>
      <x:c r="F13" s="6" t="n">
        <x:f>Inputs!F53</x:f>
        <x:v>572.718</x:v>
      </x:c>
      <x:c r="G13" s="6" t="n">
        <x:f>Inputs!G53</x:f>
        <x:v>593.611</x:v>
      </x:c>
      <x:c r="H13" s="5" t="n">
        <x:f>G13-Inputs!H106-(H11-G11)</x:f>
        <x:v>666.589</x:v>
      </x:c>
      <x:c r="I13" s="1"/>
      <x:c r="J13" s="89" t="str">
        <x:v>Assumption: residual operating working capital is allocated to other current assets. AR and this allocation reconcile to the existing $25m cash outflow.</x:v>
      </x:c>
      <x:c r="K13" s="1"/>
    </x:row>
    <x:row r="14">
      <x:c r="B14" s="21" t="s">
        <x:v>145</x:v>
      </x:c>
      <x:c r="C14" s="4" t="n">
        <x:f>SUM(C10:C13)</x:f>
        <x:v>3137.511</x:v>
      </x:c>
      <x:c r="D14" s="4" t="n">
        <x:f>SUM(D10:D13)</x:f>
        <x:v>3084.5029999999997</x:v>
      </x:c>
      <x:c r="E14" s="4" t="n">
        <x:f>SUM(E10:E13)</x:f>
        <x:v>3084.5029999999997</x:v>
      </x:c>
      <x:c r="F14" s="4" t="n">
        <x:f>SUM(F10:F13)</x:f>
        <x:v>3041.2149999999997</x:v>
      </x:c>
      <x:c r="G14" s="4" t="n">
        <x:f>SUM(G10:G13)</x:f>
        <x:v>3039.8929999999996</x:v>
      </x:c>
      <x:c r="H14" s="19" t="n">
        <x:f>SUM(H10:H13)</x:f>
        <x:v>3134.8179999999998</x:v>
      </x:c>
      <x:c r="I14" s="1"/>
      <x:c r="J14" s="1"/>
      <x:c r="K14" s="1"/>
    </x:row>
    <x:row r="15" ht="48" customHeight="1">
      <x:c r="B15" s="1" t="s">
        <x:v>146</x:v>
      </x:c>
      <x:c r="C15" s="6" t="n">
        <x:f>Inputs!C54</x:f>
        <x:v>733.306</x:v>
      </x:c>
      <x:c r="D15" s="6" t="n">
        <x:f>Inputs!D54</x:f>
        <x:v>735.55</x:v>
      </x:c>
      <x:c r="E15" s="6" t="n">
        <x:f>Inputs!E54</x:f>
        <x:v>735.55</x:v>
      </x:c>
      <x:c r="F15" s="6" t="n">
        <x:f>Inputs!F54</x:f>
        <x:v>726.063</x:v>
      </x:c>
      <x:c r="G15" s="6" t="n">
        <x:f>Inputs!G54</x:f>
        <x:v>709.829</x:v>
      </x:c>
      <x:c r="H15" s="13" t="n">
        <x:f>G15-Inputs!H95-Inputs!H108</x:f>
        <x:v>706.829</x:v>
      </x:c>
      <x:c r="I15" s="1"/>
      <x:c r="J15" s="89" t="str">
        <x:v>Opening PP&amp;E + capex - depreciation. No acquisitions or disposals assumed.</x:v>
      </x:c>
      <x:c r="K15" s="1"/>
    </x:row>
    <x:row r="16">
      <x:c r="B16" s="1" t="s">
        <x:v>147</x:v>
      </x:c>
      <x:c r="C16" s="6" t="n">
        <x:f>Inputs!C55</x:f>
        <x:v>5191.565</x:v>
      </x:c>
      <x:c r="D16" s="6" t="n">
        <x:f>Inputs!D55</x:f>
        <x:v>3671.746</x:v>
      </x:c>
      <x:c r="E16" s="6" t="n">
        <x:f>Inputs!E55</x:f>
        <x:v>3671.746</x:v>
      </x:c>
      <x:c r="F16" s="6" t="n">
        <x:f>Inputs!F55</x:f>
        <x:v>3696.052</x:v>
      </x:c>
      <x:c r="G16" s="6" t="n">
        <x:f>Inputs!G55</x:f>
        <x:v>3653.49</x:v>
      </x:c>
      <x:c r="H16" s="13" t="n">
        <x:f>G16</x:f>
        <x:v>3653.49</x:v>
      </x:c>
      <x:c r="I16" s="1"/>
      <x:c r="J16" s="1"/>
      <x:c r="K16" s="1"/>
    </x:row>
    <x:row r="17" ht="48" customHeight="1">
      <x:c r="B17" s="1" t="s">
        <x:v>148</x:v>
      </x:c>
      <x:c r="C17" s="6" t="n">
        <x:f>Inputs!C56</x:f>
        <x:v>2079.278</x:v>
      </x:c>
      <x:c r="D17" s="6" t="n">
        <x:f>Inputs!D56</x:f>
        <x:v>1960.338</x:v>
      </x:c>
      <x:c r="E17" s="6" t="n">
        <x:f>Inputs!E56</x:f>
        <x:v>1960.338</x:v>
      </x:c>
      <x:c r="F17" s="6" t="n">
        <x:f>Inputs!F56</x:f>
        <x:v>1867.038</x:v>
      </x:c>
      <x:c r="G17" s="6" t="n">
        <x:f>Inputs!G56</x:f>
        <x:v>1749.909</x:v>
      </x:c>
      <x:c r="H17" s="13" t="n">
        <x:f>G17-Inputs!H125</x:f>
        <x:v>1647.409</x:v>
      </x:c>
      <x:c r="I17" s="1"/>
      <x:c r="J17" s="89" t="str">
        <x:v>Opening intangibles less forecast amortization. No additions assumed.</x:v>
      </x:c>
      <x:c r="K17" s="1"/>
    </x:row>
    <x:row r="18">
      <x:c r="B18" s="1" t="s">
        <x:v>149</x:v>
      </x:c>
      <x:c r="C18" s="6" t="n">
        <x:f>Inputs!C57</x:f>
        <x:v>282.486</x:v>
      </x:c>
      <x:c r="D18" s="6" t="n">
        <x:f>Inputs!D57</x:f>
        <x:v>317.453</x:v>
      </x:c>
      <x:c r="E18" s="6" t="n">
        <x:f>Inputs!E57</x:f>
        <x:v>317.453</x:v>
      </x:c>
      <x:c r="F18" s="6" t="n">
        <x:f>Inputs!F57</x:f>
        <x:v>314.044</x:v>
      </x:c>
      <x:c r="G18" s="6" t="n">
        <x:f>Inputs!G57</x:f>
        <x:v>343.201</x:v>
      </x:c>
      <x:c r="H18" s="13" t="n">
        <x:f>G18</x:f>
        <x:v>343.201</x:v>
      </x:c>
      <x:c r="I18" s="1"/>
      <x:c r="J18" s="1"/>
      <x:c r="K18" s="1"/>
    </x:row>
    <x:row r="19">
      <x:c r="B19" s="1" t="s">
        <x:v>150</x:v>
      </x:c>
      <x:c r="C19" s="6" t="n">
        <x:f>Inputs!C58</x:f>
        <x:v>985.953</x:v>
      </x:c>
      <x:c r="D19" s="6" t="n">
        <x:f>Inputs!D58</x:f>
        <x:v>991.496</x:v>
      </x:c>
      <x:c r="E19" s="6" t="n">
        <x:f>Inputs!E58</x:f>
        <x:v>991.496</x:v>
      </x:c>
      <x:c r="F19" s="6" t="n">
        <x:f>Inputs!F58</x:f>
        <x:v>1030.21</x:v>
      </x:c>
      <x:c r="G19" s="6" t="n">
        <x:f>Inputs!G58</x:f>
        <x:v>1016.525</x:v>
      </x:c>
      <x:c r="H19" s="13" t="n">
        <x:f>G19</x:f>
        <x:v>1016.525</x:v>
      </x:c>
      <x:c r="I19" s="1"/>
      <x:c r="J19" s="1"/>
      <x:c r="K19" s="1"/>
    </x:row>
    <x:row r="20">
      <x:c r="B20" s="21" t="s">
        <x:v>151</x:v>
      </x:c>
      <x:c r="C20" s="4" t="n">
        <x:f>SUM(C14:C19)</x:f>
        <x:v>12410.099</x:v>
      </x:c>
      <x:c r="D20" s="4" t="n">
        <x:f>SUM(D14:D19)</x:f>
        <x:v>10761.086</x:v>
      </x:c>
      <x:c r="E20" s="4" t="n">
        <x:f>SUM(E14:E19)</x:f>
        <x:v>10761.086</x:v>
      </x:c>
      <x:c r="F20" s="4" t="n">
        <x:f>SUM(F14:F19)</x:f>
        <x:v>10674.622</x:v>
      </x:c>
      <x:c r="G20" s="4" t="n">
        <x:f>SUM(G14:G19)</x:f>
        <x:v>10512.847</x:v>
      </x:c>
      <x:c r="H20" s="19" t="n">
        <x:f>SUM(H14:H19)</x:f>
        <x:v>10502.271999999999</x:v>
      </x:c>
      <x:c r="I20" s="1"/>
      <x:c r="J20" s="1"/>
      <x:c r="K20" s="1"/>
    </x:row>
    <x:row r="21">
      <x:c r="B21" s="1" t="s">
        <x:v>152</x:v>
      </x:c>
      <x:c r="C21" s="6" t="n">
        <x:f>Inputs!C59</x:f>
        <x:v>221.57</x:v>
      </x:c>
      <x:c r="D21" s="6" t="n">
        <x:f>Inputs!D59</x:f>
        <x:v>244.771</x:v>
      </x:c>
      <x:c r="E21" s="6" t="n">
        <x:f>Inputs!E59</x:f>
        <x:v>244.771</x:v>
      </x:c>
      <x:c r="F21" s="6" t="n">
        <x:f>Inputs!F59</x:f>
        <x:v>202.424</x:v>
      </x:c>
      <x:c r="G21" s="6" t="n">
        <x:f>Inputs!G59</x:f>
        <x:v>198.108</x:v>
      </x:c>
      <x:c r="H21" s="13" t="n">
        <x:f>G21</x:f>
        <x:v>198.108</x:v>
      </x:c>
      <x:c r="I21" s="1"/>
      <x:c r="J21" s="1"/>
      <x:c r="K21" s="1"/>
    </x:row>
    <x:row r="22">
      <x:c r="B22" s="1" t="s">
        <x:v>153</x:v>
      </x:c>
      <x:c r="C22" s="6" t="n">
        <x:f>Inputs!C60</x:f>
        <x:v>37.5</x:v>
      </x:c>
      <x:c r="D22" s="6" t="n">
        <x:f>Inputs!D60</x:f>
        <x:v>65.625</x:v>
      </x:c>
      <x:c r="E22" s="6" t="n">
        <x:f>Inputs!E60</x:f>
        <x:v>65.625</x:v>
      </x:c>
      <x:c r="F22" s="6" t="n">
        <x:f>Inputs!F60</x:f>
        <x:v>750</x:v>
      </x:c>
      <x:c r="G22" s="6" t="n">
        <x:f>Inputs!G60</x:f>
        <x:v>650</x:v>
      </x:c>
      <x:c r="H22" s="5" t="n">
        <x:f>G22-Inputs!H117</x:f>
        <x:v>582</x:v>
      </x:c>
      <x:c r="I22" s="1"/>
      <x:c r="J22" s="1"/>
      <x:c r="K22" s="1"/>
    </x:row>
    <x:row r="23">
      <x:c r="B23" s="1" t="s">
        <x:v>154</x:v>
      </x:c>
      <x:c r="C23" s="6" t="n">
        <x:f>Inputs!C61</x:f>
        <x:v>698.89</x:v>
      </x:c>
      <x:c r="D23" s="6" t="n">
        <x:f>Inputs!D61</x:f>
        <x:v>764.962</x:v>
      </x:c>
      <x:c r="E23" s="6" t="n">
        <x:f>Inputs!E61</x:f>
        <x:v>764.962</x:v>
      </x:c>
      <x:c r="F23" s="6" t="n">
        <x:f>Inputs!F61</x:f>
        <x:v>622.039</x:v>
      </x:c>
      <x:c r="G23" s="6" t="n">
        <x:f>Inputs!G61</x:f>
        <x:v>658.057</x:v>
      </x:c>
      <x:c r="H23" s="13" t="n">
        <x:f>G23</x:f>
        <x:v>658.057</x:v>
      </x:c>
      <x:c r="I23" s="1"/>
      <x:c r="J23" s="1"/>
      <x:c r="K23" s="1"/>
    </x:row>
    <x:row r="24">
      <x:c r="B24" s="1" t="s">
        <x:v>155</x:v>
      </x:c>
      <x:c r="C24" s="6" t="n">
        <x:f>Inputs!C62</x:f>
        <x:v>969.868</x:v>
      </x:c>
      <x:c r="D24" s="6" t="n">
        <x:f>Inputs!D62</x:f>
        <x:v>997.198</x:v>
      </x:c>
      <x:c r="E24" s="6" t="n">
        <x:f>Inputs!E62</x:f>
        <x:v>997.198</x:v>
      </x:c>
      <x:c r="F24" s="6" t="n">
        <x:f>Inputs!F62</x:f>
        <x:v>736.782</x:v>
      </x:c>
      <x:c r="G24" s="6" t="n">
        <x:f>Inputs!G62</x:f>
        <x:v>815.876</x:v>
      </x:c>
      <x:c r="H24" s="13" t="n">
        <x:f>G24</x:f>
        <x:v>815.876</x:v>
      </x:c>
      <x:c r="I24" s="1"/>
      <x:c r="J24" s="1"/>
      <x:c r="K24" s="1"/>
    </x:row>
    <x:row r="25">
      <x:c r="B25" s="1" t="s">
        <x:v>156</x:v>
      </x:c>
      <x:c r="C25" s="6" t="n">
        <x:f>Inputs!C63</x:f>
        <x:v>81.355</x:v>
      </x:c>
      <x:c r="D25" s="6" t="n">
        <x:f>Inputs!D63</x:f>
        <x:v>123.794</x:v>
      </x:c>
      <x:c r="E25" s="6" t="n">
        <x:f>Inputs!E63</x:f>
        <x:v>123.794</x:v>
      </x:c>
      <x:c r="F25" s="6" t="n">
        <x:f>Inputs!F63</x:f>
        <x:v>89.147</x:v>
      </x:c>
      <x:c r="G25" s="6" t="n">
        <x:f>Inputs!G63</x:f>
        <x:v>85.078</x:v>
      </x:c>
      <x:c r="H25" s="13" t="n">
        <x:f>G25</x:f>
        <x:v>85.078</x:v>
      </x:c>
      <x:c r="I25" s="1"/>
      <x:c r="J25" s="1"/>
      <x:c r="K25" s="1"/>
    </x:row>
    <x:row r="26">
      <x:c r="B26" s="1" t="s">
        <x:v>157</x:v>
      </x:c>
      <x:c r="C26" s="6" t="n">
        <x:f>Inputs!C64</x:f>
        <x:v>0</x:v>
      </x:c>
      <x:c r="D26" s="6" t="n">
        <x:f>Inputs!D64</x:f>
        <x:v>0</x:v>
      </x:c>
      <x:c r="E26" s="6" t="n">
        <x:f>Inputs!E64</x:f>
        <x:v>0</x:v>
      </x:c>
      <x:c r="F26" s="6" t="n">
        <x:f>Inputs!F64</x:f>
        <x:v>174.941</x:v>
      </x:c>
      <x:c r="G26" s="6" t="n">
        <x:f>Inputs!G64</x:f>
        <x:v>172.259</x:v>
      </x:c>
      <x:c r="H26" s="13" t="n">
        <x:f>G26</x:f>
        <x:v>172.259</x:v>
      </x:c>
      <x:c r="I26" s="1"/>
      <x:c r="J26" s="1"/>
      <x:c r="K26" s="1"/>
    </x:row>
    <x:row r="27">
      <x:c r="B27" s="21" t="s">
        <x:v>158</x:v>
      </x:c>
      <x:c r="C27" s="4" t="n">
        <x:f>SUM(C21:C26)</x:f>
        <x:v>2009.183</x:v>
      </x:c>
      <x:c r="D27" s="4" t="n">
        <x:f>SUM(D21:D26)</x:f>
        <x:v>2196.35</x:v>
      </x:c>
      <x:c r="E27" s="4" t="n">
        <x:f>SUM(E21:E26)</x:f>
        <x:v>2196.35</x:v>
      </x:c>
      <x:c r="F27" s="4" t="n">
        <x:f>SUM(F21:F26)</x:f>
        <x:v>2575.3329999999996</x:v>
      </x:c>
      <x:c r="G27" s="4" t="n">
        <x:f>SUM(G21:G26)</x:f>
        <x:v>2579.378</x:v>
      </x:c>
      <x:c r="H27" s="19" t="n">
        <x:f>SUM(H21:H26)</x:f>
        <x:v>2511.378</x:v>
      </x:c>
      <x:c r="I27" s="1"/>
      <x:c r="J27" s="1"/>
      <x:c r="K27" s="1"/>
    </x:row>
    <x:row r="28">
      <x:c r="B28" s="1" t="s">
        <x:v>159</x:v>
      </x:c>
      <x:c r="C28" s="6" t="n">
        <x:f>Inputs!C65</x:f>
        <x:v>4790.293</x:v>
      </x:c>
      <x:c r="D28" s="6" t="n">
        <x:f>Inputs!D65</x:f>
        <x:v>4572.889</x:v>
      </x:c>
      <x:c r="E28" s="6" t="n">
        <x:f>Inputs!E65</x:f>
        <x:v>4572.889</x:v>
      </x:c>
      <x:c r="F28" s="6" t="n">
        <x:f>Inputs!F65</x:f>
        <x:v>3995.253</x:v>
      </x:c>
      <x:c r="G28" s="6" t="n">
        <x:f>Inputs!G65</x:f>
        <x:v>3934.874</x:v>
      </x:c>
      <x:c r="H28" s="13" t="n">
        <x:f>G28</x:f>
        <x:v>3934.874</x:v>
      </x:c>
      <x:c r="I28" s="1"/>
      <x:c r="J28" s="1"/>
      <x:c r="K28" s="1"/>
    </x:row>
    <x:row r="29">
      <x:c r="B29" s="1" t="s">
        <x:v>160</x:v>
      </x:c>
      <x:c r="C29" s="6" t="n">
        <x:f>Inputs!C66</x:f>
        <x:v>964.086</x:v>
      </x:c>
      <x:c r="D29" s="6" t="n">
        <x:f>Inputs!D66</x:f>
        <x:v>950.983</x:v>
      </x:c>
      <x:c r="E29" s="6" t="n">
        <x:f>Inputs!E66</x:f>
        <x:v>950.983</x:v>
      </x:c>
      <x:c r="F29" s="6" t="n">
        <x:f>Inputs!F66</x:f>
        <x:v>1014.676</x:v>
      </x:c>
      <x:c r="G29" s="6" t="n">
        <x:f>Inputs!G66</x:f>
        <x:v>1011.706</x:v>
      </x:c>
      <x:c r="H29" s="13" t="n">
        <x:f>G29</x:f>
        <x:v>1011.706</x:v>
      </x:c>
      <x:c r="I29" s="1"/>
      <x:c r="J29" s="1"/>
      <x:c r="K29" s="1"/>
    </x:row>
    <x:row r="30">
      <x:c r="B30" s="1" t="s">
        <x:v>161</x:v>
      </x:c>
      <x:c r="C30" s="6" t="n">
        <x:f>Inputs!C67</x:f>
        <x:v>302.408</x:v>
      </x:c>
      <x:c r="D30" s="6" t="n">
        <x:f>Inputs!D67</x:f>
        <x:v>296.519</x:v>
      </x:c>
      <x:c r="E30" s="6" t="n">
        <x:f>Inputs!E67</x:f>
        <x:v>296.519</x:v>
      </x:c>
      <x:c r="F30" s="6" t="n">
        <x:f>Inputs!F67</x:f>
        <x:v>300.946</x:v>
      </x:c>
      <x:c r="G30" s="6" t="n">
        <x:f>Inputs!G67</x:f>
        <x:v>285.603</x:v>
      </x:c>
      <x:c r="H30" s="13" t="n">
        <x:f>G30</x:f>
        <x:v>285.603</x:v>
      </x:c>
      <x:c r="I30" s="1"/>
      <x:c r="J30" s="1"/>
      <x:c r="K30" s="1"/>
    </x:row>
    <x:row r="31">
      <x:c r="B31" s="21" t="s">
        <x:v>162</x:v>
      </x:c>
      <x:c r="C31" s="4" t="n">
        <x:f>SUM(C27:C30)</x:f>
        <x:v>8065.97</x:v>
      </x:c>
      <x:c r="D31" s="4" t="n">
        <x:f>SUM(D27:D30)</x:f>
        <x:v>8016.741</x:v>
      </x:c>
      <x:c r="E31" s="4" t="n">
        <x:f>SUM(E27:E30)</x:f>
        <x:v>8016.741</x:v>
      </x:c>
      <x:c r="F31" s="4" t="n">
        <x:f>SUM(F27:F30)</x:f>
        <x:v>7886.208</x:v>
      </x:c>
      <x:c r="G31" s="4" t="n">
        <x:f>SUM(G27:G30)</x:f>
        <x:v>7811.561000000001</x:v>
      </x:c>
      <x:c r="H31" s="19" t="n">
        <x:f>SUM(H27:H30)</x:f>
        <x:v>7743.561000000001</x:v>
      </x:c>
      <x:c r="I31" s="1"/>
      <x:c r="J31" s="1"/>
      <x:c r="K31" s="1"/>
    </x:row>
    <x:row r="32">
      <x:c r="B32" s="1" t="s">
        <x:v>163</x:v>
      </x:c>
      <x:c r="C32" s="6" t="n">
        <x:f>Inputs!C48</x:f>
        <x:v>0.007</x:v>
      </x:c>
      <x:c r="D32" s="6" t="n">
        <x:f>Inputs!D48</x:f>
        <x:v>0.007</x:v>
      </x:c>
      <x:c r="E32" s="6" t="n">
        <x:f>Inputs!E48</x:f>
        <x:v>0.007</x:v>
      </x:c>
      <x:c r="F32" s="6" t="n">
        <x:f>Inputs!F48</x:f>
        <x:v>0.007</x:v>
      </x:c>
      <x:c r="G32" s="6" t="n">
        <x:f>Inputs!G48</x:f>
        <x:v>0.007</x:v>
      </x:c>
      <x:c r="H32" s="13" t="n">
        <x:f>G32</x:f>
        <x:v>0.007</x:v>
      </x:c>
      <x:c r="I32" s="1"/>
      <x:c r="J32" s="1"/>
      <x:c r="K32" s="1"/>
    </x:row>
    <x:row r="33" ht="48" customHeight="1">
      <x:c r="B33" s="1" t="s">
        <x:v>164</x:v>
      </x:c>
      <x:c r="C33" s="6" t="n">
        <x:f>Inputs!C68</x:f>
        <x:v>3765.512</x:v>
      </x:c>
      <x:c r="D33" s="6" t="n">
        <x:f>Inputs!D68</x:f>
        <x:v>3783.972</x:v>
      </x:c>
      <x:c r="E33" s="6" t="n">
        <x:f>Inputs!E68</x:f>
        <x:v>3783.972</x:v>
      </x:c>
      <x:c r="F33" s="6" t="n">
        <x:f>Inputs!F68</x:f>
        <x:v>3814.078</x:v>
      </x:c>
      <x:c r="G33" s="6" t="n">
        <x:f>Inputs!G68</x:f>
        <x:v>3838.082</x:v>
      </x:c>
      <x:c r="H33" s="5" t="n">
        <x:f>G33+Inputs!H126</x:f>
        <x:v>3861.882</x:v>
      </x:c>
      <x:c r="I33" s="1"/>
      <x:c r="J33" s="89" t="str">
        <x:v>Stock compensation increases APIC. Other equity issuance effects assumed zero.</x:v>
      </x:c>
      <x:c r="K33" s="1"/>
    </x:row>
    <x:row r="34">
      <x:c r="B34" s="1" t="s">
        <x:v>165</x:v>
      </x:c>
      <x:c r="C34" s="6" t="n">
        <x:f>Inputs!C69</x:f>
        <x:v>-537.966</x:v>
      </x:c>
      <x:c r="D34" s="6" t="n">
        <x:f>Inputs!D69</x:f>
        <x:v>-610.162</x:v>
      </x:c>
      <x:c r="E34" s="6" t="n">
        <x:f>Inputs!E69</x:f>
        <x:v>-610.162</x:v>
      </x:c>
      <x:c r="F34" s="6" t="n">
        <x:f>Inputs!F69</x:f>
        <x:v>-656.047</x:v>
      </x:c>
      <x:c r="G34" s="6" t="n">
        <x:f>Inputs!G69</x:f>
        <x:v>-657.34</x:v>
      </x:c>
      <x:c r="H34" s="5" t="n">
        <x:f>G34-Inputs!H114</x:f>
        <x:v>-657.34</x:v>
      </x:c>
      <x:c r="I34" s="1"/>
      <x:c r="J34" s="1"/>
      <x:c r="K34" s="1"/>
    </x:row>
    <x:row r="35">
      <x:c r="B35" s="1" t="s">
        <x:v>166</x:v>
      </x:c>
      <x:c r="C35" s="6" t="n">
        <x:f>Inputs!C70</x:f>
        <x:v>1325.693</x:v>
      </x:c>
      <x:c r="D35" s="6" t="n">
        <x:f>Inputs!D70</x:f>
        <x:v>-177.01</x:v>
      </x:c>
      <x:c r="E35" s="6" t="n">
        <x:f>Inputs!E70</x:f>
        <x:v>-177.01</x:v>
      </x:c>
      <x:c r="F35" s="6" t="n">
        <x:f>Inputs!F70</x:f>
        <x:v>-178.645</x:v>
      </x:c>
      <x:c r="G35" s="6" t="n">
        <x:f>Inputs!G70</x:f>
        <x:v>-146.518</x:v>
      </x:c>
      <x:c r="H35" s="5" t="n">
        <x:f>G35+'Income Statement'!H23-Inputs!H115</x:f>
        <x:v>-117.893</x:v>
      </x:c>
      <x:c r="I35" s="1"/>
      <x:c r="J35" s="1"/>
      <x:c r="K35" s="1"/>
    </x:row>
    <x:row r="36" ht="48" customHeight="1">
      <x:c r="B36" s="1" t="s">
        <x:v>167</x:v>
      </x:c>
      <x:c r="C36" s="6" t="n">
        <x:f>Inputs!C71</x:f>
        <x:v>-209.117</x:v>
      </x:c>
      <x:c r="D36" s="6" t="n">
        <x:f>Inputs!D71</x:f>
        <x:v>-252.462</x:v>
      </x:c>
      <x:c r="E36" s="6" t="n">
        <x:f>Inputs!E71</x:f>
        <x:v>-252.462</x:v>
      </x:c>
      <x:c r="F36" s="6" t="n">
        <x:f>Inputs!F71</x:f>
        <x:v>-190.979</x:v>
      </x:c>
      <x:c r="G36" s="6" t="n">
        <x:f>Inputs!G71</x:f>
        <x:v>-332.945</x:v>
      </x:c>
      <x:c r="H36" s="13" t="n">
        <x:f>G36+Inputs!H94</x:f>
        <x:v>-327.945</x:v>
      </x:c>
      <x:c r="I36" s="1"/>
      <x:c r="J36" s="89" t="str">
        <x:v>Simplifying assumption: cash FX is offset in translation equity. Cash FX alone does not establish reported OCI.</x:v>
      </x:c>
      <x:c r="K36" s="1"/>
    </x:row>
    <x:row r="37">
      <x:c r="B37" s="21" t="s">
        <x:v>168</x:v>
      </x:c>
      <x:c r="C37" s="4" t="n">
        <x:f>SUM(C32:C36)</x:f>
        <x:v>4344.129</x:v>
      </x:c>
      <x:c r="D37" s="4" t="n">
        <x:f>SUM(D32:D36)</x:f>
        <x:v>2744.345</x:v>
      </x:c>
      <x:c r="E37" s="4" t="n">
        <x:f>SUM(E32:E36)</x:f>
        <x:v>2744.345</x:v>
      </x:c>
      <x:c r="F37" s="4" t="n">
        <x:f>SUM(F32:F36)</x:f>
        <x:v>2788.414</x:v>
      </x:c>
      <x:c r="G37" s="4" t="n">
        <x:f>SUM(G32:G36)</x:f>
        <x:v>2701.2859999999996</x:v>
      </x:c>
      <x:c r="H37" s="19" t="n">
        <x:f>SUM(H32:H36)</x:f>
        <x:v>2758.711</x:v>
      </x:c>
      <x:c r="I37" s="1"/>
      <x:c r="J37" s="1"/>
      <x:c r="K37" s="1"/>
    </x:row>
    <x:row r="38">
      <x:c r="B38" s="21" t="s">
        <x:v>169</x:v>
      </x:c>
      <x:c r="C38" s="4" t="n">
        <x:f>SUM(C31,C37)</x:f>
        <x:v>12410.099</x:v>
      </x:c>
      <x:c r="D38" s="4" t="n">
        <x:f>SUM(D31,D37)</x:f>
        <x:v>10761.086</x:v>
      </x:c>
      <x:c r="E38" s="4" t="n">
        <x:f>SUM(E31,E37)</x:f>
        <x:v>10761.086</x:v>
      </x:c>
      <x:c r="F38" s="4" t="n">
        <x:f>SUM(F31,F37)</x:f>
        <x:v>10674.622</x:v>
      </x:c>
      <x:c r="G38" s="4" t="n">
        <x:f>SUM(G31,G37)</x:f>
        <x:v>10512.847</x:v>
      </x:c>
      <x:c r="H38" s="19" t="n">
        <x:f>SUM(H31,H37)</x:f>
        <x:v>10502.272</x:v>
      </x:c>
      <x:c r="I38" s="1"/>
      <x:c r="J38" s="1"/>
      <x:c r="K38" s="1"/>
    </x:row>
    <x:row r="39">
      <x:c r="B39" s="21" t="s">
        <x:v>170</x:v>
      </x:c>
      <x:c r="C39" s="4" t="n">
        <x:f>C20-C38</x:f>
        <x:v>0</x:v>
      </x:c>
      <x:c r="D39" s="4" t="n">
        <x:f>D20-D38</x:f>
        <x:v>0</x:v>
      </x:c>
      <x:c r="E39" s="4" t="n">
        <x:f>E20-E38</x:f>
        <x:v>0</x:v>
      </x:c>
      <x:c r="F39" s="4" t="n">
        <x:f>F20-F38</x:f>
        <x:v>0</x:v>
      </x:c>
      <x:c r="G39" s="4" t="n">
        <x:f>G20-G38</x:f>
        <x:v>0</x:v>
      </x:c>
      <x:c r="H39" s="19" t="n">
        <x:f>H20-H38</x:f>
        <x:v>-1.8189894035458565e-12</x:v>
      </x:c>
      <x:c r="I39" s="1"/>
      <x:c r="J39" s="1"/>
      <x:c r="K39" s="1"/>
    </x:row>
    <x:row r="40">
      <x:c r="B40" s="1" t="s">
        <x:v>171</x:v>
      </x:c>
      <x:c r="C40" s="6" t="n">
        <x:f>C20-Inputs!C72</x:f>
        <x:v>0</x:v>
      </x:c>
      <x:c r="D40" s="6" t="n">
        <x:f>D20-Inputs!D72</x:f>
        <x:v>0</x:v>
      </x:c>
      <x:c r="E40" s="6" t="n">
        <x:f>E20-Inputs!E72</x:f>
        <x:v>0</x:v>
      </x:c>
      <x:c r="F40" s="6" t="n">
        <x:f>F20-Inputs!F72</x:f>
        <x:v>0</x:v>
      </x:c>
      <x:c r="G40" s="6" t="n">
        <x:f>G20-Inputs!G72</x:f>
        <x:v>0</x:v>
      </x:c>
      <x:c r="H40" s="13"/>
      <x:c r="I40" s="1"/>
      <x:c r="J40" s="1"/>
      <x:c r="K40" s="1"/>
    </x:row>
    <x:row r="41" ht="32" customHeight="1">
      <x:c r="B41" s="89" t="s">
        <x:v>172</x:v>
      </x:c>
      <x:c r="C41" s="6" t="n">
        <x:f>C31-Inputs!C73+C37-Inputs!C74</x:f>
        <x:v>0</x:v>
      </x:c>
      <x:c r="D41" s="6" t="n">
        <x:f>D31-Inputs!D73+D37-Inputs!D74</x:f>
        <x:v>0</x:v>
      </x:c>
      <x:c r="E41" s="6" t="n">
        <x:f>E31-Inputs!E73+E37-Inputs!E74</x:f>
        <x:v>0</x:v>
      </x:c>
      <x:c r="F41" s="6" t="n">
        <x:f>F31-Inputs!F73+F37-Inputs!F74</x:f>
        <x:v>0</x:v>
      </x:c>
      <x:c r="G41" s="6" t="n">
        <x:f>G31-Inputs!G73+G37-Inputs!G74</x:f>
        <x:v>4.547473508864641e-13</x:v>
      </x:c>
      <x:c r="H41" s="13"/>
      <x:c r="I41" s="1"/>
      <x:c r="J41" s="1"/>
      <x:c r="K41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4" customWidth="1"/>
    <x:col min="2" max="2" width="47" hidden="0" customWidth="1"/>
    <x:col min="3" max="8" width="13" customWidth="1"/>
    <x:col min="9" max="9" width="18" customWidth="1"/>
    <x:col min="10" max="10" width="60" hidden="0" customWidth="1"/>
  </x:cols>
  <x:sheetData>
    <x:row r="1">
      <x:c r="I1" s="1"/>
      <x:c r="J1" s="1"/>
      <x:c r="K1" s="1"/>
    </x:row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B3" s="1" t="s">
        <x:v>173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85" t="s">
        <x:v>3</x:v>
      </x:c>
      <x:c r="C5" s="72" t="str">
        <x:v>9M25 YTD</x:v>
      </x:c>
      <x:c r="D5" s="72" t="s">
        <x:v>5</x:v>
      </x:c>
      <x:c r="E5" s="72" t="s">
        <x:v>6</x:v>
      </x:c>
      <x:c r="F5" s="72" t="s">
        <x:v>7</x:v>
      </x:c>
      <x:c r="G5" s="72" t="s">
        <x:v>8</x:v>
      </x:c>
      <x:c r="H5" s="73" t="s">
        <x:v>9</x:v>
      </x:c>
      <x:c r="I5" s="1"/>
      <x:c r="J5" s="1"/>
      <x:c r="K5" s="1"/>
    </x:row>
    <x:row r="6">
      <x:c r="B6" s="85" t="s">
        <x:v>10</x:v>
      </x:c>
      <x:c r="C6" s="74">
        <x:v>45900</x:v>
      </x:c>
      <x:c r="D6" s="74">
        <x:v>45991</x:v>
      </x:c>
      <x:c r="E6" s="74">
        <x:v>45991</x:v>
      </x:c>
      <x:c r="F6" s="74">
        <x:v>46081</x:v>
      </x:c>
      <x:c r="G6" s="74">
        <x:v>46173</x:v>
      </x:c>
      <x:c r="H6" s="75">
        <x:v>46265</x:v>
      </x:c>
      <x:c r="I6" s="1"/>
      <x:c r="J6" s="1"/>
      <x:c r="K6" s="1"/>
    </x:row>
    <x:row r="7">
      <x:c r="B7" s="85" t="s">
        <x:v>11</x:v>
      </x:c>
      <x:c r="C7" s="72" t="n">
        <x:v>274</x:v>
      </x:c>
      <x:c r="D7" s="72">
        <x:v>91</x:v>
      </x:c>
      <x:c r="E7" s="72">
        <x:v>365</x:v>
      </x:c>
      <x:c r="F7" s="72">
        <x:v>90</x:v>
      </x:c>
      <x:c r="G7" s="72">
        <x:v>92</x:v>
      </x:c>
      <x:c r="H7" s="73">
        <x:v>92</x:v>
      </x:c>
      <x:c r="I7" s="1"/>
      <x:c r="J7" s="1"/>
      <x:c r="K7" s="1"/>
    </x:row>
    <x:row r="8">
      <x:c r="B8" s="1"/>
      <x:c r="C8" s="1"/>
      <x:c r="D8" s="1"/>
      <x:c r="E8" s="1"/>
      <x:c r="F8" s="1"/>
      <x:c r="G8" s="1"/>
      <x:c r="H8" s="7"/>
      <x:c r="I8" s="1"/>
      <x:c r="J8" s="1"/>
      <x:c r="K8" s="1"/>
    </x:row>
    <x:row r="9" ht="32" customHeight="1">
      <x:c r="B9" s="89" t="str">
        <x:v>Column C: nine months. D and F:H: quarters. E: full year.</x:v>
      </x:c>
      <x:c r="C9" s="2"/>
      <x:c r="D9" s="2"/>
      <x:c r="E9" s="2"/>
      <x:c r="F9" s="2"/>
      <x:c r="G9" s="2"/>
      <x:c r="H9" s="13"/>
      <x:c r="I9" s="1"/>
      <x:c r="J9" s="1"/>
      <x:c r="K9" s="1"/>
    </x:row>
    <x:row r="10">
      <x:c r="B10" s="21" t="s">
        <x:v>174</x:v>
      </x:c>
      <x:c r="C10" s="15" t="n">
        <x:f>Inputs!C91</x:f>
        <x:v>462.747</x:v>
      </x:c>
      <x:c r="D10" s="15" t="n">
        <x:f>Inputs!E91-Inputs!C91</x:f>
        <x:v>344.21999999999997</x:v>
      </x:c>
      <x:c r="E10" s="15" t="n">
        <x:f>Inputs!E91</x:f>
        <x:v>806.967</x:v>
      </x:c>
      <x:c r="F10" s="15" t="n">
        <x:f>Inputs!F91</x:f>
        <x:v>-83.22</x:v>
      </x:c>
      <x:c r="G10" s="15" t="n">
        <x:f>Inputs!G91-Inputs!F91</x:f>
        <x:v>257.89099999999996</x:v>
      </x:c>
      <x:c r="H10" s="28" t="n">
        <x:f>Inputs!H91</x:f>
        <x:v>209.925</x:v>
      </x:c>
      <x:c r="I10" s="1"/>
      <x:c r="J10" s="1"/>
      <x:c r="K10" s="1"/>
    </x:row>
    <x:row r="11">
      <x:c r="B11" s="1" t="s">
        <x:v>175</x:v>
      </x:c>
      <x:c r="C11" s="6" t="n">
        <x:f>Inputs!C92</x:f>
        <x:v>-172.127</x:v>
      </x:c>
      <x:c r="D11" s="6" t="n">
        <x:f>Inputs!E92-Inputs!C92</x:f>
        <x:v>-78.256</x:v>
      </x:c>
      <x:c r="E11" s="6" t="n">
        <x:f>Inputs!E92</x:f>
        <x:v>-250.383</x:v>
      </x:c>
      <x:c r="F11" s="6" t="n">
        <x:f>Inputs!F92</x:f>
        <x:v>-50.746</x:v>
      </x:c>
      <x:c r="G11" s="6" t="n">
        <x:f>Inputs!G92-Inputs!F92</x:f>
        <x:v>-31.157999999999994</x:v>
      </x:c>
      <x:c r="H11" s="5" t="n">
        <x:f>Inputs!H92</x:f>
        <x:v>-55</x:v>
      </x:c>
      <x:c r="I11" s="1"/>
      <x:c r="J11" s="1"/>
      <x:c r="K11" s="1"/>
    </x:row>
    <x:row r="12">
      <x:c r="B12" s="1" t="s">
        <x:v>176</x:v>
      </x:c>
      <x:c r="C12" s="6" t="n">
        <x:f>Inputs!C93</x:f>
        <x:v>-211.444</x:v>
      </x:c>
      <x:c r="D12" s="6" t="n">
        <x:f>Inputs!E93-Inputs!C93</x:f>
        <x:v>-279.999</x:v>
      </x:c>
      <x:c r="E12" s="6" t="n">
        <x:f>Inputs!E93</x:f>
        <x:v>-491.443</x:v>
      </x:c>
      <x:c r="F12" s="6" t="n">
        <x:f>Inputs!F93</x:f>
        <x:v>18.503</x:v>
      </x:c>
      <x:c r="G12" s="6" t="n">
        <x:f>Inputs!G93-Inputs!F93</x:f>
        <x:v>-193.868</x:v>
      </x:c>
      <x:c r="H12" s="5" t="n">
        <x:f>Inputs!H93</x:f>
        <x:v>-90</x:v>
      </x:c>
      <x:c r="I12" s="1"/>
      <x:c r="J12" s="1"/>
      <x:c r="K12" s="1"/>
    </x:row>
    <x:row r="13">
      <x:c r="B13" s="1" t="s">
        <x:v>177</x:v>
      </x:c>
      <x:c r="C13" s="6" t="n">
        <x:f>Inputs!C94</x:f>
        <x:v>29.706</x:v>
      </x:c>
      <x:c r="D13" s="6" t="n">
        <x:f>Inputs!E94-Inputs!C94</x:f>
        <x:v>-3.323999999999998</x:v>
      </x:c>
      <x:c r="E13" s="6" t="n">
        <x:f>Inputs!E94</x:f>
        <x:v>26.382</x:v>
      </x:c>
      <x:c r="F13" s="6" t="n">
        <x:f>Inputs!F94</x:f>
        <x:v>9.848</x:v>
      </x:c>
      <x:c r="G13" s="6" t="n">
        <x:f>Inputs!G94-Inputs!F94</x:f>
        <x:v>-6.892000000000001</x:v>
      </x:c>
      <x:c r="H13" s="5" t="n">
        <x:f>Inputs!H94</x:f>
        <x:v>5</x:v>
      </x:c>
      <x:c r="I13" s="1"/>
      <x:c r="J13" s="1"/>
      <x:c r="K13" s="1"/>
    </x:row>
    <x:row r="14">
      <x:c r="B14" s="21" t="s">
        <x:v>178</x:v>
      </x:c>
      <x:c r="C14" s="4" t="n">
        <x:f>SUM(C10:C13)</x:f>
        <x:v>108.88200000000002</x:v>
      </x:c>
      <x:c r="D14" s="4" t="n">
        <x:f>SUM(D10:D13)</x:f>
        <x:v>-17.35900000000008</x:v>
      </x:c>
      <x:c r="E14" s="4" t="n">
        <x:f>SUM(E10:E13)</x:f>
        <x:v>91.52299999999997</x:v>
      </x:c>
      <x:c r="F14" s="4" t="n">
        <x:f>SUM(F10:F13)</x:f>
        <x:v>-105.61500000000001</x:v>
      </x:c>
      <x:c r="G14" s="4" t="n">
        <x:f>SUM(G10:G13)</x:f>
        <x:v>25.972999999999978</x:v>
      </x:c>
      <x:c r="H14" s="19" t="n">
        <x:f>SUM(H10:H13)</x:f>
        <x:v>69.92500000000001</x:v>
      </x:c>
      <x:c r="I14" s="1"/>
      <x:c r="J14" s="1"/>
      <x:c r="K14" s="1"/>
    </x:row>
    <x:row r="15">
      <x:c r="B15" s="1" t="s">
        <x:v>179</x:v>
      </x:c>
      <x:c r="C15" s="6" t="n">
        <x:f>Inputs!C97</x:f>
        <x:v>188.227</x:v>
      </x:c>
      <x:c r="D15" s="6" t="n">
        <x:f>Inputs!D97</x:f>
        <x:v>193.78</x:v>
      </x:c>
      <x:c r="E15" s="6" t="n">
        <x:f>Inputs!E97</x:f>
        <x:v>193.78</x:v>
      </x:c>
      <x:c r="F15" s="6" t="n">
        <x:f>Inputs!F97</x:f>
        <x:v>192.813</x:v>
      </x:c>
      <x:c r="G15" s="6" t="n">
        <x:f>Inputs!G97</x:f>
        <x:v>185.919</x:v>
      </x:c>
      <x:c r="H15" s="5" t="n">
        <x:f>Inputs!H97</x:f>
        <x:v>185.919</x:v>
      </x:c>
      <x:c r="I15" s="1"/>
      <x:c r="J15" s="1"/>
      <x:c r="K15" s="1"/>
    </x:row>
    <x:row r="16">
      <x:c r="B16" s="1" t="s">
        <x:v>180</x:v>
      </x:c>
      <x:c r="C16" s="6" t="n">
        <x:f>Inputs!C98</x:f>
        <x:v>429.604</x:v>
      </x:c>
      <x:c r="D16" s="2" t="n">
        <x:f>C17</x:f>
        <x:v>538.486</x:v>
      </x:c>
      <x:c r="E16" s="6" t="n">
        <x:f>Inputs!E98</x:f>
        <x:v>429.604</x:v>
      </x:c>
      <x:c r="F16" s="2" t="n">
        <x:f>E17</x:f>
        <x:v>521.127</x:v>
      </x:c>
      <x:c r="G16" s="2" t="n">
        <x:f>F17</x:f>
        <x:v>415.51199999999994</x:v>
      </x:c>
      <x:c r="H16" s="13" t="n">
        <x:f>G17</x:f>
        <x:v>441.4849999999999</x:v>
      </x:c>
      <x:c r="I16" s="1"/>
      <x:c r="J16" s="1"/>
      <x:c r="K16" s="1"/>
    </x:row>
    <x:row r="17">
      <x:c r="B17" s="21" t="s">
        <x:v>181</x:v>
      </x:c>
      <x:c r="C17" s="4" t="n">
        <x:f>SUM(C14,C16)</x:f>
        <x:v>538.486</x:v>
      </x:c>
      <x:c r="D17" s="4" t="n">
        <x:f>SUM(D14,D16)</x:f>
        <x:v>521.127</x:v>
      </x:c>
      <x:c r="E17" s="4" t="n">
        <x:f>SUM(E14,E16)</x:f>
        <x:v>521.127</x:v>
      </x:c>
      <x:c r="F17" s="4" t="n">
        <x:f>SUM(F14,F16)</x:f>
        <x:v>415.51199999999994</x:v>
      </x:c>
      <x:c r="G17" s="4" t="n">
        <x:f>SUM(G14,G16)</x:f>
        <x:v>441.4849999999999</x:v>
      </x:c>
      <x:c r="H17" s="19" t="n">
        <x:f>SUM(H14,H16)</x:f>
        <x:v>511.4099999999999</x:v>
      </x:c>
      <x:c r="I17" s="1"/>
      <x:c r="J17" s="1"/>
      <x:c r="K17" s="1"/>
    </x:row>
    <x:row r="18">
      <x:c r="B18" s="1" t="s">
        <x:v>182</x:v>
      </x:c>
      <x:c r="C18" s="6" t="n">
        <x:f>'Balance Sheet'!C10</x:f>
        <x:v>350.259</x:v>
      </x:c>
      <x:c r="D18" s="6" t="n">
        <x:f>'Balance Sheet'!D10</x:f>
        <x:v>327.347</x:v>
      </x:c>
      <x:c r="E18" s="6" t="n">
        <x:f>'Balance Sheet'!E10</x:f>
        <x:v>327.347</x:v>
      </x:c>
      <x:c r="F18" s="6" t="n">
        <x:f>'Balance Sheet'!F10</x:f>
        <x:v>222.699</x:v>
      </x:c>
      <x:c r="G18" s="6" t="n">
        <x:f>'Balance Sheet'!G10</x:f>
        <x:v>255.566</x:v>
      </x:c>
      <x:c r="H18" s="5" t="n">
        <x:f>'Balance Sheet'!H10</x:f>
        <x:v>325.4909999999999</x:v>
      </x:c>
      <x:c r="I18" s="1"/>
      <x:c r="J18" s="1"/>
      <x:c r="K18" s="1"/>
    </x:row>
    <x:row r="19">
      <x:c r="B19" s="21" t="s">
        <x:v>183</x:v>
      </x:c>
      <x:c r="C19" s="4" t="n">
        <x:f>C17-C15-C18</x:f>
        <x:v>0</x:v>
      </x:c>
      <x:c r="D19" s="4" t="n">
        <x:f>D17-D15-D18</x:f>
        <x:v>0</x:v>
      </x:c>
      <x:c r="E19" s="4" t="n">
        <x:f>E17-E15-E18</x:f>
        <x:v>0</x:v>
      </x:c>
      <x:c r="F19" s="4" t="n">
        <x:f>F17-F15-F18</x:f>
        <x:v>-5.684341886080802e-14</x:v>
      </x:c>
      <x:c r="G19" s="4" t="n">
        <x:f>G17-G15-G18</x:f>
        <x:v>-1.1368683772161603e-13</x:v>
      </x:c>
      <x:c r="H19" s="19" t="n">
        <x:f>H17-H15-H18</x:f>
        <x:v>0</x:v>
      </x:c>
      <x:c r="I19" s="1"/>
      <x:c r="J19" s="1"/>
      <x:c r="K19" s="1"/>
    </x:row>
    <x:row r="20">
      <x:c r="B20" s="1" t="s">
        <x:v>184</x:v>
      </x:c>
      <x:c r="C20" s="6" t="n">
        <x:f>Inputs!C95</x:f>
        <x:v>-171.464</x:v>
      </x:c>
      <x:c r="D20" s="6" t="n">
        <x:f>Inputs!E95-Inputs!C95</x:f>
        <x:v>-63.03200000000001</x:v>
      </x:c>
      <x:c r="E20" s="6" t="n">
        <x:f>Inputs!E95</x:f>
        <x:v>-234.496</x:v>
      </x:c>
      <x:c r="F20" s="6" t="n">
        <x:f>Inputs!F95</x:f>
        <x:v>-53.902</x:v>
      </x:c>
      <x:c r="G20" s="6" t="n">
        <x:f>Inputs!G95-Inputs!F95</x:f>
        <x:v>-48.17399999999999</x:v>
      </x:c>
      <x:c r="H20" s="5" t="n">
        <x:f>Inputs!H95</x:f>
        <x:v>-55</x:v>
      </x:c>
      <x:c r="I20" s="1"/>
      <x:c r="J20" s="1"/>
      <x:c r="K20" s="1"/>
    </x:row>
    <x:row r="21">
      <x:c r="B21" s="21" t="s">
        <x:v>185</x:v>
      </x:c>
      <x:c r="C21" s="4" t="n">
        <x:f>SUM(C10,C20)</x:f>
        <x:v>291.283</x:v>
      </x:c>
      <x:c r="D21" s="4" t="n">
        <x:f>SUM(D10,D20)</x:f>
        <x:v>281.188</x:v>
      </x:c>
      <x:c r="E21" s="4" t="n">
        <x:f>SUM(E10,E20)</x:f>
        <x:v>572.471</x:v>
      </x:c>
      <x:c r="F21" s="4" t="n">
        <x:f>SUM(F10,F20)</x:f>
        <x:v>-137.122</x:v>
      </x:c>
      <x:c r="G21" s="4" t="n">
        <x:f>SUM(G10,G20)</x:f>
        <x:v>209.71699999999998</x:v>
      </x:c>
      <x:c r="H21" s="19" t="n">
        <x:f>SUM(H10,H20)</x:f>
        <x:v>154.925</x:v>
      </x:c>
      <x:c r="I21" s="1"/>
      <x:c r="J21" s="1"/>
      <x:c r="K21" s="1"/>
    </x:row>
    <x:row r="22">
      <x:c r="B22" s="1"/>
      <x:c r="C22" s="2"/>
      <x:c r="D22" s="2"/>
      <x:c r="E22" s="2"/>
      <x:c r="F22" s="2"/>
      <x:c r="G22" s="2"/>
      <x:c r="H22" s="13"/>
      <x:c r="I22" s="1"/>
      <x:c r="J22" s="1"/>
      <x:c r="K22" s="1"/>
    </x:row>
    <x:row r="23">
      <x:c r="B23" s="1" t="s">
        <x:v>186</x:v>
      </x:c>
      <x:c r="C23" s="2"/>
      <x:c r="D23" s="2"/>
      <x:c r="E23" s="2"/>
      <x:c r="F23" s="2"/>
      <x:c r="G23" s="2"/>
      <x:c r="H23" s="13"/>
      <x:c r="I23" s="1"/>
      <x:c r="J23" s="1"/>
      <x:c r="K23" s="1"/>
    </x:row>
    <x:row r="24">
      <x:c r="B24" s="1" t="s">
        <x:v>187</x:v>
      </x:c>
      <x:c r="C24" s="2"/>
      <x:c r="D24" s="2"/>
      <x:c r="E24" s="2"/>
      <x:c r="F24" s="2"/>
      <x:c r="G24" s="2"/>
      <x:c r="H24" s="5" t="n">
        <x:f>'Income Statement'!H23</x:f>
        <x:v>50.625</x:v>
      </x:c>
      <x:c r="I24" s="1"/>
      <x:c r="J24" s="1"/>
      <x:c r="K24" s="1"/>
    </x:row>
    <x:row r="25">
      <x:c r="B25" s="1" t="s">
        <x:v>188</x:v>
      </x:c>
      <x:c r="C25" s="2"/>
      <x:c r="D25" s="2"/>
      <x:c r="E25" s="2"/>
      <x:c r="F25" s="2"/>
      <x:c r="G25" s="2"/>
      <x:c r="H25" s="5" t="n">
        <x:f>Inputs!H125</x:f>
        <x:v>102.5</x:v>
      </x:c>
      <x:c r="I25" s="1"/>
      <x:c r="J25" s="1"/>
      <x:c r="K25" s="1"/>
    </x:row>
    <x:row r="26">
      <x:c r="B26" s="1" t="s">
        <x:v>189</x:v>
      </x:c>
      <x:c r="C26" s="2"/>
      <x:c r="D26" s="2"/>
      <x:c r="E26" s="2"/>
      <x:c r="F26" s="2"/>
      <x:c r="G26" s="2"/>
      <x:c r="H26" s="5" t="n">
        <x:f>Inputs!H126</x:f>
        <x:v>23.8</x:v>
      </x:c>
      <x:c r="I26" s="1"/>
      <x:c r="J26" s="1"/>
      <x:c r="K26" s="1"/>
    </x:row>
    <x:row r="27">
      <x:c r="B27" s="1" t="s">
        <x:v>190</x:v>
      </x:c>
      <x:c r="C27" s="2"/>
      <x:c r="D27" s="2"/>
      <x:c r="E27" s="2"/>
      <x:c r="F27" s="2"/>
      <x:c r="G27" s="2"/>
      <x:c r="H27" s="5" t="n">
        <x:f>Inputs!H108</x:f>
        <x:v>58</x:v>
      </x:c>
      <x:c r="I27" s="1"/>
      <x:c r="J27" s="1"/>
      <x:c r="K27" s="1"/>
    </x:row>
    <x:row r="28">
      <x:c r="B28" s="1" t="s">
        <x:v>191</x:v>
      </x:c>
      <x:c r="C28" s="2"/>
      <x:c r="D28" s="2"/>
      <x:c r="E28" s="2"/>
      <x:c r="F28" s="2"/>
      <x:c r="G28" s="2"/>
      <x:c r="H28" s="5" t="n">
        <x:f>Inputs!H106</x:f>
        <x:v>-25</x:v>
      </x:c>
      <x:c r="I28" s="1"/>
      <x:c r="J28" s="1"/>
      <x:c r="K28" s="1"/>
    </x:row>
    <x:row r="29">
      <x:c r="B29" s="1" t="s">
        <x:v>192</x:v>
      </x:c>
      <x:c r="C29" s="2"/>
      <x:c r="D29" s="2"/>
      <x:c r="E29" s="2"/>
      <x:c r="F29" s="2"/>
      <x:c r="G29" s="2"/>
      <x:c r="H29" s="13" t="n">
        <x:f>H10-SUM(H24:H28)</x:f>
        <x:v>0</x:v>
      </x:c>
      <x:c r="I29" s="1"/>
      <x:c r="J29" s="1"/>
      <x:c r="K29" s="1"/>
    </x:row>
    <x:row r="30" ht="48" customHeight="1">
      <x:c r="B30" s="1" t="s">
        <x:v>193</x:v>
      </x:c>
      <x:c r="C30" s="2"/>
      <x:c r="D30" s="2"/>
      <x:c r="E30" s="2"/>
      <x:c r="F30" s="2"/>
      <x:c r="G30" s="2"/>
      <x:c r="H30" s="13"/>
      <x:c r="I30" s="1"/>
      <x:c r="J30" s="89" t="s">
        <x:v>194</x:v>
      </x:c>
      <x:c r="K3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4" customWidth="1"/>
    <x:col min="2" max="2" width="47" hidden="0" customWidth="1"/>
    <x:col min="3" max="8" width="13" customWidth="1"/>
    <x:col min="9" max="9" width="18" customWidth="1"/>
    <x:col min="10" max="10" width="60" hidden="0" customWidth="1"/>
  </x:cols>
  <x:sheetData>
    <x:row r="1">
      <x:c r="I1" s="1"/>
      <x:c r="J1" s="1"/>
      <x:c r="K1" s="1"/>
    </x:row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B3" s="1" t="s">
        <x:v>195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85" t="s">
        <x:v>3</x:v>
      </x:c>
      <x:c r="C5" s="72" t="s">
        <x:v>4</x:v>
      </x:c>
      <x:c r="D5" s="72" t="s">
        <x:v>5</x:v>
      </x:c>
      <x:c r="E5" s="72" t="s">
        <x:v>6</x:v>
      </x:c>
      <x:c r="F5" s="72" t="s">
        <x:v>7</x:v>
      </x:c>
      <x:c r="G5" s="72" t="s">
        <x:v>8</x:v>
      </x:c>
      <x:c r="H5" s="73" t="s">
        <x:v>9</x:v>
      </x:c>
      <x:c r="I5" s="1"/>
      <x:c r="J5" s="1"/>
      <x:c r="K5" s="1"/>
    </x:row>
    <x:row r="6">
      <x:c r="B6" s="85" t="s">
        <x:v>10</x:v>
      </x:c>
      <x:c r="C6" s="74">
        <x:v>45900</x:v>
      </x:c>
      <x:c r="D6" s="74">
        <x:v>45991</x:v>
      </x:c>
      <x:c r="E6" s="74">
        <x:v>45991</x:v>
      </x:c>
      <x:c r="F6" s="74">
        <x:v>46081</x:v>
      </x:c>
      <x:c r="G6" s="74">
        <x:v>46173</x:v>
      </x:c>
      <x:c r="H6" s="75">
        <x:v>46265</x:v>
      </x:c>
      <x:c r="I6" s="1"/>
      <x:c r="J6" s="1"/>
      <x:c r="K6" s="1"/>
    </x:row>
    <x:row r="7">
      <x:c r="B7" s="85" t="s">
        <x:v>11</x:v>
      </x:c>
      <x:c r="C7" s="72">
        <x:v>92</x:v>
      </x:c>
      <x:c r="D7" s="72">
        <x:v>91</x:v>
      </x:c>
      <x:c r="E7" s="72">
        <x:v>365</x:v>
      </x:c>
      <x:c r="F7" s="72">
        <x:v>90</x:v>
      </x:c>
      <x:c r="G7" s="72">
        <x:v>92</x:v>
      </x:c>
      <x:c r="H7" s="73">
        <x:v>92</x:v>
      </x:c>
      <x:c r="I7" s="1"/>
      <x:c r="J7" s="1"/>
      <x:c r="K7" s="1"/>
    </x:row>
    <x:row r="8">
      <x:c r="B8" s="1"/>
      <x:c r="C8" s="1"/>
      <x:c r="D8" s="1"/>
      <x:c r="E8" s="1"/>
      <x:c r="F8" s="1"/>
      <x:c r="G8" s="1"/>
      <x:c r="H8" s="7"/>
      <x:c r="I8" s="1"/>
      <x:c r="J8" s="1"/>
      <x:c r="K8" s="1"/>
    </x:row>
    <x:row r="9" ht="32" customHeight="1">
      <x:c r="B9" s="89" t="s">
        <x:v>196</x:v>
      </x:c>
      <x:c r="C9" s="2"/>
      <x:c r="D9" s="2"/>
      <x:c r="E9" s="2"/>
      <x:c r="F9" s="2"/>
      <x:c r="G9" s="2"/>
      <x:c r="H9" s="13"/>
      <x:c r="I9" s="1"/>
      <x:c r="J9" s="1"/>
      <x:c r="K9" s="1"/>
    </x:row>
    <x:row r="10">
      <x:c r="B10" s="1" t="s">
        <x:v>197</x:v>
      </x:c>
      <x:c r="C10" s="31"/>
      <x:c r="D10" s="2" t="n">
        <x:f>C13</x:f>
        <x:v>62.209</x:v>
      </x:c>
      <x:c r="E10" s="6" t="n">
        <x:f>Inputs!C103-Inputs!C104</x:f>
        <x:v>64.238</x:v>
      </x:c>
      <x:c r="F10" s="2" t="n">
        <x:f>D13</x:f>
        <x:v>61.739000000000004</x:v>
      </x:c>
      <x:c r="G10" s="2" t="n">
        <x:f>F13</x:f>
        <x:v>60.822</x:v>
      </x:c>
      <x:c r="H10" s="13" t="n">
        <x:f>G13</x:f>
        <x:v>60.86299999999999</x:v>
      </x:c>
      <x:c r="I10" s="1"/>
      <x:c r="J10" s="1"/>
      <x:c r="K10" s="1"/>
    </x:row>
    <x:row r="11">
      <x:c r="B11" s="1" t="s">
        <x:v>198</x:v>
      </x:c>
      <x:c r="C11" s="31"/>
      <x:c r="D11" s="6" t="n">
        <x:f>Inputs!D99-Inputs!C99</x:f>
        <x:v>1.195999999999998</x:v>
      </x:c>
      <x:c r="E11" s="6" t="n">
        <x:f>Inputs!E99-Inputs!C103</x:f>
        <x:v>1.4669999999999987</x:v>
      </x:c>
      <x:c r="F11" s="6" t="n">
        <x:f>Inputs!F99-Inputs!D99</x:f>
        <x:v>0.23000000000000398</x:v>
      </x:c>
      <x:c r="G11" s="6" t="n">
        <x:f>Inputs!G99-Inputs!F99</x:f>
        <x:v>0.044999999999987494</x:v>
      </x:c>
      <x:c r="H11" s="5" t="n">
        <x:f>Inputs!H101</x:f>
        <x:v>0.037</x:v>
      </x:c>
      <x:c r="I11" s="1"/>
      <x:c r="J11" s="1"/>
      <x:c r="K11" s="1"/>
    </x:row>
    <x:row r="12">
      <x:c r="B12" s="1" t="s">
        <x:v>199</x:v>
      </x:c>
      <x:c r="C12" s="6" t="n">
        <x:f>Inputs!C105</x:f>
        <x:v>0.8</x:v>
      </x:c>
      <x:c r="D12" s="6" t="n">
        <x:f>Inputs!D100-Inputs!C100</x:f>
        <x:v>1.6660000000000004</x:v>
      </x:c>
      <x:c r="E12" s="6" t="n">
        <x:f>Inputs!E100-Inputs!C104</x:f>
        <x:v>3.966</x:v>
      </x:c>
      <x:c r="F12" s="6" t="n">
        <x:f>Inputs!F100-Inputs!D100</x:f>
        <x:v>1.1470000000000002</x:v>
      </x:c>
      <x:c r="G12" s="6" t="n">
        <x:f>Inputs!G100-Inputs!F100</x:f>
        <x:v>0.0039999999999995595</x:v>
      </x:c>
      <x:c r="H12" s="5" t="n">
        <x:f>Inputs!H100-Inputs!G100</x:f>
        <x:v>0</x:v>
      </x:c>
      <x:c r="I12" s="1"/>
      <x:c r="J12" s="1" t="str">
        <x:v>Column C repurchases cover nine months, unlike quarterly movement columns.</x:v>
      </x:c>
      <x:c r="K12" s="1"/>
    </x:row>
    <x:row r="13">
      <x:c r="B13" s="21" t="s">
        <x:v>200</x:v>
      </x:c>
      <x:c r="C13" s="15" t="n">
        <x:f>Inputs!C99-Inputs!C100</x:f>
        <x:v>62.209</x:v>
      </x:c>
      <x:c r="D13" s="15" t="n">
        <x:f>Inputs!D99-Inputs!D100</x:f>
        <x:v>61.739000000000004</x:v>
      </x:c>
      <x:c r="E13" s="15" t="n">
        <x:f>Inputs!E99-Inputs!E100</x:f>
        <x:v>61.739000000000004</x:v>
      </x:c>
      <x:c r="F13" s="15" t="n">
        <x:f>Inputs!F99-Inputs!F100</x:f>
        <x:v>60.822</x:v>
      </x:c>
      <x:c r="G13" s="15" t="n">
        <x:f>Inputs!G99-Inputs!G100</x:f>
        <x:v>60.86299999999999</x:v>
      </x:c>
      <x:c r="H13" s="28" t="n">
        <x:f>Inputs!H99-Inputs!H100</x:f>
        <x:v>60.9</x:v>
      </x:c>
      <x:c r="I13" s="1"/>
      <x:c r="J13" s="1"/>
      <x:c r="K13" s="1"/>
    </x:row>
    <x:row r="14">
      <x:c r="B14" s="1" t="s">
        <x:v>110</x:v>
      </x:c>
      <x:c r="C14" s="6" t="n">
        <x:f>'Income Statement'!C25</x:f>
        <x:v>62.598</x:v>
      </x:c>
      <x:c r="D14" s="6" t="n">
        <x:f>'Income Statement'!D25</x:f>
        <x:v>62.071</x:v>
      </x:c>
      <x:c r="E14" s="6" t="n">
        <x:f>'Income Statement'!E25</x:f>
        <x:v>63.012</x:v>
      </x:c>
      <x:c r="F14" s="6" t="n">
        <x:f>'Income Statement'!F25</x:f>
        <x:v>61.279</x:v>
      </x:c>
      <x:c r="G14" s="6" t="n">
        <x:f>'Income Statement'!G25</x:f>
        <x:v>60.85</x:v>
      </x:c>
      <x:c r="H14" s="5" t="n">
        <x:f>'Income Statement'!H25</x:f>
        <x:v>60.9</x:v>
      </x:c>
      <x:c r="I14" s="1"/>
      <x:c r="J14" s="1" t="str">
        <x:v>Forecast basic shares use diluted guidance as a proxy. Normalized EPS uses the guided diluted denominator.</x:v>
      </x:c>
      <x:c r="K14" s="1"/>
    </x:row>
    <x:row r="15">
      <x:c r="B15" s="1" t="s">
        <x:v>111</x:v>
      </x:c>
      <x:c r="C15" s="6" t="n">
        <x:f>'Income Statement'!C26</x:f>
        <x:v>62.702</x:v>
      </x:c>
      <x:c r="D15" s="6" t="n">
        <x:f>'Income Statement'!D26</x:f>
        <x:v>62.071</x:v>
      </x:c>
      <x:c r="E15" s="6" t="n">
        <x:f>'Income Statement'!E26</x:f>
        <x:v>63.012</x:v>
      </x:c>
      <x:c r="F15" s="6" t="n">
        <x:f>'Income Statement'!F26</x:f>
        <x:v>61.3</x:v>
      </x:c>
      <x:c r="G15" s="6" t="n">
        <x:f>'Income Statement'!G26</x:f>
        <x:v>60.862</x:v>
      </x:c>
      <x:c r="H15" s="5" t="n">
        <x:f>'Income Statement'!H26</x:f>
        <x:v>60.9</x:v>
      </x:c>
      <x:c r="I15" s="1"/>
      <x:c r="J15" s="1"/>
      <x:c r="K15" s="1"/>
    </x:row>
    <x:row r="16">
      <x:c r="B16" s="1" t="s">
        <x:v>201</x:v>
      </x:c>
      <x:c r="C16" s="2" t="n">
        <x:f>C15-C14</x:f>
        <x:v>0.1039999999999992</x:v>
      </x:c>
      <x:c r="D16" s="2" t="n">
        <x:f>D15-D14</x:f>
        <x:v>0</x:v>
      </x:c>
      <x:c r="E16" s="2" t="n">
        <x:f>E15-E14</x:f>
        <x:v>0</x:v>
      </x:c>
      <x:c r="F16" s="2" t="n">
        <x:f>F15-F14</x:f>
        <x:v>0.02099999999999369</x:v>
      </x:c>
      <x:c r="G16" s="2" t="n">
        <x:f>G15-G14</x:f>
        <x:v>0.012000000000000455</x:v>
      </x:c>
      <x:c r="H16" s="13" t="n">
        <x:f>H15-H14</x:f>
        <x:v>0</x:v>
      </x:c>
      <x:c r="I16" s="1"/>
      <x:c r="J16" s="1"/>
      <x:c r="K16" s="1"/>
    </x:row>
    <x:row r="17">
      <x:c r="B17" s="1" t="str">
        <x:v>Program repurchase spend (USD m)</x:v>
      </x:c>
      <x:c r="C17" s="6" t="n">
        <x:f>Inputs!C45</x:f>
        <x:v>42.2</x:v>
      </x:c>
      <x:c r="D17" s="6" t="n">
        <x:f>Inputs!D45</x:f>
        <x:v>55.934</x:v>
      </x:c>
      <x:c r="E17" s="6" t="n">
        <x:f>Inputs!E45</x:f>
        <x:v>168.708</x:v>
      </x:c>
      <x:c r="F17" s="6" t="n">
        <x:f>Inputs!F45</x:f>
        <x:v>43.194</x:v>
      </x:c>
      <x:c r="G17" s="6" t="n">
        <x:f>Inputs!G45</x:f>
        <x:v>0</x:v>
      </x:c>
      <x:c r="H17" s="5" t="n">
        <x:f>Inputs!H45</x:f>
        <x:v>0</x:v>
      </x:c>
      <x:c r="I17" s="1"/>
      <x:c r="J17" s="1"/>
      <x:c r="K17" s="1"/>
    </x:row>
    <x:row r="18">
      <x:c r="B18" s="21" t="s">
        <x:v>202</x:v>
      </x:c>
      <x:c r="C18" s="4" t="n">
        <x:f>C15</x:f>
        <x:v>62.702</x:v>
      </x:c>
      <x:c r="D18" s="4" t="n">
        <x:f>D15</x:f>
        <x:v>62.071</x:v>
      </x:c>
      <x:c r="E18" s="4" t="n">
        <x:f>E15</x:f>
        <x:v>63.012</x:v>
      </x:c>
      <x:c r="F18" s="4" t="n">
        <x:f>F15</x:f>
        <x:v>61.3</x:v>
      </x:c>
      <x:c r="G18" s="4" t="n">
        <x:f>G15</x:f>
        <x:v>60.862</x:v>
      </x:c>
      <x:c r="H18" s="19" t="n">
        <x:f>H15</x:f>
        <x:v>60.9</x:v>
      </x:c>
      <x:c r="I18" s="1"/>
      <x:c r="J18" s="1"/>
      <x:c r="K18" s="1"/>
    </x:row>
    <x:row r="19" ht="32" customHeight="1">
      <x:c r="B19" s="90" t="s">
        <x:v>203</x:v>
      </x:c>
      <x:c r="C19" s="15" t="n">
        <x:f>C13-Inputs!C99+Inputs!C100</x:f>
        <x:v>-1.7763568394002505e-15</x:v>
      </x:c>
      <x:c r="D19" s="15" t="n">
        <x:f>D13-Inputs!D99+Inputs!D100</x:f>
        <x:v>1.7763568394002505e-15</x:v>
      </x:c>
      <x:c r="E19" s="15" t="n">
        <x:f>E13-Inputs!E99+Inputs!E100</x:f>
        <x:v>1.7763568394002505e-15</x:v>
      </x:c>
      <x:c r="F19" s="15" t="n">
        <x:f>F13-Inputs!F99+Inputs!F100</x:f>
        <x:v>-3.552713678800501e-15</x:v>
      </x:c>
      <x:c r="G19" s="15" t="n">
        <x:f>G13-Inputs!G99+Inputs!G100</x:f>
        <x:v>-1.7763568394002505e-15</x:v>
      </x:c>
      <x:c r="H19" s="28" t="n">
        <x:f>H13-Inputs!H99+Inputs!H100</x:f>
        <x:v>-1.7763568394002505e-15</x:v>
      </x:c>
      <x:c r="I19" s="1"/>
      <x:c r="J19" s="1"/>
      <x:c r="K19" s="1"/>
    </x:row>
    <x:row r="20">
      <x:c r="C20" s="31"/>
      <x:c r="D20" s="31"/>
      <x:c r="E20" s="31"/>
      <x:c r="F20" s="31"/>
      <x:c r="G20" s="31"/>
      <x:c r="H20" s="31"/>
      <x:c r="I20" s="1"/>
      <x:c r="J20" s="1"/>
      <x:c r="K20" s="1"/>
    </x:row>
    <x:row r="21">
      <x:c r="B21" s="1" t="s">
        <x:v>204</x:v>
      </x:c>
      <x:c r="C21" s="2"/>
      <x:c r="D21" s="2"/>
      <x:c r="E21" s="2"/>
      <x:c r="F21" s="2"/>
      <x:c r="G21" s="2"/>
      <x:c r="H21" s="13"/>
      <x:c r="I21" s="1"/>
      <x:c r="J21" s="1"/>
      <x:c r="K21" s="1"/>
    </x:row>
    <x:row r="22">
      <x:c r="B22" s="1" t="s">
        <x:v>205</x:v>
      </x:c>
      <x:c r="C22" s="2"/>
      <x:c r="D22" s="77" t="s">
        <x:v>32</x:v>
      </x:c>
      <x:c r="E22" s="2"/>
      <x:c r="F22" s="2" t="n">
        <x:f>F10-D10</x:f>
        <x:v>-0.46999999999999886</x:v>
      </x:c>
      <x:c r="G22" s="2" t="n">
        <x:f>G10-F10</x:f>
        <x:v>-0.9170000000000016</x:v>
      </x:c>
      <x:c r="H22" s="13" t="n">
        <x:f>H10-G10</x:f>
        <x:v>0.04099999999998971</x:v>
      </x:c>
      <x:c r="I22" s="1"/>
      <x:c r="J22" s="1"/>
      <x:c r="K22" s="1"/>
    </x:row>
    <x:row r="23">
      <x:c r="B23" s="1" t="s">
        <x:v>206</x:v>
      </x:c>
      <x:c r="C23" s="2"/>
      <x:c r="D23" s="2"/>
      <x:c r="E23" s="2"/>
      <x:c r="F23" s="2"/>
      <x:c r="G23" s="2"/>
      <x:c r="H23" s="80" t="s">
        <x:v>32</x:v>
      </x:c>
      <x:c r="I23" s="1"/>
      <x:c r="J23" s="1"/>
      <x:c r="K23" s="1"/>
    </x:row>
    <x:row r="24">
      <x:c r="B24" s="1" t="s">
        <x:v>207</x:v>
      </x:c>
      <x:c r="C24" s="2"/>
      <x:c r="D24" s="77" t="s">
        <x:v>32</x:v>
      </x:c>
      <x:c r="E24" s="2"/>
      <x:c r="F24" s="2" t="n">
        <x:f>F11-D11</x:f>
        <x:v>-0.965999999999994</x:v>
      </x:c>
      <x:c r="G24" s="2" t="n">
        <x:f>G11-F11</x:f>
        <x:v>-0.18500000000001648</x:v>
      </x:c>
      <x:c r="H24" s="13" t="n">
        <x:f>H11-G11</x:f>
        <x:v>-0.007999999999987496</x:v>
      </x:c>
      <x:c r="I24" s="1"/>
      <x:c r="J24" s="1"/>
      <x:c r="K24" s="1"/>
    </x:row>
    <x:row r="25">
      <x:c r="B25" s="1" t="s">
        <x:v>208</x:v>
      </x:c>
      <x:c r="C25" s="2"/>
      <x:c r="D25" s="2"/>
      <x:c r="E25" s="2"/>
      <x:c r="F25" s="2"/>
      <x:c r="G25" s="2"/>
      <x:c r="H25" s="80" t="s">
        <x:v>32</x:v>
      </x:c>
      <x:c r="I25" s="1"/>
      <x:c r="J25" s="1"/>
      <x:c r="K25" s="1"/>
    </x:row>
    <x:row r="26">
      <x:c r="B26" s="1" t="s">
        <x:v>209</x:v>
      </x:c>
      <x:c r="C26" s="2"/>
      <x:c r="D26" s="2" t="str">
        <x:v>n.a.</x:v>
      </x:c>
      <x:c r="E26" s="2"/>
      <x:c r="F26" s="2" t="n">
        <x:f>F12-D12</x:f>
        <x:v>-0.5190000000000001</x:v>
      </x:c>
      <x:c r="G26" s="2" t="n">
        <x:f>G12-F12</x:f>
        <x:v>-1.1430000000000007</x:v>
      </x:c>
      <x:c r="H26" s="13" t="n">
        <x:f>H12-G12</x:f>
        <x:v>-0.0039999999999995595</x:v>
      </x:c>
      <x:c r="I26" s="1"/>
      <x:c r="J26" s="1"/>
      <x:c r="K26" s="1"/>
    </x:row>
    <x:row r="27">
      <x:c r="B27" s="1" t="s">
        <x:v>210</x:v>
      </x:c>
      <x:c r="C27" s="2"/>
      <x:c r="D27" s="2"/>
      <x:c r="E27" s="2"/>
      <x:c r="F27" s="2"/>
      <x:c r="G27" s="2"/>
      <x:c r="H27" s="13" t="str">
        <x:v>n.a.</x:v>
      </x:c>
      <x:c r="I27" s="1"/>
      <x:c r="J27" s="1"/>
      <x:c r="K27" s="1"/>
    </x:row>
    <x:row r="28">
      <x:c r="B28" s="1" t="s">
        <x:v>211</x:v>
      </x:c>
      <x:c r="C28" s="2"/>
      <x:c r="D28" s="2" t="n">
        <x:f>D13-C13</x:f>
        <x:v>-0.46999999999999886</x:v>
      </x:c>
      <x:c r="E28" s="2"/>
      <x:c r="F28" s="2" t="n">
        <x:f>F13-D13</x:f>
        <x:v>-0.9170000000000016</x:v>
      </x:c>
      <x:c r="G28" s="2" t="n">
        <x:f>G13-F13</x:f>
        <x:v>0.04099999999998971</x:v>
      </x:c>
      <x:c r="H28" s="13" t="n">
        <x:f>H13-G13</x:f>
        <x:v>0.03700000000000614</x:v>
      </x:c>
      <x:c r="I28" s="1"/>
      <x:c r="J28" s="1"/>
      <x:c r="K28" s="1"/>
    </x:row>
    <x:row r="29">
      <x:c r="B29" s="1" t="s">
        <x:v>212</x:v>
      </x:c>
      <x:c r="C29" s="2"/>
      <x:c r="D29" s="2"/>
      <x:c r="E29" s="2"/>
      <x:c r="F29" s="2"/>
      <x:c r="G29" s="2"/>
      <x:c r="H29" s="13" t="n">
        <x:f>H13-C13</x:f>
        <x:v>-1.3090000000000046</x:v>
      </x:c>
      <x:c r="I29" s="1"/>
      <x:c r="J29" s="1"/>
      <x:c r="K29" s="1"/>
    </x:row>
    <x:row r="30">
      <x:c r="B30" s="1" t="s">
        <x:v>213</x:v>
      </x:c>
      <x:c r="C30" s="2"/>
      <x:c r="D30" s="2" t="n">
        <x:f>D14-C14</x:f>
        <x:v>-0.527000000000001</x:v>
      </x:c>
      <x:c r="E30" s="2"/>
      <x:c r="F30" s="2" t="n">
        <x:f>F14-D14</x:f>
        <x:v>-0.7919999999999945</x:v>
      </x:c>
      <x:c r="G30" s="2" t="n">
        <x:f>G14-F14</x:f>
        <x:v>-0.42900000000000205</x:v>
      </x:c>
      <x:c r="H30" s="13" t="n">
        <x:f>H14-G14</x:f>
        <x:v>0.04999999999999716</x:v>
      </x:c>
      <x:c r="I30" s="1"/>
      <x:c r="J30" s="1"/>
      <x:c r="K30" s="1"/>
    </x:row>
    <x:row r="31">
      <x:c r="B31" s="1" t="s">
        <x:v>214</x:v>
      </x:c>
      <x:c r="C31" s="2"/>
      <x:c r="D31" s="2"/>
      <x:c r="E31" s="2"/>
      <x:c r="F31" s="2"/>
      <x:c r="G31" s="2"/>
      <x:c r="H31" s="13" t="n">
        <x:f>H14-C14</x:f>
        <x:v>-1.6980000000000004</x:v>
      </x:c>
      <x:c r="I31" s="1"/>
      <x:c r="J31" s="1"/>
      <x:c r="K31" s="1"/>
    </x:row>
    <x:row r="32">
      <x:c r="B32" s="1" t="s">
        <x:v>215</x:v>
      </x:c>
      <x:c r="C32" s="2"/>
      <x:c r="D32" s="2" t="n">
        <x:f>D15-C15</x:f>
        <x:v>-0.6310000000000002</x:v>
      </x:c>
      <x:c r="E32" s="2"/>
      <x:c r="F32" s="2" t="n">
        <x:f>F15-D15</x:f>
        <x:v>-0.7710000000000008</x:v>
      </x:c>
      <x:c r="G32" s="2" t="n">
        <x:f>G15-F15</x:f>
        <x:v>-0.4379999999999953</x:v>
      </x:c>
      <x:c r="H32" s="13" t="n">
        <x:f>H15-G15</x:f>
        <x:v>0.0379999999999967</x:v>
      </x:c>
      <x:c r="I32" s="1"/>
      <x:c r="J32" s="1"/>
      <x:c r="K32" s="1"/>
    </x:row>
    <x:row r="33">
      <x:c r="B33" s="1" t="s">
        <x:v>216</x:v>
      </x:c>
      <x:c r="C33" s="2"/>
      <x:c r="D33" s="2"/>
      <x:c r="E33" s="2"/>
      <x:c r="F33" s="2"/>
      <x:c r="G33" s="2"/>
      <x:c r="H33" s="13" t="n">
        <x:f>H15-C15</x:f>
        <x:v>-1.8019999999999996</x:v>
      </x:c>
      <x:c r="I33" s="1"/>
      <x:c r="J33" s="1"/>
      <x:c r="K33" s="1"/>
    </x:row>
    <x:row r="34">
      <x:c r="B34" s="1" t="s">
        <x:v>217</x:v>
      </x:c>
      <x:c r="C34" s="2"/>
      <x:c r="D34" s="2" t="n">
        <x:f>D17-C17</x:f>
        <x:v>13.733999999999995</x:v>
      </x:c>
      <x:c r="E34" s="2"/>
      <x:c r="F34" s="2" t="n">
        <x:f>F17-D17</x:f>
        <x:v>-12.739999999999995</x:v>
      </x:c>
      <x:c r="G34" s="2" t="n">
        <x:f>G17-F17</x:f>
        <x:v>-43.194</x:v>
      </x:c>
      <x:c r="H34" s="13" t="n">
        <x:f>H17-G17</x:f>
        <x:v>0</x:v>
      </x:c>
      <x:c r="I34" s="1"/>
      <x:c r="J34" s="1"/>
      <x:c r="K34" s="1"/>
    </x:row>
    <x:row r="35">
      <x:c r="B35" s="1" t="s">
        <x:v>218</x:v>
      </x:c>
      <x:c r="C35" s="2"/>
      <x:c r="D35" s="2"/>
      <x:c r="E35" s="2"/>
      <x:c r="F35" s="2"/>
      <x:c r="G35" s="2"/>
      <x:c r="H35" s="13" t="n">
        <x:f>H17-C17</x:f>
        <x:v>-42.2</x:v>
      </x:c>
      <x:c r="I35" s="1"/>
      <x:c r="J35" s="1"/>
      <x:c r="K35" s="1"/>
    </x:row>
    <x:row r="36">
      <x:c r="B36" s="1"/>
      <x:c r="C36" s="2"/>
      <x:c r="D36" s="2"/>
      <x:c r="E36" s="2"/>
      <x:c r="F36" s="2"/>
      <x:c r="G36" s="2"/>
      <x:c r="H36" s="13"/>
      <x:c r="I36" s="1"/>
      <x:c r="J36" s="1"/>
      <x:c r="K36" s="1"/>
    </x:row>
    <x:row r="37" ht="32" customHeight="1">
      <x:c r="B37" s="89" t="s">
        <x:v>219</x:v>
      </x:c>
      <x:c r="C37" s="2"/>
      <x:c r="D37" s="2"/>
      <x:c r="E37" s="2"/>
      <x:c r="F37" s="2"/>
      <x:c r="G37" s="2"/>
      <x:c r="H37" s="5" t="n">
        <x:f>H15-Guidance!G15</x:f>
        <x:v>0</x:v>
      </x:c>
      <x:c r="I37" s="1"/>
      <x:c r="J37" s="1"/>
      <x:c r="K37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4" customWidth="1"/>
    <x:col min="2" max="2" width="47" hidden="0" customWidth="1"/>
    <x:col min="3" max="3" width="13" customWidth="1"/>
    <x:col min="4" max="4" width="35" customWidth="1"/>
    <x:col min="5" max="8" width="13" customWidth="1"/>
    <x:col min="9" max="9" width="16" customWidth="1"/>
    <x:col min="10" max="10" width="60" hidden="0" customWidth="1"/>
  </x:cols>
  <x:sheetData>
    <x:row r="1">
      <x:c r="I1" s="1"/>
      <x:c r="J1" s="1"/>
      <x:c r="K1" s="1"/>
    </x:row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B3" s="1" t="s">
        <x:v>220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85"/>
      <x:c r="C5" s="72"/>
      <x:c r="D5" s="72"/>
      <x:c r="E5" s="72"/>
      <x:c r="F5" s="72"/>
      <x:c r="G5" s="72"/>
      <x:c r="H5" s="73"/>
      <x:c r="I5" s="1"/>
      <x:c r="J5" s="1"/>
      <x:c r="K5" s="1"/>
    </x:row>
    <x:row r="6">
      <x:c r="B6" s="85"/>
      <x:c r="C6" s="74"/>
      <x:c r="D6" s="74"/>
      <x:c r="E6" s="74"/>
      <x:c r="F6" s="74"/>
      <x:c r="G6" s="74"/>
      <x:c r="H6" s="75"/>
      <x:c r="I6" s="1"/>
      <x:c r="J6" s="1"/>
      <x:c r="K6" s="1"/>
    </x:row>
    <x:row r="7">
      <x:c r="B7" s="85"/>
      <x:c r="C7" s="72"/>
      <x:c r="D7" s="72"/>
      <x:c r="E7" s="72"/>
      <x:c r="F7" s="72"/>
      <x:c r="G7" s="72"/>
      <x:c r="H7" s="73"/>
      <x:c r="I7" s="1"/>
      <x:c r="J7" s="1"/>
      <x:c r="K7" s="1"/>
    </x:row>
    <x:row r="8">
      <x:c r="B8" s="1"/>
      <x:c r="C8" s="1"/>
      <x:c r="D8" s="1"/>
      <x:c r="E8" s="1"/>
      <x:c r="F8" s="1"/>
      <x:c r="G8" s="1"/>
      <x:c r="H8" s="7"/>
      <x:c r="I8" s="1"/>
      <x:c r="J8" s="1"/>
      <x:c r="K8" s="1"/>
    </x:row>
    <x:row r="9" ht="32" customHeight="1">
      <x:c r="B9" s="94" t="s">
        <x:v>221</x:v>
      </x:c>
      <x:c r="C9" s="94" t="s">
        <x:v>222</x:v>
      </x:c>
      <x:c r="D9" s="95" t="s">
        <x:v>223</x:v>
      </x:c>
      <x:c r="E9" s="94" t="s">
        <x:v>224</x:v>
      </x:c>
      <x:c r="F9" s="94" t="s">
        <x:v>225</x:v>
      </x:c>
      <x:c r="G9" s="94" t="s">
        <x:v>226</x:v>
      </x:c>
      <x:c r="H9" s="94" t="s">
        <x:v>227</x:v>
      </x:c>
      <x:c r="I9" s="95" t="s">
        <x:v>228</x:v>
      </x:c>
      <x:c r="J9" s="1"/>
      <x:c r="K9" s="1"/>
    </x:row>
    <x:row r="10">
      <x:c r="B10" s="18" t="n">
        <x:f>Inputs!B215</x:f>
        <x:v>46202</x:v>
      </x:c>
      <x:c r="C10" s="82" t="str">
        <x:f>Inputs!C215</x:f>
        <x:v>3Q26</x:v>
      </x:c>
      <x:c r="D10" s="17" t="str">
        <x:f>Inputs!D215</x:f>
        <x:v>Revenue</x:v>
      </x:c>
      <x:c r="E10" s="6" t="n">
        <x:f>Inputs!E215</x:f>
        <x:v>2465</x:v>
      </x:c>
      <x:c r="F10" s="6" t="n">
        <x:f>Inputs!F215</x:f>
        <x:v>2490</x:v>
      </x:c>
      <x:c r="G10" s="2" t="n">
        <x:f>AVERAGE(E10:F10)</x:f>
        <x:v>2477.5</x:v>
      </x:c>
      <x:c r="H10" s="5" t="n">
        <x:f>'Revenue summary'!H60</x:f>
        <x:v>2479.4804082299997</x:v>
      </x:c>
      <x:c r="I10" s="1"/>
      <x:c r="J10" s="1"/>
      <x:c r="K10" s="1"/>
    </x:row>
    <x:row r="11">
      <x:c r="B11" s="18" t="n">
        <x:f>Inputs!B216</x:f>
        <x:v>46202</x:v>
      </x:c>
      <x:c r="C11" s="82" t="str">
        <x:f>Inputs!C216</x:f>
        <x:v>3Q26</x:v>
      </x:c>
      <x:c r="D11" s="17" t="str">
        <x:f>Inputs!D216</x:f>
        <x:v>GAAP operating income</x:v>
      </x:c>
      <x:c r="E11" s="6" t="n">
        <x:f>Inputs!E216</x:f>
        <x:v>120.9</x:v>
      </x:c>
      <x:c r="F11" s="6" t="n">
        <x:f>Inputs!F216</x:f>
        <x:v>130.9</x:v>
      </x:c>
      <x:c r="G11" s="2" t="n">
        <x:f>AVERAGE(E11:F11)</x:f>
        <x:v>125.9</x:v>
      </x:c>
      <x:c r="H11" s="5" t="n">
        <x:f>'Income Statement'!H18</x:f>
        <x:v>127</x:v>
      </x:c>
      <x:c r="I11" s="1"/>
      <x:c r="J11" s="1"/>
      <x:c r="K11" s="1"/>
    </x:row>
    <x:row r="12">
      <x:c r="B12" s="18" t="n">
        <x:f>Inputs!B217</x:f>
        <x:v>46202</x:v>
      </x:c>
      <x:c r="C12" s="82" t="str">
        <x:f>Inputs!C217</x:f>
        <x:v>3Q26</x:v>
      </x:c>
      <x:c r="D12" s="17" t="str">
        <x:f>Inputs!D217</x:f>
        <x:v>Non-GAAP operating income</x:v>
      </x:c>
      <x:c r="E12" s="6" t="n">
        <x:f>Inputs!E217</x:f>
        <x:v>295</x:v>
      </x:c>
      <x:c r="F12" s="6" t="n">
        <x:f>Inputs!F217</x:f>
        <x:v>305</x:v>
      </x:c>
      <x:c r="G12" s="2" t="n">
        <x:f>AVERAGE(E12:F12)</x:f>
        <x:v>300</x:v>
      </x:c>
      <x:c r="H12" s="5" t="n">
        <x:f>'Income Statement'!H48</x:f>
        <x:v>301.1</x:v>
      </x:c>
      <x:c r="I12" s="1"/>
      <x:c r="J12" s="1"/>
      <x:c r="K12" s="1"/>
    </x:row>
    <x:row r="13">
      <x:c r="B13" s="18" t="n">
        <x:f>Inputs!B218</x:f>
        <x:v>46202</x:v>
      </x:c>
      <x:c r="C13" s="82" t="str">
        <x:f>Inputs!C218</x:f>
        <x:v>3Q26</x:v>
      </x:c>
      <x:c r="D13" s="17" t="str">
        <x:f>Inputs!D218</x:f>
        <x:v>Non-GAAP diluted EPS</x:v>
      </x:c>
      <x:c r="E13" s="22" t="n">
        <x:f>Inputs!E218</x:f>
        <x:v>2.65</x:v>
      </x:c>
      <x:c r="F13" s="22" t="n">
        <x:f>Inputs!F218</x:f>
        <x:v>2.77</x:v>
      </x:c>
      <x:c r="G13" s="12" t="n">
        <x:f>AVERAGE(E13:F13)</x:f>
        <x:v>2.71</x:v>
      </x:c>
      <x:c r="H13" s="26" t="n">
        <x:f>'Income Statement'!H46</x:f>
        <x:v>2.7504827586206897</x:v>
      </x:c>
      <x:c r="I13" s="1"/>
      <x:c r="J13" s="1"/>
      <x:c r="K13" s="1"/>
    </x:row>
    <x:row r="14">
      <x:c r="B14" s="18" t="n">
        <x:f>Inputs!B219</x:f>
        <x:v>46202</x:v>
      </x:c>
      <x:c r="C14" s="82" t="str">
        <x:f>Inputs!C219</x:f>
        <x:v>3Q26</x:v>
      </x:c>
      <x:c r="D14" s="17" t="str">
        <x:f>Inputs!D219</x:f>
        <x:v>Non-GAAP effective tax rate</x:v>
      </x:c>
      <x:c r="E14" s="27" t="n">
        <x:f>Inputs!E219</x:f>
        <x:v>0.25</x:v>
      </x:c>
      <x:c r="F14" s="27" t="n">
        <x:f>Inputs!F219</x:f>
        <x:v>0.25</x:v>
      </x:c>
      <x:c r="G14" s="14" t="n">
        <x:f>AVERAGE(E14:F14)</x:f>
        <x:v>0.25</x:v>
      </x:c>
      <x:c r="H14" s="24" t="n">
        <x:f>Inputs!H123</x:f>
        <x:v>0.25</x:v>
      </x:c>
      <x:c r="I14" s="1"/>
      <x:c r="J14" s="1"/>
      <x:c r="K14" s="1"/>
    </x:row>
    <x:row r="15">
      <x:c r="B15" s="18" t="n">
        <x:f>Inputs!B220</x:f>
        <x:v>46202</x:v>
      </x:c>
      <x:c r="C15" s="82" t="str">
        <x:f>Inputs!C220</x:f>
        <x:v>3Q26</x:v>
      </x:c>
      <x:c r="D15" s="17" t="str">
        <x:f>Inputs!D220</x:f>
        <x:v>Diluted shares (m)</x:v>
      </x:c>
      <x:c r="E15" s="6" t="n">
        <x:f>Inputs!E220</x:f>
        <x:v>60.9</x:v>
      </x:c>
      <x:c r="F15" s="6" t="n">
        <x:f>Inputs!F220</x:f>
        <x:v>60.9</x:v>
      </x:c>
      <x:c r="G15" s="2" t="n">
        <x:f>AVERAGE(E15:F15)</x:f>
        <x:v>60.9</x:v>
      </x:c>
      <x:c r="H15" s="5" t="n">
        <x:f>'Share Count'!H18</x:f>
        <x:v>60.9</x:v>
      </x:c>
      <x:c r="I15" s="1"/>
      <x:c r="J15" s="1"/>
      <x:c r="K15" s="1"/>
    </x:row>
    <x:row r="16">
      <x:c r="B16" s="18" t="n">
        <x:f>Inputs!B221</x:f>
        <x:v>46202</x:v>
      </x:c>
      <x:c r="C16" s="82" t="str">
        <x:f>Inputs!C221</x:f>
        <x:v>3Q26</x:v>
      </x:c>
      <x:c r="D16" s="17" t="str">
        <x:f>Inputs!D221</x:f>
        <x:v>FX revenue Y/Y</x:v>
      </x:c>
      <x:c r="E16" s="27" t="n">
        <x:f>Inputs!E221</x:f>
        <x:v>-0.0075</x:v>
      </x:c>
      <x:c r="F16" s="27" t="n">
        <x:f>Inputs!F221</x:f>
        <x:v>-0.0075</x:v>
      </x:c>
      <x:c r="G16" s="14" t="n">
        <x:f>AVERAGE(E16:F16)</x:f>
        <x:v>-0.0075</x:v>
      </x:c>
      <x:c r="H16" s="24" t="n">
        <x:f>Inputs!H119</x:f>
        <x:v>-0.0075</x:v>
      </x:c>
      <x:c r="I16" s="1"/>
      <x:c r="J16" s="1"/>
      <x:c r="K16" s="1"/>
    </x:row>
    <x:row r="17">
      <x:c r="B17" s="18" t="n">
        <x:f>Inputs!B222</x:f>
        <x:v>46202</x:v>
      </x:c>
      <x:c r="C17" s="82" t="str">
        <x:f>Inputs!C222</x:f>
        <x:v>FY26</x:v>
      </x:c>
      <x:c r="D17" s="17" t="str">
        <x:f>Inputs!D222</x:f>
        <x:v>Revenue</x:v>
      </x:c>
      <x:c r="E17" s="6" t="n">
        <x:f>Inputs!E222</x:f>
        <x:v>9925</x:v>
      </x:c>
      <x:c r="F17" s="6" t="n">
        <x:f>Inputs!F222</x:f>
        <x:v>10025</x:v>
      </x:c>
      <x:c r="G17" s="2" t="n">
        <x:f>AVERAGE(E17:F17)</x:f>
        <x:v>9975</x:v>
      </x:c>
      <x:c r="H17" s="13"/>
      <x:c r="I17" s="1"/>
      <x:c r="J17" s="1"/>
      <x:c r="K17" s="1"/>
    </x:row>
    <x:row r="18">
      <x:c r="B18" s="18" t="n">
        <x:f>Inputs!B223</x:f>
        <x:v>46202</x:v>
      </x:c>
      <x:c r="C18" s="82" t="str">
        <x:f>Inputs!C223</x:f>
        <x:v>FY26</x:v>
      </x:c>
      <x:c r="D18" s="17" t="str">
        <x:f>Inputs!D223</x:f>
        <x:v>Non-GAAP diluted EPS</x:v>
      </x:c>
      <x:c r="E18" s="22" t="n">
        <x:f>Inputs!E223</x:f>
        <x:v>10.83</x:v>
      </x:c>
      <x:c r="F18" s="22" t="n">
        <x:f>Inputs!F223</x:f>
        <x:v>11.18</x:v>
      </x:c>
      <x:c r="G18" s="12" t="n">
        <x:f>AVERAGE(E18:F18)</x:f>
        <x:v>11.004999999999999</x:v>
      </x:c>
      <x:c r="H18" s="25"/>
      <x:c r="I18" s="1"/>
      <x:c r="J18" s="1"/>
      <x:c r="K18" s="1"/>
    </x:row>
    <x:row r="19">
      <x:c r="B19" s="18" t="n">
        <x:f>Inputs!B224</x:f>
        <x:v>46202</x:v>
      </x:c>
      <x:c r="C19" s="82" t="str">
        <x:f>Inputs!C224</x:f>
        <x:v>FY26</x:v>
      </x:c>
      <x:c r="D19" s="17" t="str">
        <x:f>Inputs!D224</x:f>
        <x:v>Adjusted free cash flow</x:v>
      </x:c>
      <x:c r="E19" s="6" t="n">
        <x:f>Inputs!E224</x:f>
        <x:v>630</x:v>
      </x:c>
      <x:c r="F19" s="6" t="n">
        <x:f>Inputs!F224</x:f>
        <x:v>650</x:v>
      </x:c>
      <x:c r="G19" s="2" t="n">
        <x:f>AVERAGE(E19:F19)</x:f>
        <x:v>640</x:v>
      </x:c>
      <x:c r="H19" s="13"/>
      <x:c r="I19" s="1"/>
      <x:c r="J19" s="1"/>
      <x:c r="K19" s="1"/>
    </x:row>
    <x:row r="20">
      <x:c r="B20" s="18" t="n">
        <x:f>Inputs!B225</x:f>
        <x:v>46105</x:v>
      </x:c>
      <x:c r="C20" s="82" t="str">
        <x:f>Inputs!C225</x:f>
        <x:v>2Q26</x:v>
      </x:c>
      <x:c r="D20" s="17" t="str">
        <x:f>Inputs!D225</x:f>
        <x:v>Revenue</x:v>
      </x:c>
      <x:c r="E20" s="6" t="n">
        <x:f>Inputs!E225</x:f>
        <x:v>2460</x:v>
      </x:c>
      <x:c r="F20" s="6" t="n">
        <x:f>Inputs!F225</x:f>
        <x:v>2485</x:v>
      </x:c>
      <x:c r="G20" s="2" t="n">
        <x:f>AVERAGE(E20:F20)</x:f>
        <x:v>2472.5</x:v>
      </x:c>
      <x:c r="H20" s="5" t="n">
        <x:f>'Revenue summary'!G60</x:f>
        <x:v>2462.473</x:v>
      </x:c>
      <x:c r="I20" s="1" t="str">
        <x:f>IF(H20&gt;G20,"Beat",IF(H20&lt;G20,"Miss","Met"))</x:f>
        <x:v>Miss</x:v>
      </x:c>
      <x:c r="J20" s="1"/>
      <x:c r="K20" s="1"/>
    </x:row>
    <x:row r="21">
      <x:c r="B21" s="18" t="n">
        <x:f>Inputs!B226</x:f>
        <x:v>46105</x:v>
      </x:c>
      <x:c r="C21" s="82" t="str">
        <x:f>Inputs!C226</x:f>
        <x:v>2Q26</x:v>
      </x:c>
      <x:c r="D21" s="17" t="str">
        <x:f>Inputs!D226</x:f>
        <x:v>Non-GAAP diluted EPS</x:v>
      </x:c>
      <x:c r="E21" s="22" t="n">
        <x:f>Inputs!E226</x:f>
        <x:v>2.57</x:v>
      </x:c>
      <x:c r="F21" s="22" t="n">
        <x:f>Inputs!F226</x:f>
        <x:v>2.69</x:v>
      </x:c>
      <x:c r="G21" s="12" t="n">
        <x:f>AVERAGE(E21:F21)</x:f>
        <x:v>2.63</x:v>
      </x:c>
      <x:c r="H21" s="26" t="n">
        <x:f>'Income Statement'!G46</x:f>
        <x:v>2.63</x:v>
      </x:c>
      <x:c r="I21" s="1" t="str">
        <x:f>IF(H21&gt;G21,"Beat",IF(H21&lt;G21,"Miss","Met"))</x:f>
        <x:v>Met</x:v>
      </x:c>
      <x:c r="J21" s="1"/>
      <x:c r="K21" s="1"/>
    </x:row>
    <x:row r="22">
      <x:c r="B22" s="18" t="n">
        <x:f>Inputs!B227</x:f>
        <x:v>46035</x:v>
      </x:c>
      <x:c r="C22" s="82" t="str">
        <x:f>Inputs!C227</x:f>
        <x:v>1Q26</x:v>
      </x:c>
      <x:c r="D22" s="17" t="str">
        <x:f>Inputs!D227</x:f>
        <x:v>Revenue</x:v>
      </x:c>
      <x:c r="E22" s="6" t="n">
        <x:f>Inputs!E227</x:f>
        <x:v>2475</x:v>
      </x:c>
      <x:c r="F22" s="6" t="n">
        <x:f>Inputs!F227</x:f>
        <x:v>2500</x:v>
      </x:c>
      <x:c r="G22" s="2" t="n">
        <x:f>AVERAGE(E22:F22)</x:f>
        <x:v>2487.5</x:v>
      </x:c>
      <x:c r="H22" s="5" t="n">
        <x:f>'Revenue summary'!F60</x:f>
        <x:v>2500.391</x:v>
      </x:c>
      <x:c r="I22" s="1" t="str">
        <x:f>IF(H22&gt;G22,"Beat",IF(H22&lt;G22,"Miss","Met"))</x:f>
        <x:v>Beat</x:v>
      </x:c>
      <x:c r="J22" s="1"/>
      <x:c r="K22" s="1"/>
    </x:row>
    <x:row r="23">
      <x:c r="B23" s="18" t="n">
        <x:f>Inputs!B228</x:f>
        <x:v>46035</x:v>
      </x:c>
      <x:c r="C23" s="82" t="str">
        <x:f>Inputs!C228</x:f>
        <x:v>1Q26</x:v>
      </x:c>
      <x:c r="D23" s="17" t="str">
        <x:f>Inputs!D228</x:f>
        <x:v>Non-GAAP diluted EPS</x:v>
      </x:c>
      <x:c r="E23" s="22" t="n">
        <x:f>Inputs!E228</x:f>
        <x:v>2.57</x:v>
      </x:c>
      <x:c r="F23" s="22" t="n">
        <x:f>Inputs!F228</x:f>
        <x:v>2.69</x:v>
      </x:c>
      <x:c r="G23" s="12" t="n">
        <x:f>AVERAGE(E23:F23)</x:f>
        <x:v>2.63</x:v>
      </x:c>
      <x:c r="H23" s="26" t="n">
        <x:f>'Income Statement'!F46</x:f>
        <x:v>2.61</x:v>
      </x:c>
      <x:c r="I23" s="1" t="str">
        <x:f>IF(H23&gt;G23,"Beat",IF(H23&lt;G23,"Miss","Met"))</x:f>
        <x:v>Miss</x:v>
      </x:c>
      <x:c r="J23" s="1"/>
      <x:c r="K23" s="1"/>
    </x:row>
    <x:row r="24">
      <x:c r="B24" s="18" t="n">
        <x:f>Inputs!B229</x:f>
        <x:v>45925</x:v>
      </x:c>
      <x:c r="C24" s="82" t="str">
        <x:f>Inputs!C229</x:f>
        <x:v>4Q25</x:v>
      </x:c>
      <x:c r="D24" s="17" t="str">
        <x:f>Inputs!D229</x:f>
        <x:v>Revenue</x:v>
      </x:c>
      <x:c r="E24" s="6" t="n">
        <x:f>Inputs!E229</x:f>
        <x:v>2525</x:v>
      </x:c>
      <x:c r="F24" s="6" t="n">
        <x:f>Inputs!F229</x:f>
        <x:v>2550</x:v>
      </x:c>
      <x:c r="G24" s="2" t="n">
        <x:f>AVERAGE(E24:F24)</x:f>
        <x:v>2537.5</x:v>
      </x:c>
      <x:c r="H24" s="5" t="n">
        <x:f>'Revenue summary'!D60</x:f>
        <x:v>2552.9249999999997</x:v>
      </x:c>
      <x:c r="I24" s="1" t="str">
        <x:f>IF(H24&gt;G24,"Beat",IF(H24&lt;G24,"Miss","Met"))</x:f>
        <x:v>Beat</x:v>
      </x:c>
      <x:c r="J24" s="1"/>
      <x:c r="K24" s="1"/>
    </x:row>
    <x:row r="25">
      <x:c r="B25" s="18" t="n">
        <x:f>Inputs!B230</x:f>
        <x:v>45925</x:v>
      </x:c>
      <x:c r="C25" s="82" t="str">
        <x:f>Inputs!C230</x:f>
        <x:v>4Q25</x:v>
      </x:c>
      <x:c r="D25" s="17" t="str">
        <x:f>Inputs!D230</x:f>
        <x:v>Non-GAAP diluted EPS</x:v>
      </x:c>
      <x:c r="E25" s="22" t="n">
        <x:f>Inputs!E230</x:f>
        <x:v>2.85</x:v>
      </x:c>
      <x:c r="F25" s="22" t="n">
        <x:f>Inputs!F230</x:f>
        <x:v>2.96</x:v>
      </x:c>
      <x:c r="G25" s="12" t="n">
        <x:f>AVERAGE(E25:F25)</x:f>
        <x:v>2.9050000000000002</x:v>
      </x:c>
      <x:c r="H25" s="26" t="n">
        <x:f>'Income Statement'!D46</x:f>
        <x:v>2.95</x:v>
      </x:c>
      <x:c r="I25" s="1" t="str">
        <x:f>IF(H25&gt;G25,"Beat",IF(H25&lt;G25,"Miss","Met"))</x:f>
        <x:v>Beat</x:v>
      </x:c>
      <x:c r="J25" s="1"/>
      <x:c r="K25" s="1"/>
    </x:row>
    <x:row r="26">
      <x:c r="B26" s="18" t="n">
        <x:f>Inputs!B231</x:f>
        <x:v>46202</x:v>
      </x:c>
      <x:c r="C26" s="82" t="str">
        <x:f>Inputs!C231</x:f>
        <x:v>3Q26</x:v>
      </x:c>
      <x:c r="D26" s="17" t="str">
        <x:f>Inputs!D231</x:f>
        <x:v>Amortization forecast</x:v>
      </x:c>
      <x:c r="E26" s="6" t="n">
        <x:f>Inputs!E231</x:f>
        <x:v>102.5</x:v>
      </x:c>
      <x:c r="F26" s="6" t="n">
        <x:f>Inputs!F231</x:f>
        <x:v>102.5</x:v>
      </x:c>
      <x:c r="G26" s="2" t="n">
        <x:f>AVERAGE(E26:F26)</x:f>
        <x:v>102.5</x:v>
      </x:c>
      <x:c r="H26" s="5" t="n">
        <x:f>'Income Statement'!H30</x:f>
        <x:v>102.5</x:v>
      </x:c>
      <x:c r="I26" s="1"/>
      <x:c r="J26" s="1"/>
      <x:c r="K26" s="1"/>
    </x:row>
    <x:row r="27">
      <x:c r="B27" s="18" t="n">
        <x:f>Inputs!B232</x:f>
        <x:v>46202</x:v>
      </x:c>
      <x:c r="C27" s="82" t="str">
        <x:f>Inputs!C232</x:f>
        <x:v>3Q26</x:v>
      </x:c>
      <x:c r="D27" s="17" t="str">
        <x:f>Inputs!D232</x:f>
        <x:v>Share-based compensation</x:v>
      </x:c>
      <x:c r="E27" s="6" t="n">
        <x:f>Inputs!E232</x:f>
        <x:v>23.8</x:v>
      </x:c>
      <x:c r="F27" s="6" t="n">
        <x:f>Inputs!F232</x:f>
        <x:v>23.8</x:v>
      </x:c>
      <x:c r="G27" s="2" t="n">
        <x:f>AVERAGE(E27:F27)</x:f>
        <x:v>23.8</x:v>
      </x:c>
      <x:c r="H27" s="5" t="n">
        <x:f>'Income Statement'!H31</x:f>
        <x:v>23.8</x:v>
      </x:c>
      <x:c r="I27" s="1"/>
      <x:c r="J27" s="1"/>
      <x:c r="K27" s="1"/>
    </x:row>
    <x:row r="28">
      <x:c r="B28" s="18" t="n">
        <x:f>Inputs!B233</x:f>
        <x:v>46202</x:v>
      </x:c>
      <x:c r="C28" s="82" t="str">
        <x:f>Inputs!C233</x:f>
        <x:v>3Q26</x:v>
      </x:c>
      <x:c r="D28" s="17" t="str">
        <x:f>Inputs!D233</x:f>
        <x:v>Restructuring forecast</x:v>
      </x:c>
      <x:c r="E28" s="6" t="n">
        <x:f>Inputs!E233</x:f>
        <x:v>45</x:v>
      </x:c>
      <x:c r="F28" s="6" t="n">
        <x:f>Inputs!F233</x:f>
        <x:v>45</x:v>
      </x:c>
      <x:c r="G28" s="2" t="n">
        <x:f>AVERAGE(E28:F28)</x:f>
        <x:v>45</x:v>
      </x:c>
      <x:c r="H28" s="5" t="n">
        <x:f>'Income Statement'!H29</x:f>
        <x:v>45</x:v>
      </x:c>
      <x:c r="I28" s="1"/>
      <x:c r="J28" s="1"/>
      <x:c r="K28" s="1"/>
    </x:row>
    <x:row r="29">
      <x:c r="B29" s="18" t="n">
        <x:f>Inputs!B234</x:f>
        <x:v>46202</x:v>
      </x:c>
      <x:c r="C29" s="82" t="str">
        <x:f>Inputs!C234</x:f>
        <x:v>3Q26</x:v>
      </x:c>
      <x:c r="D29" s="17" t="str">
        <x:f>Inputs!D234</x:f>
        <x:v>Step-up depreciation</x:v>
      </x:c>
      <x:c r="E29" s="6" t="n">
        <x:f>Inputs!E234</x:f>
        <x:v>2.8</x:v>
      </x:c>
      <x:c r="F29" s="6" t="n">
        <x:f>Inputs!F234</x:f>
        <x:v>2.8</x:v>
      </x:c>
      <x:c r="G29" s="2" t="n">
        <x:f>AVERAGE(E29:F29)</x:f>
        <x:v>2.8</x:v>
      </x:c>
      <x:c r="H29" s="5" t="n">
        <x:f>'Income Statement'!H32</x:f>
        <x:v>2.8</x:v>
      </x:c>
      <x:c r="I29" s="1"/>
      <x:c r="J29" s="1"/>
      <x:c r="K29" s="1"/>
    </x:row>
    <x:row r="30">
      <x:c r="B30" s="1"/>
      <x:c r="C30" s="1"/>
      <x:c r="D30" s="1"/>
      <x:c r="E30" s="1"/>
      <x:c r="F30" s="1"/>
      <x:c r="G30" s="1"/>
      <x:c r="H30" s="7"/>
      <x:c r="I30" s="1"/>
      <x:c r="J30" s="1"/>
      <x:c r="K30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4" customWidth="1"/>
    <x:col min="2" max="2" width="47" hidden="0" customWidth="1"/>
    <x:col min="3" max="3" width="15" customWidth="1"/>
    <x:col min="4" max="4" width="22" customWidth="1"/>
    <x:col min="5" max="5" width="72" customWidth="1"/>
    <x:col min="6" max="6" width="66" customWidth="1"/>
    <x:col min="7" max="8" width="15" customWidth="1"/>
    <x:col min="9" max="9" width="18" customWidth="1"/>
    <x:col min="10" max="10" width="60" hidden="0" customWidth="1"/>
  </x:cols>
  <x:sheetData>
    <x:row r="1">
      <x:c r="I1" s="1"/>
      <x:c r="J1" s="1"/>
      <x:c r="K1" s="1"/>
    </x:row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B3" s="1" t="s">
        <x:v>229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85"/>
      <x:c r="C5" s="72"/>
      <x:c r="D5" s="72"/>
      <x:c r="E5" s="72"/>
      <x:c r="F5" s="72"/>
      <x:c r="G5" s="72"/>
      <x:c r="H5" s="73"/>
      <x:c r="I5" s="1"/>
      <x:c r="J5" s="1"/>
      <x:c r="K5" s="1"/>
    </x:row>
    <x:row r="6">
      <x:c r="B6" s="85"/>
      <x:c r="C6" s="74"/>
      <x:c r="D6" s="74"/>
      <x:c r="E6" s="74"/>
      <x:c r="F6" s="74"/>
      <x:c r="G6" s="74"/>
      <x:c r="H6" s="75"/>
      <x:c r="I6" s="1"/>
      <x:c r="J6" s="1"/>
      <x:c r="K6" s="1"/>
    </x:row>
    <x:row r="7">
      <x:c r="B7" s="85"/>
      <x:c r="C7" s="72"/>
      <x:c r="D7" s="72"/>
      <x:c r="E7" s="72"/>
      <x:c r="F7" s="72"/>
      <x:c r="G7" s="72"/>
      <x:c r="H7" s="73"/>
      <x:c r="I7" s="1"/>
      <x:c r="J7" s="1"/>
      <x:c r="K7" s="1"/>
    </x:row>
    <x:row r="8">
      <x:c r="B8" s="1"/>
      <x:c r="C8" s="1"/>
      <x:c r="D8" s="1"/>
      <x:c r="E8" s="1"/>
      <x:c r="F8" s="1"/>
      <x:c r="G8" s="1"/>
      <x:c r="H8" s="7"/>
      <x:c r="I8" s="1"/>
      <x:c r="J8" s="1"/>
      <x:c r="K8" s="1"/>
    </x:row>
    <x:row r="9">
      <x:c r="B9" s="1" t="s">
        <x:v>230</x:v>
      </x:c>
      <x:c r="C9" s="83" t="s">
        <x:v>231</x:v>
      </x:c>
      <x:c r="D9" s="1" t="s">
        <x:v>232</x:v>
      </x:c>
      <x:c r="E9" s="1" t="s">
        <x:v>233</x:v>
      </x:c>
      <x:c r="F9" s="1" t="s">
        <x:v>234</x:v>
      </x:c>
      <x:c r="G9" s="1"/>
      <x:c r="H9" s="7"/>
      <x:c r="I9" s="1"/>
      <x:c r="J9" s="1"/>
      <x:c r="K9" s="1"/>
    </x:row>
    <x:row r="10" ht="27">
      <x:c r="B10" s="1" t="s">
        <x:v>235</x:v>
      </x:c>
      <x:c r="C10" s="87">
        <x:v>45933</x:v>
      </x:c>
      <x:c r="D10" s="1" t="s">
        <x:v>236</x:v>
      </x:c>
      <x:c r="E10" s="36" t="s">
        <x:v>237</x:v>
      </x:c>
      <x:c r="F10" s="1" t="s">
        <x:v>238</x:v>
      </x:c>
      <x:c r="G10" s="1"/>
      <x:c r="H10" s="7"/>
      <x:c r="I10" s="1"/>
      <x:c r="J10" s="1"/>
      <x:c r="K10" s="1"/>
    </x:row>
    <x:row r="11" ht="27">
      <x:c r="B11" s="1" t="s">
        <x:v>239</x:v>
      </x:c>
      <x:c r="C11" s="87">
        <x:v>45925</x:v>
      </x:c>
      <x:c r="D11" s="1" t="s">
        <x:v>240</x:v>
      </x:c>
      <x:c r="E11" s="36" t="s">
        <x:v>241</x:v>
      </x:c>
      <x:c r="F11" s="1" t="s">
        <x:v>242</x:v>
      </x:c>
      <x:c r="G11" s="1"/>
      <x:c r="H11" s="7"/>
      <x:c r="I11" s="1"/>
      <x:c r="J11" s="1"/>
      <x:c r="K11" s="1"/>
    </x:row>
    <x:row r="12" ht="27">
      <x:c r="B12" s="1" t="s">
        <x:v>243</x:v>
      </x:c>
      <x:c r="C12" s="87">
        <x:v>46050</x:v>
      </x:c>
      <x:c r="D12" s="1" t="s">
        <x:v>244</x:v>
      </x:c>
      <x:c r="E12" s="36" t="s">
        <x:v>245</x:v>
      </x:c>
      <x:c r="F12" s="1" t="s">
        <x:v>246</x:v>
      </x:c>
      <x:c r="G12" s="1"/>
      <x:c r="H12" s="7"/>
      <x:c r="I12" s="1"/>
      <x:c r="J12" s="1"/>
      <x:c r="K12" s="1"/>
    </x:row>
    <x:row r="13" ht="27">
      <x:c r="B13" s="1" t="s">
        <x:v>247</x:v>
      </x:c>
      <x:c r="C13" s="87">
        <x:v>46050</x:v>
      </x:c>
      <x:c r="D13" s="1" t="s">
        <x:v>248</x:v>
      </x:c>
      <x:c r="E13" s="36" t="s">
        <x:v>249</x:v>
      </x:c>
      <x:c r="F13" s="1" t="s">
        <x:v>250</x:v>
      </x:c>
      <x:c r="G13" s="1"/>
      <x:c r="H13" s="7"/>
      <x:c r="I13" s="1"/>
      <x:c r="J13" s="1"/>
      <x:c r="K13" s="1"/>
    </x:row>
    <x:row r="14" ht="27">
      <x:c r="B14" s="1" t="s">
        <x:v>251</x:v>
      </x:c>
      <x:c r="C14" s="87">
        <x:v>46035</x:v>
      </x:c>
      <x:c r="D14" s="1" t="s">
        <x:v>240</x:v>
      </x:c>
      <x:c r="E14" s="36" t="s">
        <x:v>252</x:v>
      </x:c>
      <x:c r="F14" s="1" t="s">
        <x:v>253</x:v>
      </x:c>
      <x:c r="G14" s="1"/>
      <x:c r="H14" s="7"/>
      <x:c r="I14" s="1"/>
      <x:c r="J14" s="1"/>
      <x:c r="K14" s="1"/>
    </x:row>
    <x:row r="15" ht="27">
      <x:c r="B15" s="1" t="s">
        <x:v>254</x:v>
      </x:c>
      <x:c r="C15" s="87">
        <x:v>46115</x:v>
      </x:c>
      <x:c r="D15" s="1" t="s">
        <x:v>236</x:v>
      </x:c>
      <x:c r="E15" s="36" t="s">
        <x:v>255</x:v>
      </x:c>
      <x:c r="F15" s="1" t="s">
        <x:v>256</x:v>
      </x:c>
      <x:c r="G15" s="1"/>
      <x:c r="H15" s="7"/>
      <x:c r="I15" s="1"/>
      <x:c r="J15" s="1"/>
      <x:c r="K15" s="1"/>
    </x:row>
    <x:row r="16" ht="27">
      <x:c r="B16" s="1" t="s">
        <x:v>257</x:v>
      </x:c>
      <x:c r="C16" s="87">
        <x:v>46105</x:v>
      </x:c>
      <x:c r="D16" s="1" t="s">
        <x:v>240</x:v>
      </x:c>
      <x:c r="E16" s="36" t="s">
        <x:v>258</x:v>
      </x:c>
      <x:c r="F16" s="1" t="s">
        <x:v>259</x:v>
      </x:c>
      <x:c r="G16" s="1"/>
      <x:c r="H16" s="7"/>
      <x:c r="I16" s="1"/>
      <x:c r="J16" s="1"/>
      <x:c r="K16" s="1"/>
    </x:row>
    <x:row r="17" ht="27">
      <x:c r="B17" s="1" t="s">
        <x:v>260</x:v>
      </x:c>
      <x:c r="C17" s="87">
        <x:v>46205</x:v>
      </x:c>
      <x:c r="D17" s="1" t="s">
        <x:v>236</x:v>
      </x:c>
      <x:c r="E17" s="36" t="s">
        <x:v>261</x:v>
      </x:c>
      <x:c r="F17" s="1" t="s">
        <x:v>262</x:v>
      </x:c>
      <x:c r="G17" s="1"/>
      <x:c r="H17" s="7"/>
      <x:c r="I17" s="1"/>
      <x:c r="J17" s="1"/>
      <x:c r="K17" s="1"/>
    </x:row>
    <x:row r="18" ht="27">
      <x:c r="B18" s="1" t="s">
        <x:v>263</x:v>
      </x:c>
      <x:c r="C18" s="87">
        <x:v>46202</x:v>
      </x:c>
      <x:c r="D18" s="1" t="s">
        <x:v>240</x:v>
      </x:c>
      <x:c r="E18" s="36" t="s">
        <x:v>264</x:v>
      </x:c>
      <x:c r="F18" s="1" t="s">
        <x:v>265</x:v>
      </x:c>
      <x:c r="G18" s="1"/>
      <x:c r="H18" s="7"/>
      <x:c r="I18" s="1"/>
      <x:c r="J18" s="1"/>
      <x:c r="K18" s="1"/>
    </x:row>
    <x:row r="19" ht="27">
      <x:c r="B19" s="1" t="s">
        <x:v>266</x:v>
      </x:c>
      <x:c r="C19" s="87">
        <x:v>46273</x:v>
      </x:c>
      <x:c r="D19" s="1" t="s">
        <x:v>267</x:v>
      </x:c>
      <x:c r="E19" s="36" t="s">
        <x:v>268</x:v>
      </x:c>
      <x:c r="F19" s="1" t="s">
        <x:v>269</x:v>
      </x:c>
      <x:c r="G19" s="1"/>
      <x:c r="H19" s="7"/>
      <x:c r="I19" s="1"/>
      <x:c r="J19" s="1"/>
      <x:c r="K19" s="1"/>
    </x:row>
    <x:row r="20" ht="27">
      <x:c r="B20" s="1" t="s">
        <x:v>270</x:v>
      </x:c>
      <x:c r="C20" s="87">
        <x:v>46202</x:v>
      </x:c>
      <x:c r="D20" s="1" t="s">
        <x:v>271</x:v>
      </x:c>
      <x:c r="E20" s="36" t="s">
        <x:v>272</x:v>
      </x:c>
      <x:c r="F20" s="1" t="s">
        <x:v>273</x:v>
      </x:c>
      <x:c r="G20" s="1"/>
      <x:c r="H20" s="7"/>
      <x:c r="I20" s="1"/>
      <x:c r="J20" s="1"/>
      <x:c r="K20" s="1"/>
    </x:row>
    <x:row r="21" ht="27">
      <x:c r="B21" s="1" t="s">
        <x:v>274</x:v>
      </x:c>
      <x:c r="C21" s="87">
        <x:v>46293</x:v>
      </x:c>
      <x:c r="D21" s="1" t="s">
        <x:v>275</x:v>
      </x:c>
      <x:c r="E21" s="36" t="s">
        <x:v>276</x:v>
      </x:c>
      <x:c r="F21" s="1" t="s">
        <x:v>277</x:v>
      </x:c>
      <x:c r="G21" s="1"/>
      <x:c r="H21" s="7"/>
      <x:c r="I21" s="1"/>
      <x:c r="J21" s="1"/>
      <x:c r="K21" s="1"/>
    </x:row>
    <x:row r="22" ht="27">
      <x:c r="B22" s="1" t="s">
        <x:v>278</x:v>
      </x:c>
      <x:c r="C22" s="87">
        <x:v>46286</x:v>
      </x:c>
      <x:c r="D22" s="1" t="s">
        <x:v>279</x:v>
      </x:c>
      <x:c r="E22" s="36" t="s">
        <x:v>280</x:v>
      </x:c>
      <x:c r="F22" s="1" t="s">
        <x:v>281</x:v>
      </x:c>
      <x:c r="G22" s="1"/>
      <x:c r="H22" s="7"/>
      <x:c r="I22" s="1"/>
      <x:c r="J22" s="1"/>
      <x:c r="K22" s="1"/>
    </x:row>
    <x:row r="23" ht="27">
      <x:c r="B23" s="1" t="s">
        <x:v>282</x:v>
      </x:c>
      <x:c r="C23" s="87">
        <x:v>46291</x:v>
      </x:c>
      <x:c r="D23" s="1" t="s">
        <x:v>283</x:v>
      </x:c>
      <x:c r="E23" s="36" t="s">
        <x:v>284</x:v>
      </x:c>
      <x:c r="F23" s="1" t="s">
        <x:v>285</x:v>
      </x:c>
      <x:c r="G23" s="1"/>
      <x:c r="H23" s="7"/>
      <x:c r="I23" s="1"/>
      <x:c r="J23" s="1"/>
      <x:c r="K23" s="1"/>
    </x:row>
    <x:row r="24" ht="27">
      <x:c r="B24" s="1" t="s">
        <x:v>286</x:v>
      </x:c>
      <x:c r="C24" s="87">
        <x:v>46178</x:v>
      </x:c>
      <x:c r="D24" s="1" t="s">
        <x:v>287</x:v>
      </x:c>
      <x:c r="E24" s="36" t="s">
        <x:v>288</x:v>
      </x:c>
      <x:c r="F24" s="1" t="s">
        <x:v>289</x:v>
      </x:c>
      <x:c r="G24" s="1"/>
      <x:c r="H24" s="7"/>
      <x:c r="I24" s="1"/>
      <x:c r="J24" s="1"/>
      <x:c r="K24" s="1"/>
    </x:row>
    <x:row r="25" ht="27">
      <x:c r="B25" s="1" t="s">
        <x:v>290</x:v>
      </x:c>
      <x:c r="C25" s="87">
        <x:v>46289</x:v>
      </x:c>
      <x:c r="D25" s="1" t="s">
        <x:v>291</x:v>
      </x:c>
      <x:c r="E25" s="36" t="s">
        <x:v>292</x:v>
      </x:c>
      <x:c r="F25" s="1" t="s">
        <x:v>293</x:v>
      </x:c>
      <x:c r="G25" s="1"/>
      <x:c r="H25" s="7"/>
      <x:c r="I25" s="1"/>
      <x:c r="J25" s="1"/>
      <x:c r="K25" s="1"/>
    </x:row>
    <x:row r="26" ht="27">
      <x:c r="B26" s="1" t="s">
        <x:v>294</x:v>
      </x:c>
      <x:c r="C26" s="87">
        <x:v>46289</x:v>
      </x:c>
      <x:c r="D26" s="1" t="s">
        <x:v>291</x:v>
      </x:c>
      <x:c r="E26" s="36" t="s">
        <x:v>295</x:v>
      </x:c>
      <x:c r="F26" s="1" t="s">
        <x:v>296</x:v>
      </x:c>
      <x:c r="G26" s="1"/>
      <x:c r="H26" s="7"/>
      <x:c r="I26" s="1"/>
      <x:c r="J26" s="1"/>
      <x:c r="K26" s="1"/>
    </x:row>
    <x:row r="27" ht="27">
      <x:c r="B27" s="1" t="s">
        <x:v>297</x:v>
      </x:c>
      <x:c r="C27" s="88">
        <x:v>46233</x:v>
      </x:c>
      <x:c r="D27" s="1" t="s">
        <x:v>298</x:v>
      </x:c>
      <x:c r="E27" s="36" t="s">
        <x:v>299</x:v>
      </x:c>
      <x:c r="F27" s="1" t="s">
        <x:v>300</x:v>
      </x:c>
      <x:c r="G27" s="1"/>
      <x:c r="H27" s="7"/>
      <x:c r="I27" s="1"/>
      <x:c r="J27" s="1"/>
      <x:c r="K27" s="1"/>
    </x:row>
    <x:row r="28">
      <x:c r="B28" s="1" t="s">
        <x:v>301</x:v>
      </x:c>
      <x:c r="C28" s="17" t="str">
        <x:f>Inputs!C208</x:f>
        <x:v>ecb03e6dc08c9d035f4ce200ba3691493a87b7e74a5262dcec23536f3d6b593a</x:v>
      </x:c>
      <x:c r="D28" s="1"/>
      <x:c r="E28" s="1"/>
      <x:c r="F28" s="1"/>
      <x:c r="G28" s="1"/>
      <x:c r="H28" s="7"/>
      <x:c r="I28" s="1"/>
      <x:c r="J28" s="1"/>
      <x:c r="K28" s="1"/>
    </x:row>
    <x:row r="29">
      <x:c r="B29" s="1" t="s">
        <x:v>302</x:v>
      </x:c>
      <x:c r="C29" s="17" t="str">
        <x:f>Inputs!C209</x:f>
        <x:v>02e1e746d20c5fef261215d34693eb73604c225b69716e1e22443b1af59919a4</x:v>
      </x:c>
      <x:c r="D29" s="1"/>
      <x:c r="E29" s="1"/>
      <x:c r="F29" s="1"/>
      <x:c r="G29" s="1"/>
      <x:c r="H29" s="7"/>
      <x:c r="I29" s="1"/>
      <x:c r="J29" s="1"/>
      <x:c r="K29" s="1"/>
    </x:row>
    <x:row r="30">
      <x:c r="B30" s="1" t="s">
        <x:v>303</x:v>
      </x:c>
      <x:c r="C30" s="18" t="n">
        <x:f>Inputs!C210</x:f>
        <x:v>46289</x:v>
      </x:c>
      <x:c r="D30" s="1"/>
      <x:c r="E30" s="1"/>
      <x:c r="F30" s="1"/>
      <x:c r="G30" s="1"/>
      <x:c r="H30" s="7"/>
      <x:c r="I30" s="1"/>
      <x:c r="J30" s="1"/>
      <x:c r="K30" s="1"/>
    </x:row>
    <x:row r="31" ht="48" customHeight="1">
      <x:c r="B31" s="89" t="s">
        <x:v>304</x:v>
      </x:c>
      <x:c r="C31" s="1"/>
      <x:c r="D31" s="1"/>
      <x:c r="E31" s="1"/>
      <x:c r="F31" s="1"/>
      <x:c r="G31" s="1"/>
      <x:c r="H31" s="7"/>
      <x:c r="I31" s="1"/>
      <x:c r="J31" s="1"/>
      <x:c r="K31" s="1"/>
    </x:row>
    <x:row r="32" ht="48" customHeight="1">
      <x:c r="B32" s="89" t="s">
        <x:v>305</x:v>
      </x:c>
      <x:c r="C32" s="1"/>
      <x:c r="D32" s="1"/>
      <x:c r="E32" s="1"/>
      <x:c r="F32" s="1"/>
      <x:c r="G32" s="1"/>
      <x:c r="H32" s="7"/>
      <x:c r="I32" s="1"/>
      <x:c r="J32" s="1"/>
      <x:c r="K32" s="1"/>
    </x:row>
    <x:row r="33" ht="48" customHeight="1">
      <x:c r="B33" s="1" t="s">
        <x:v>306</x:v>
      </x:c>
      <x:c r="C33" s="1"/>
      <x:c r="D33" s="1"/>
      <x:c r="E33" s="1"/>
      <x:c r="F33" s="1"/>
      <x:c r="G33" s="1"/>
      <x:c r="H33" s="7"/>
      <x:c r="I33" s="1"/>
      <x:c r="J33" s="89" t="s">
        <x:v>307</x:v>
      </x:c>
      <x:c r="K33" s="1"/>
    </x:row>
    <x:row r="34">
      <x:c r="B34" s="1" t="s">
        <x:v>308</x:v>
      </x:c>
      <x:c r="C34" s="1"/>
      <x:c r="D34" s="1"/>
      <x:c r="E34" s="1"/>
      <x:c r="F34" s="1"/>
      <x:c r="G34" s="1"/>
      <x:c r="H34" s="7"/>
      <x:c r="I34" s="1"/>
      <x:c r="J34" s="1" t="str">
        <x:v>Scoring uses the frozen consensus MEAN of $2.81. The $2.71 median is a different statistic.</x:v>
      </x:c>
      <x:c r="K34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4" customWidth="1"/>
    <x:col min="2" max="2" width="47" hidden="0" customWidth="1"/>
    <x:col min="3" max="8" width="13" customWidth="1"/>
    <x:col min="9" max="9" width="18" customWidth="1"/>
    <x:col min="11" max="11" width="87" customWidth="1"/>
    <x:col min="10" max="10" width="60" hidden="0" customWidth="1"/>
  </x:cols>
  <x:sheetData>
    <x:row r="1">
      <x:c r="I1" s="1"/>
      <x:c r="J1" s="1"/>
      <x:c r="K1" s="1"/>
    </x:row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B3" s="1" t="s">
        <x:v>309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85" t="s">
        <x:v>3</x:v>
      </x:c>
      <x:c r="C5" s="72" t="s">
        <x:v>4</x:v>
      </x:c>
      <x:c r="D5" s="72" t="s">
        <x:v>5</x:v>
      </x:c>
      <x:c r="E5" s="72" t="s">
        <x:v>6</x:v>
      </x:c>
      <x:c r="F5" s="72" t="s">
        <x:v>7</x:v>
      </x:c>
      <x:c r="G5" s="72" t="s">
        <x:v>8</x:v>
      </x:c>
      <x:c r="H5" s="73" t="s">
        <x:v>9</x:v>
      </x:c>
      <x:c r="I5" s="1"/>
      <x:c r="J5" s="1"/>
      <x:c r="K5" s="1"/>
    </x:row>
    <x:row r="6">
      <x:c r="B6" s="85" t="s">
        <x:v>10</x:v>
      </x:c>
      <x:c r="C6" s="74">
        <x:v>45900</x:v>
      </x:c>
      <x:c r="D6" s="74">
        <x:v>45991</x:v>
      </x:c>
      <x:c r="E6" s="74">
        <x:v>45991</x:v>
      </x:c>
      <x:c r="F6" s="74">
        <x:v>46081</x:v>
      </x:c>
      <x:c r="G6" s="74">
        <x:v>46173</x:v>
      </x:c>
      <x:c r="H6" s="75">
        <x:v>46265</x:v>
      </x:c>
      <x:c r="I6" s="1"/>
      <x:c r="J6" s="1"/>
      <x:c r="K6" s="1"/>
    </x:row>
    <x:row r="7">
      <x:c r="B7" s="85" t="s">
        <x:v>11</x:v>
      </x:c>
      <x:c r="C7" s="72">
        <x:v>92</x:v>
      </x:c>
      <x:c r="D7" s="72">
        <x:v>91</x:v>
      </x:c>
      <x:c r="E7" s="72">
        <x:v>365</x:v>
      </x:c>
      <x:c r="F7" s="72">
        <x:v>90</x:v>
      </x:c>
      <x:c r="G7" s="72">
        <x:v>92</x:v>
      </x:c>
      <x:c r="H7" s="73">
        <x:v>92</x:v>
      </x:c>
      <x:c r="I7" s="1"/>
      <x:c r="J7" s="1"/>
      <x:c r="K7" s="1"/>
    </x:row>
    <x:row r="8">
      <x:c r="B8" s="1"/>
      <x:c r="C8" s="1"/>
      <x:c r="D8" s="1"/>
      <x:c r="E8" s="1"/>
      <x:c r="F8" s="1"/>
      <x:c r="G8" s="1"/>
      <x:c r="H8" s="7"/>
      <x:c r="I8" s="1"/>
      <x:c r="J8" s="1"/>
      <x:c r="K8" s="1"/>
    </x:row>
    <x:row r="9" ht="32" customHeight="1">
      <x:c r="B9" s="89" t="s">
        <x:v>310</x:v>
      </x:c>
      <x:c r="C9" s="1"/>
      <x:c r="D9" s="1"/>
      <x:c r="E9" s="1"/>
      <x:c r="F9" s="1"/>
      <x:c r="G9" s="1"/>
      <x:c r="H9" s="7"/>
      <x:c r="I9" s="1"/>
      <x:c r="J9" s="1"/>
      <x:c r="K9" s="1"/>
    </x:row>
    <x:row r="10">
      <x:c r="B10" s="1"/>
      <x:c r="C10" s="1"/>
      <x:c r="D10" s="1"/>
      <x:c r="E10" s="1"/>
      <x:c r="F10" s="1"/>
      <x:c r="G10" s="1"/>
      <x:c r="H10" s="7"/>
      <x:c r="I10" s="1"/>
      <x:c r="J10" s="1" t="s">
        <x:v>311</x:v>
      </x:c>
      <x:c r="K10" s="1"/>
    </x:row>
    <x:row r="11">
      <x:c r="B11" s="1" t="s">
        <x:v>46</x:v>
      </x:c>
      <x:c r="C11" s="54">
        <x:v>670.573</x:v>
      </x:c>
      <x:c r="D11" s="54">
        <x:v>675.088</x:v>
      </x:c>
      <x:c r="E11" s="54">
        <x:v>2666.072</x:v>
      </x:c>
      <x:c r="F11" s="54">
        <x:v>635.089</x:v>
      </x:c>
      <x:c r="G11" s="54">
        <x:v>624.244</x:v>
      </x:c>
      <x:c r="H11" s="13" t="n">
        <x:f>C11*(1+J11)*(1+H119)</x:f>
        <x:v>618.955643325</x:v>
      </x:c>
      <x:c r="I11" s="1"/>
      <x:c r="J11" s="57">
        <x:v>-0.07</x:v>
      </x:c>
      <x:c r="K11" s="1"/>
    </x:row>
    <x:row r="12">
      <x:c r="B12" s="1" t="s">
        <x:v>53</x:v>
      </x:c>
      <x:c r="C12" s="54">
        <x:v>622.822</x:v>
      </x:c>
      <x:c r="D12" s="54">
        <x:v>643.383</x:v>
      </x:c>
      <x:c r="E12" s="54">
        <x:v>2433.885</x:v>
      </x:c>
      <x:c r="F12" s="54">
        <x:v>649.363</x:v>
      </x:c>
      <x:c r="G12" s="54">
        <x:v>640.795</x:v>
      </x:c>
      <x:c r="H12" s="13" t="n">
        <x:f>C12*(1+J12)*(1+H119)</x:f>
        <x:v>660.18509178</x:v>
      </x:c>
      <x:c r="I12" s="1"/>
      <x:c r="J12" s="57">
        <x:v>0.068</x:v>
      </x:c>
      <x:c r="K12" s="1"/>
    </x:row>
    <x:row r="13" ht="48" customHeight="1">
      <x:c r="B13" s="1" t="s">
        <x:v>54</x:v>
      </x:c>
      <x:c r="C13" s="54">
        <x:v>411.229</x:v>
      </x:c>
      <x:c r="D13" s="54">
        <x:v>417.181</x:v>
      </x:c>
      <x:c r="E13" s="54">
        <x:v>1592.373</x:v>
      </x:c>
      <x:c r="F13" s="54">
        <x:v>394.016</x:v>
      </x:c>
      <x:c r="G13" s="54">
        <x:v>392.255</x:v>
      </x:c>
      <x:c r="H13" s="13" t="n">
        <x:f>C13*(1+J13)*(1+H119)</x:f>
        <x:v>391.81899119999997</x:v>
      </x:c>
      <x:c r="I13" s="1"/>
      <x:c r="J13" s="92">
        <x:v>-0.04</x:v>
      </x:c>
      <x:c r="K13" s="1"/>
    </x:row>
    <x:row r="14">
      <x:c r="B14" s="1" t="s">
        <x:v>55</x:v>
      </x:c>
      <x:c r="C14" s="54">
        <x:v>384.449</x:v>
      </x:c>
      <x:c r="D14" s="54">
        <x:v>402.566</x:v>
      </x:c>
      <x:c r="E14" s="54">
        <x:v>1536.223</x:v>
      </x:c>
      <x:c r="F14" s="54">
        <x:v>421.605</x:v>
      </x:c>
      <x:c r="G14" s="54">
        <x:v>432.388</x:v>
      </x:c>
      <x:c r="H14" s="13" t="n">
        <x:f>C14*(1+J14)*(1+H119)</x:f>
        <x:v>434.9848210500001</x:v>
      </x:c>
      <x:c r="I14" s="1"/>
      <x:c r="J14" s="57">
        <x:v>0.14</x:v>
      </x:c>
      <x:c r="K14" s="1"/>
    </x:row>
    <x:row r="15" ht="48" customHeight="1">
      <x:c r="B15" s="1" t="s">
        <x:v>56</x:v>
      </x:c>
      <x:c r="C15" s="54">
        <x:v>174.106</x:v>
      </x:c>
      <x:c r="D15" s="54">
        <x:v>184.986</x:v>
      </x:c>
      <x:c r="E15" s="54">
        <x:v>725.283</x:v>
      </x:c>
      <x:c r="F15" s="54">
        <x:v>178.83</x:v>
      </x:c>
      <x:c r="G15" s="54">
        <x:v>151.869</x:v>
      </x:c>
      <x:c r="H15" s="13" t="n">
        <x:f>C15*(1+J15)*(1+H119)</x:f>
        <x:v>152.92818142500002</x:v>
      </x:c>
      <x:c r="I15" s="1"/>
      <x:c r="J15" s="92">
        <x:v>-0.115</x:v>
      </x:c>
      <x:c r="K15" s="1"/>
    </x:row>
    <x:row r="16">
      <x:c r="B16" s="1" t="s">
        <x:v>57</x:v>
      </x:c>
      <x:c r="C16" s="54">
        <x:v>220.074</x:v>
      </x:c>
      <x:c r="D16" s="54">
        <x:v>229.721</x:v>
      </x:c>
      <x:c r="E16" s="54">
        <x:v>871.935</x:v>
      </x:c>
      <x:c r="F16" s="54">
        <x:v>221.488</x:v>
      </x:c>
      <x:c r="G16" s="54">
        <x:v>220.922</x:v>
      </x:c>
      <x:c r="H16" s="13" t="n">
        <x:f>C16*(1+J16)*(1+H119)</x:f>
        <x:v>220.60767945</x:v>
      </x:c>
      <x:c r="I16" s="1"/>
      <x:c r="J16" s="57">
        <x:v>0.01</x:v>
      </x:c>
      <x:c r="K16" s="1"/>
    </x:row>
    <x:row r="17">
      <x:c r="B17" s="1"/>
      <x:c r="C17" s="2"/>
      <x:c r="D17" s="2"/>
      <x:c r="E17" s="2"/>
      <x:c r="F17" s="2"/>
      <x:c r="G17" s="2"/>
      <x:c r="H17" s="13"/>
      <x:c r="I17" s="1"/>
      <x:c r="J17" s="37">
        <x:v>0</x:v>
      </x:c>
      <x:c r="K17" s="1" t="s">
        <x:v>312</x:v>
      </x:c>
    </x:row>
    <x:row r="18">
      <x:c r="B18" s="61" t="s">
        <x:v>313</x:v>
      </x:c>
      <x:c r="C18" s="56">
        <x:v>2483.253</x:v>
      </x:c>
      <x:c r="D18" s="56">
        <x:v>2552.925</x:v>
      </x:c>
      <x:c r="E18" s="56">
        <x:v>9825.771</x:v>
      </x:c>
      <x:c r="F18" s="56">
        <x:v>2500.391</x:v>
      </x:c>
      <x:c r="G18" s="56">
        <x:v>2462.473</x:v>
      </x:c>
      <x:c r="H18" s="63" t="n">
        <x:f>SUM(H11:H16)</x:f>
        <x:v>2479.4804082299997</x:v>
      </x:c>
      <x:c r="I18" s="1" t="s">
        <x:v>314</x:v>
      </x:c>
      <x:c r="J18" s="37">
        <x:v>0</x:v>
      </x:c>
      <x:c r="K18" s="1"/>
    </x:row>
    <x:row r="19">
      <x:c r="B19" s="1"/>
      <x:c r="C19" s="2"/>
      <x:c r="D19" s="2"/>
      <x:c r="E19" s="2"/>
      <x:c r="F19" s="2"/>
      <x:c r="G19" s="2"/>
      <x:c r="H19" s="13"/>
      <x:c r="I19" s="1"/>
      <x:c r="J19" s="1"/>
      <x:c r="K19" s="1"/>
    </x:row>
    <x:row r="20">
      <x:c r="B20" s="1" t="s">
        <x:v>97</x:v>
      </x:c>
      <x:c r="C20" s="54">
        <x:v>1628.246</x:v>
      </x:c>
      <x:c r="D20" s="54">
        <x:v>1676.968</x:v>
      </x:c>
      <x:c r="E20" s="54">
        <x:v>6390.76</x:v>
      </x:c>
      <x:c r="F20" s="54">
        <x:v>1650.734</x:v>
      </x:c>
      <x:c r="G20" s="54">
        <x:v>1639.124</x:v>
      </x:c>
      <x:c r="H20" s="13" t="n">
        <x:f>SUM(H11:H16)*(1-H109)</x:f>
        <x:v>1643.89551065649</x:v>
      </x:c>
      <x:c r="I20" s="1"/>
      <x:c r="J20" s="1"/>
      <x:c r="K20" s="1"/>
    </x:row>
    <x:row r="21" ht="32" customHeight="1">
      <x:c r="B21" s="89" t="s">
        <x:v>315</x:v>
      </x:c>
      <x:c r="C21" s="54">
        <x:v>708.023</x:v>
      </x:c>
      <x:c r="D21" s="54">
        <x:v>730.61</x:v>
      </x:c>
      <x:c r="E21" s="54">
        <x:v>2825.468</x:v>
      </x:c>
      <x:c r="F21" s="54">
        <x:v>731.098</x:v>
      </x:c>
      <x:c r="G21" s="54">
        <x:v>727.928</x:v>
      </x:c>
      <x:c r="H21" s="13" t="n">
        <x:f>SUM(H11:H16)-H20-(H120-SUM(H124:H127))</x:f>
        <x:v>708.5848975735098</x:v>
      </x:c>
      <x:c r="I21" s="1"/>
      <x:c r="J21" s="1"/>
      <x:c r="K21" s="1"/>
    </x:row>
    <x:row r="22">
      <x:c r="B22" s="1" t="s">
        <x:v>102</x:v>
      </x:c>
      <x:c r="C22" s="54">
        <x:v>0</x:v>
      </x:c>
      <x:c r="D22" s="54">
        <x:v>1527.726</x:v>
      </x:c>
      <x:c r="E22" s="54">
        <x:v>1527.726</x:v>
      </x:c>
      <x:c r="F22" s="54">
        <x:v>0</x:v>
      </x:c>
      <x:c r="G22" s="54">
        <x:v>0</x:v>
      </x:c>
      <x:c r="H22" s="62">
        <x:v>0</x:v>
      </x:c>
      <x:c r="I22" s="1"/>
      <x:c r="J22" s="1"/>
      <x:c r="K22" s="1"/>
    </x:row>
    <x:row r="23">
      <x:c r="B23" s="1" t="s">
        <x:v>316</x:v>
      </x:c>
      <x:c r="C23" s="54">
        <x:v>72.014</x:v>
      </x:c>
      <x:c r="D23" s="54">
        <x:v>69.935</x:v>
      </x:c>
      <x:c r="E23" s="54">
        <x:v>290.349</x:v>
      </x:c>
      <x:c r="F23" s="54">
        <x:v>75.317</x:v>
      </x:c>
      <x:c r="G23" s="54">
        <x:v>68.074</x:v>
      </x:c>
      <x:c r="H23" s="13" t="n">
        <x:f>H121</x:f>
        <x:v>66.5</x:v>
      </x:c>
      <x:c r="I23" s="1"/>
      <x:c r="J23" s="1"/>
      <x:c r="K23" s="1"/>
    </x:row>
    <x:row r="24">
      <x:c r="B24" s="1" t="s">
        <x:v>317</x:v>
      </x:c>
      <x:c r="C24" s="54">
        <x:v>-36.474</x:v>
      </x:c>
      <x:c r="D24" s="54">
        <x:v>-6.135</x:v>
      </x:c>
      <x:c r="E24" s="54">
        <x:v>-26.31</x:v>
      </x:c>
      <x:c r="F24" s="54">
        <x:v>14.511</x:v>
      </x:c>
      <x:c r="G24" s="54">
        <x:v>-42.128</x:v>
      </x:c>
      <x:c r="H24" s="13" t="n">
        <x:f>-H122</x:f>
        <x:v>-7</x:v>
      </x:c>
      <x:c r="I24" s="1"/>
      <x:c r="J24" s="1"/>
      <x:c r="K24" s="1"/>
    </x:row>
    <x:row r="25">
      <x:c r="B25" s="1" t="s">
        <x:v>318</x:v>
      </x:c>
      <x:c r="C25" s="54">
        <x:v>23.334</x:v>
      </x:c>
      <x:c r="D25" s="54">
        <x:v>33.205</x:v>
      </x:c>
      <x:c r="E25" s="54">
        <x:v>96.702</x:v>
      </x:c>
      <x:c r="F25" s="54">
        <x:v>7.142</x:v>
      </x:c>
      <x:c r="G25" s="54">
        <x:v>14.199</x:v>
      </x:c>
      <x:c r="H25" s="13" t="n">
        <x:f>(SUM(H11:H16)-H20-H21-H22-H23-H24)*H123</x:f>
        <x:v>16.875</x:v>
      </x:c>
      <x:c r="I25" s="1"/>
      <x:c r="J25" s="1"/>
      <x:c r="K25" s="1"/>
    </x:row>
    <x:row r="26">
      <x:c r="B26" s="61" t="s">
        <x:v>319</x:v>
      </x:c>
      <x:c r="C26" s="56">
        <x:v>88.11</x:v>
      </x:c>
      <x:c r="D26" s="56">
        <x:v>-1479.384</x:v>
      </x:c>
      <x:c r="E26" s="56">
        <x:v>-1278.924</x:v>
      </x:c>
      <x:c r="F26" s="56">
        <x:v>21.589</x:v>
      </x:c>
      <x:c r="G26" s="56">
        <x:v>55.276</x:v>
      </x:c>
      <x:c r="H26" s="63"/>
      <x:c r="I26" s="1"/>
      <x:c r="J26" s="1"/>
      <x:c r="K26" s="1"/>
    </x:row>
    <x:row r="27">
      <x:c r="B27" s="1" t="s">
        <x:v>320</x:v>
      </x:c>
      <x:c r="C27" s="12" t="n">
        <x:f>F134</x:f>
        <x:v>1.34</x:v>
      </x:c>
      <x:c r="D27" s="12" t="n">
        <x:f>F135</x:f>
        <x:v>-23.85</x:v>
      </x:c>
      <x:c r="E27" s="69">
        <x:v>-20.36</x:v>
      </x:c>
      <x:c r="F27" s="12" t="n">
        <x:f>F136</x:f>
        <x:v>0.33</x:v>
      </x:c>
      <x:c r="G27" s="12" t="n">
        <x:f>F137</x:f>
        <x:v>0.86</x:v>
      </x:c>
      <x:c r="H27" s="25"/>
      <x:c r="I27" s="1"/>
      <x:c r="J27" s="1"/>
      <x:c r="K27" s="1"/>
    </x:row>
    <x:row r="28">
      <x:c r="B28" s="1" t="s">
        <x:v>321</x:v>
      </x:c>
      <x:c r="C28" s="12" t="n">
        <x:f>D134</x:f>
        <x:v>2.78</x:v>
      </x:c>
      <x:c r="D28" s="12" t="n">
        <x:f>D135</x:f>
        <x:v>2.95</x:v>
      </x:c>
      <x:c r="E28" s="69">
        <x:v>11.22</x:v>
      </x:c>
      <x:c r="F28" s="12" t="n">
        <x:f>D136</x:f>
        <x:v>2.61</x:v>
      </x:c>
      <x:c r="G28" s="12" t="n">
        <x:f>D137</x:f>
        <x:v>2.63</x:v>
      </x:c>
      <x:c r="H28" s="25"/>
      <x:c r="I28" s="1"/>
      <x:c r="J28" s="1"/>
      <x:c r="K28" s="1"/>
    </x:row>
    <x:row r="29" ht="32" customHeight="1">
      <x:c r="B29" s="89" t="s">
        <x:v>322</x:v>
      </x:c>
      <x:c r="C29" s="2"/>
      <x:c r="D29" s="2"/>
      <x:c r="E29" s="2"/>
      <x:c r="F29" s="2"/>
      <x:c r="G29" s="2"/>
      <x:c r="H29" s="13"/>
      <x:c r="I29" s="1"/>
      <x:c r="J29" s="1"/>
      <x:c r="K29" s="1"/>
    </x:row>
    <x:row r="30">
      <x:c r="B30" s="1" t="s">
        <x:v>323</x:v>
      </x:c>
      <x:c r="C30" s="54">
        <x:v>664.829</x:v>
      </x:c>
      <x:c r="D30" s="54">
        <x:v>685.841</x:v>
      </x:c>
      <x:c r="E30" s="54">
        <x:v>2674.04</x:v>
      </x:c>
      <x:c r="F30" s="54">
        <x:v>657.692</x:v>
      </x:c>
      <x:c r="G30" s="54">
        <x:v>662.719</x:v>
      </x:c>
      <x:c r="H30" s="13"/>
      <x:c r="I30" s="1"/>
      <x:c r="J30" s="1"/>
      <x:c r="K30" s="1"/>
    </x:row>
    <x:row r="31">
      <x:c r="B31" s="1" t="s">
        <x:v>324</x:v>
      </x:c>
      <x:c r="C31" s="54">
        <x:v>593.736</x:v>
      </x:c>
      <x:c r="D31" s="54">
        <x:v>616.337</x:v>
      </x:c>
      <x:c r="E31" s="54">
        <x:v>2361.866</x:v>
      </x:c>
      <x:c r="F31" s="54">
        <x:v>583.898</x:v>
      </x:c>
      <x:c r="G31" s="54">
        <x:v>583.782</x:v>
      </x:c>
      <x:c r="H31" s="13"/>
      <x:c r="I31" s="1"/>
      <x:c r="J31" s="1"/>
      <x:c r="K31" s="1"/>
    </x:row>
    <x:row r="32">
      <x:c r="B32" s="1" t="s">
        <x:v>325</x:v>
      </x:c>
      <x:c r="C32" s="54">
        <x:v>380.508</x:v>
      </x:c>
      <x:c r="D32" s="54">
        <x:v>385.996</x:v>
      </x:c>
      <x:c r="E32" s="54">
        <x:v>1527.922</x:v>
      </x:c>
      <x:c r="F32" s="54">
        <x:v>371</x:v>
      </x:c>
      <x:c r="G32" s="54">
        <x:v>392.963</x:v>
      </x:c>
      <x:c r="H32" s="13"/>
      <x:c r="I32" s="1"/>
      <x:c r="J32" s="1"/>
      <x:c r="K32" s="1"/>
    </x:row>
    <x:row r="33" ht="32" customHeight="1">
      <x:c r="B33" s="89" t="s">
        <x:v>326</x:v>
      </x:c>
      <x:c r="C33" s="54">
        <x:v>352.471</x:v>
      </x:c>
      <x:c r="D33" s="54">
        <x:v>360.025</x:v>
      </x:c>
      <x:c r="E33" s="54">
        <x:v>1455.641</x:v>
      </x:c>
      <x:c r="F33" s="54">
        <x:v>365.193</x:v>
      </x:c>
      <x:c r="G33" s="54">
        <x:v>384.015</x:v>
      </x:c>
      <x:c r="H33" s="13"/>
      <x:c r="I33" s="1"/>
      <x:c r="J33" s="1"/>
      <x:c r="K33" s="1"/>
    </x:row>
    <x:row r="34">
      <x:c r="B34" s="1" t="s">
        <x:v>327</x:v>
      </x:c>
      <x:c r="C34" s="54">
        <x:v>172.4</x:v>
      </x:c>
      <x:c r="D34" s="54">
        <x:v>187.227</x:v>
      </x:c>
      <x:c r="E34" s="54">
        <x:v>727.389</x:v>
      </x:c>
      <x:c r="F34" s="54">
        <x:v>189.805</x:v>
      </x:c>
      <x:c r="G34" s="54">
        <x:v>176.386</x:v>
      </x:c>
      <x:c r="H34" s="13"/>
      <x:c r="I34" s="1"/>
      <x:c r="J34" s="1"/>
      <x:c r="K34" s="1"/>
    </x:row>
    <x:row r="35">
      <x:c r="B35" s="1" t="s">
        <x:v>328</x:v>
      </x:c>
      <x:c r="C35" s="54">
        <x:v>223.468</x:v>
      </x:c>
      <x:c r="D35" s="54">
        <x:v>212.598</x:v>
      </x:c>
      <x:c r="E35" s="54">
        <x:v>872.042</x:v>
      </x:c>
      <x:c r="F35" s="54">
        <x:v>204.634</x:v>
      </x:c>
      <x:c r="G35" s="54">
        <x:v>217.506</x:v>
      </x:c>
      <x:c r="H35" s="13"/>
      <x:c r="I35" s="1"/>
      <x:c r="J35" s="1"/>
      <x:c r="K35" s="1"/>
    </x:row>
    <x:row r="36">
      <x:c r="B36" s="1"/>
      <x:c r="C36" s="2"/>
      <x:c r="D36" s="2"/>
      <x:c r="E36" s="2"/>
      <x:c r="F36" s="2"/>
      <x:c r="G36" s="2"/>
      <x:c r="H36" s="13"/>
      <x:c r="I36" s="1"/>
      <x:c r="J36" s="1"/>
      <x:c r="K36" s="1"/>
    </x:row>
    <x:row r="37">
      <x:c r="B37" s="1" t="s">
        <x:v>329</x:v>
      </x:c>
      <x:c r="C37" s="54">
        <x:v>2387.412</x:v>
      </x:c>
      <x:c r="D37" s="54">
        <x:v>2448.024</x:v>
      </x:c>
      <x:c r="E37" s="54">
        <x:v>9618.9</x:v>
      </x:c>
      <x:c r="F37" s="54">
        <x:v>2372.222</x:v>
      </x:c>
      <x:c r="G37" s="54">
        <x:v>2417.371</x:v>
      </x:c>
      <x:c r="H37" s="13"/>
      <x:c r="I37" s="1"/>
      <x:c r="J37" s="1"/>
      <x:c r="K37" s="1"/>
    </x:row>
    <x:row r="38">
      <x:c r="B38" s="1"/>
      <x:c r="C38" s="2"/>
      <x:c r="D38" s="2"/>
      <x:c r="E38" s="2"/>
      <x:c r="F38" s="2"/>
      <x:c r="G38" s="2"/>
      <x:c r="H38" s="13"/>
      <x:c r="I38" s="1"/>
      <x:c r="J38" s="1"/>
      <x:c r="K38" s="1"/>
    </x:row>
    <x:row r="39" ht="32" customHeight="1">
      <x:c r="B39" s="89" t="s">
        <x:v>330</x:v>
      </x:c>
      <x:c r="C39" s="57">
        <x:v>0.014</x:v>
      </x:c>
      <x:c r="D39" s="57">
        <x:v>0.012</x:v>
      </x:c>
      <x:c r="E39" s="57">
        <x:v>0.001</x:v>
      </x:c>
      <x:c r="F39" s="57">
        <x:v>0.035</x:v>
      </x:c>
      <x:c r="G39" s="57">
        <x:v>0.013</x:v>
      </x:c>
      <x:c r="H39" s="66" t="n">
        <x:f>H119</x:f>
        <x:v>-0.0075</x:v>
      </x:c>
      <x:c r="I39" s="1"/>
      <x:c r="J39" s="1"/>
      <x:c r="K39" s="1"/>
    </x:row>
    <x:row r="40" ht="32" customHeight="1">
      <x:c r="B40" s="89" t="s">
        <x:v>331</x:v>
      </x:c>
      <x:c r="C40" s="14"/>
      <x:c r="D40" s="14"/>
      <x:c r="E40" s="57">
        <x:v>0.89</x:v>
      </x:c>
      <x:c r="F40" s="14"/>
      <x:c r="G40" s="14"/>
      <x:c r="H40" s="66"/>
      <x:c r="I40" s="1"/>
      <x:c r="J40" s="1"/>
      <x:c r="K40" s="1"/>
    </x:row>
    <x:row r="41">
      <x:c r="B41" s="1"/>
      <x:c r="C41" s="2"/>
      <x:c r="D41" s="2"/>
      <x:c r="E41" s="2"/>
      <x:c r="F41" s="2"/>
      <x:c r="G41" s="2"/>
      <x:c r="H41" s="13"/>
      <x:c r="I41" s="1"/>
      <x:c r="J41" s="1"/>
      <x:c r="K41" s="1"/>
    </x:row>
    <x:row r="42">
      <x:c r="B42" s="61" t="s">
        <x:v>332</x:v>
      </x:c>
      <x:c r="C42" s="56">
        <x:v>183.231</x:v>
      </x:c>
      <x:c r="D42" s="56">
        <x:v>192.433</x:v>
      </x:c>
      <x:c r="E42" s="56">
        <x:v>743.411</x:v>
      </x:c>
      <x:c r="F42" s="56">
        <x:v>168.154</x:v>
      </x:c>
      <x:c r="G42" s="56">
        <x:v>168.57</x:v>
      </x:c>
      <x:c r="H42" s="63"/>
      <x:c r="I42" s="1"/>
      <x:c r="J42" s="1"/>
      <x:c r="K42" s="1"/>
    </x:row>
    <x:row r="43">
      <x:c r="B43" s="1"/>
      <x:c r="C43" s="2"/>
      <x:c r="D43" s="2"/>
      <x:c r="E43" s="2"/>
      <x:c r="F43" s="2"/>
      <x:c r="G43" s="2"/>
      <x:c r="H43" s="13"/>
      <x:c r="I43" s="1"/>
      <x:c r="J43" s="1"/>
      <x:c r="K43" s="1"/>
    </x:row>
    <x:row r="44" ht="32" customHeight="1">
      <x:c r="B44" s="89" t="s">
        <x:v>333</x:v>
      </x:c>
      <x:c r="C44" s="54">
        <x:v>174.468</x:v>
      </x:c>
      <x:c r="D44" s="54">
        <x:v>183.614</x:v>
      </x:c>
      <x:c r="E44" s="54">
        <x:v>707.968</x:v>
      </x:c>
      <x:c r="F44" s="54">
        <x:v>159.782</x:v>
      </x:c>
      <x:c r="G44" s="54">
        <x:v>160.199</x:v>
      </x:c>
      <x:c r="H44" s="13"/>
      <x:c r="I44" s="1"/>
      <x:c r="J44" s="1"/>
      <x:c r="K44" s="1"/>
    </x:row>
    <x:row r="45">
      <x:c r="B45" s="1" t="s">
        <x:v>334</x:v>
      </x:c>
      <x:c r="C45" s="54">
        <x:v>42.2</x:v>
      </x:c>
      <x:c r="D45" s="2" t="n">
        <x:f>E45-C46</x:f>
        <x:v>55.934</x:v>
      </x:c>
      <x:c r="E45" s="54">
        <x:v>168.708</x:v>
      </x:c>
      <x:c r="F45" s="54">
        <x:v>43.194</x:v>
      </x:c>
      <x:c r="G45" s="54">
        <x:v>0</x:v>
      </x:c>
      <x:c r="H45" s="13" t="n">
        <x:f>H114</x:f>
        <x:v>0</x:v>
      </x:c>
      <x:c r="I45" s="1"/>
      <x:c r="J45" s="1"/>
      <x:c r="K45" s="1"/>
    </x:row>
    <x:row r="46" ht="32" customHeight="1">
      <x:c r="B46" s="89" t="s">
        <x:v>335</x:v>
      </x:c>
      <x:c r="C46" s="54">
        <x:v>112.774</x:v>
      </x:c>
      <x:c r="D46" s="2"/>
      <x:c r="E46" s="2"/>
      <x:c r="F46" s="2"/>
      <x:c r="G46" s="2"/>
      <x:c r="H46" s="13"/>
      <x:c r="I46" s="1"/>
      <x:c r="J46" s="1"/>
      <x:c r="K46" s="1"/>
    </x:row>
    <x:row r="47">
      <x:c r="B47" s="1"/>
      <x:c r="C47" s="2"/>
      <x:c r="D47" s="2"/>
      <x:c r="E47" s="2"/>
      <x:c r="F47" s="2"/>
      <x:c r="G47" s="2"/>
      <x:c r="H47" s="13"/>
      <x:c r="I47" s="1"/>
      <x:c r="J47" s="1"/>
      <x:c r="K47" s="1"/>
    </x:row>
    <x:row r="48" ht="32" customHeight="1">
      <x:c r="B48" s="89" t="s">
        <x:v>336</x:v>
      </x:c>
      <x:c r="C48" s="54">
        <x:v>0.007</x:v>
      </x:c>
      <x:c r="D48" s="2" t="n">
        <x:f>C48</x:f>
        <x:v>0.007</x:v>
      </x:c>
      <x:c r="E48" s="2" t="n">
        <x:f>D48</x:f>
        <x:v>0.007</x:v>
      </x:c>
      <x:c r="F48" s="2" t="n">
        <x:f>D48</x:f>
        <x:v>0.007</x:v>
      </x:c>
      <x:c r="G48" s="2" t="n">
        <x:f>F48</x:f>
        <x:v>0.007</x:v>
      </x:c>
      <x:c r="H48" s="13" t="n">
        <x:f>G48</x:f>
        <x:v>0.007</x:v>
      </x:c>
      <x:c r="I48" s="1"/>
      <x:c r="J48" s="1"/>
      <x:c r="K48" s="1"/>
    </x:row>
    <x:row r="49" ht="32" customHeight="1">
      <x:c r="B49" s="89" t="str">
        <x:v>Legacy OCA balancing input (unused)</x:v>
      </x:c>
      <x:c r="C49" s="2"/>
      <x:c r="D49" s="2"/>
      <x:c r="E49" s="2"/>
      <x:c r="F49" s="2"/>
      <x:c r="G49" s="2"/>
      <x:c r="H49" s="62">
        <x:v>552.289</x:v>
      </x:c>
      <x:c r="I49" s="1"/>
      <x:c r="J49" s="1"/>
      <x:c r="K49" s="1"/>
    </x:row>
    <x:row r="50">
      <x:c r="B50" s="1" t="s">
        <x:v>141</x:v>
      </x:c>
      <x:c r="C50" s="54">
        <x:v>350.259</x:v>
      </x:c>
      <x:c r="D50" s="54">
        <x:v>327.347</x:v>
      </x:c>
      <x:c r="E50" s="2" t="n">
        <x:f>D50</x:f>
        <x:v>327.347</x:v>
      </x:c>
      <x:c r="F50" s="54">
        <x:v>222.699</x:v>
      </x:c>
      <x:c r="G50" s="54">
        <x:v>255.566</x:v>
      </x:c>
      <x:c r="H50" s="13"/>
      <x:c r="I50" s="1"/>
      <x:c r="J50" s="1"/>
      <x:c r="K50" s="1"/>
    </x:row>
    <x:row r="51">
      <x:c r="B51" s="1" t="s">
        <x:v>142</x:v>
      </x:c>
      <x:c r="C51" s="54">
        <x:v>2051.92</x:v>
      </x:c>
      <x:c r="D51" s="54">
        <x:v>1999.021</x:v>
      </x:c>
      <x:c r="E51" s="2" t="n">
        <x:f>D51</x:f>
        <x:v>1999.021</x:v>
      </x:c>
      <x:c r="F51" s="54">
        <x:v>2038.296</x:v>
      </x:c>
      <x:c r="G51" s="54">
        <x:v>1987.978</x:v>
      </x:c>
      <x:c r="H51" s="13"/>
      <x:c r="I51" s="1"/>
      <x:c r="J51" s="1"/>
      <x:c r="K51" s="1"/>
    </x:row>
    <x:row r="52">
      <x:c r="B52" s="1" t="s">
        <x:v>143</x:v>
      </x:c>
      <x:c r="C52" s="2"/>
      <x:c r="D52" s="2"/>
      <x:c r="E52" s="2" t="n">
        <x:f>D52</x:f>
        <x:v>0</x:v>
      </x:c>
      <x:c r="F52" s="54">
        <x:v>207.502</x:v>
      </x:c>
      <x:c r="G52" s="54">
        <x:v>202.738</x:v>
      </x:c>
      <x:c r="H52" s="13"/>
      <x:c r="I52" s="1"/>
      <x:c r="J52" s="1"/>
      <x:c r="K52" s="1"/>
    </x:row>
    <x:row r="53">
      <x:c r="B53" s="1" t="s">
        <x:v>144</x:v>
      </x:c>
      <x:c r="C53" s="54">
        <x:v>735.332</x:v>
      </x:c>
      <x:c r="D53" s="54">
        <x:v>758.135</x:v>
      </x:c>
      <x:c r="E53" s="2" t="n">
        <x:f>D53</x:f>
        <x:v>758.135</x:v>
      </x:c>
      <x:c r="F53" s="54">
        <x:v>572.718</x:v>
      </x:c>
      <x:c r="G53" s="54">
        <x:v>593.611</x:v>
      </x:c>
      <x:c r="H53" s="13"/>
      <x:c r="I53" s="1"/>
      <x:c r="J53" s="1"/>
      <x:c r="K53" s="1"/>
    </x:row>
    <x:row r="54">
      <x:c r="B54" s="1" t="s">
        <x:v>146</x:v>
      </x:c>
      <x:c r="C54" s="54">
        <x:v>733.306</x:v>
      </x:c>
      <x:c r="D54" s="54">
        <x:v>735.55</x:v>
      </x:c>
      <x:c r="E54" s="2" t="n">
        <x:f>D54</x:f>
        <x:v>735.55</x:v>
      </x:c>
      <x:c r="F54" s="54">
        <x:v>726.063</x:v>
      </x:c>
      <x:c r="G54" s="54">
        <x:v>709.829</x:v>
      </x:c>
      <x:c r="H54" s="13"/>
      <x:c r="I54" s="1"/>
      <x:c r="J54" s="1"/>
      <x:c r="K54" s="1"/>
    </x:row>
    <x:row r="55">
      <x:c r="B55" s="1" t="s">
        <x:v>147</x:v>
      </x:c>
      <x:c r="C55" s="54">
        <x:v>5191.565</x:v>
      </x:c>
      <x:c r="D55" s="54">
        <x:v>3671.746</x:v>
      </x:c>
      <x:c r="E55" s="2" t="n">
        <x:f>D55</x:f>
        <x:v>3671.746</x:v>
      </x:c>
      <x:c r="F55" s="54">
        <x:v>3696.052</x:v>
      </x:c>
      <x:c r="G55" s="54">
        <x:v>3653.49</x:v>
      </x:c>
      <x:c r="H55" s="13"/>
      <x:c r="I55" s="1"/>
      <x:c r="J55" s="1"/>
      <x:c r="K55" s="1"/>
    </x:row>
    <x:row r="56">
      <x:c r="B56" s="1" t="s">
        <x:v>148</x:v>
      </x:c>
      <x:c r="C56" s="54">
        <x:v>2079.278</x:v>
      </x:c>
      <x:c r="D56" s="54">
        <x:v>1960.338</x:v>
      </x:c>
      <x:c r="E56" s="2" t="n">
        <x:f>D56</x:f>
        <x:v>1960.338</x:v>
      </x:c>
      <x:c r="F56" s="54">
        <x:v>1867.038</x:v>
      </x:c>
      <x:c r="G56" s="54">
        <x:v>1749.909</x:v>
      </x:c>
      <x:c r="H56" s="13"/>
      <x:c r="I56" s="1"/>
      <x:c r="J56" s="1"/>
      <x:c r="K56" s="1"/>
    </x:row>
    <x:row r="57">
      <x:c r="B57" s="1" t="s">
        <x:v>149</x:v>
      </x:c>
      <x:c r="C57" s="54">
        <x:v>282.486</x:v>
      </x:c>
      <x:c r="D57" s="54">
        <x:v>317.453</x:v>
      </x:c>
      <x:c r="E57" s="2" t="n">
        <x:f>D57</x:f>
        <x:v>317.453</x:v>
      </x:c>
      <x:c r="F57" s="54">
        <x:v>314.044</x:v>
      </x:c>
      <x:c r="G57" s="54">
        <x:v>343.201</x:v>
      </x:c>
      <x:c r="H57" s="13"/>
      <x:c r="I57" s="1"/>
      <x:c r="J57" s="1"/>
      <x:c r="K57" s="1"/>
    </x:row>
    <x:row r="58">
      <x:c r="B58" s="1" t="s">
        <x:v>337</x:v>
      </x:c>
      <x:c r="C58" s="54">
        <x:v>985.953</x:v>
      </x:c>
      <x:c r="D58" s="54">
        <x:v>991.496</x:v>
      </x:c>
      <x:c r="E58" s="2" t="n">
        <x:f>D58</x:f>
        <x:v>991.496</x:v>
      </x:c>
      <x:c r="F58" s="54">
        <x:v>1030.21</x:v>
      </x:c>
      <x:c r="G58" s="54">
        <x:v>1016.525</x:v>
      </x:c>
      <x:c r="H58" s="13"/>
      <x:c r="I58" s="1"/>
      <x:c r="J58" s="1"/>
      <x:c r="K58" s="1"/>
    </x:row>
    <x:row r="59">
      <x:c r="B59" s="1" t="s">
        <x:v>152</x:v>
      </x:c>
      <x:c r="C59" s="54">
        <x:v>221.57</x:v>
      </x:c>
      <x:c r="D59" s="54">
        <x:v>244.771</x:v>
      </x:c>
      <x:c r="E59" s="2" t="n">
        <x:f>D59</x:f>
        <x:v>244.771</x:v>
      </x:c>
      <x:c r="F59" s="54">
        <x:v>202.424</x:v>
      </x:c>
      <x:c r="G59" s="54">
        <x:v>198.108</x:v>
      </x:c>
      <x:c r="H59" s="13"/>
      <x:c r="I59" s="1"/>
      <x:c r="J59" s="1"/>
      <x:c r="K59" s="1"/>
    </x:row>
    <x:row r="60">
      <x:c r="B60" s="1" t="s">
        <x:v>338</x:v>
      </x:c>
      <x:c r="C60" s="54">
        <x:v>37.5</x:v>
      </x:c>
      <x:c r="D60" s="54">
        <x:v>65.625</x:v>
      </x:c>
      <x:c r="E60" s="2" t="n">
        <x:f>D60</x:f>
        <x:v>65.625</x:v>
      </x:c>
      <x:c r="F60" s="54">
        <x:v>750</x:v>
      </x:c>
      <x:c r="G60" s="54">
        <x:v>650</x:v>
      </x:c>
      <x:c r="H60" s="13"/>
      <x:c r="I60" s="1"/>
      <x:c r="J60" s="1"/>
      <x:c r="K60" s="1"/>
    </x:row>
    <x:row r="61">
      <x:c r="B61" s="1" t="s">
        <x:v>339</x:v>
      </x:c>
      <x:c r="C61" s="54">
        <x:v>698.89</x:v>
      </x:c>
      <x:c r="D61" s="54">
        <x:v>764.962</x:v>
      </x:c>
      <x:c r="E61" s="2" t="n">
        <x:f>D61</x:f>
        <x:v>764.962</x:v>
      </x:c>
      <x:c r="F61" s="54">
        <x:v>622.039</x:v>
      </x:c>
      <x:c r="G61" s="54">
        <x:v>658.057</x:v>
      </x:c>
      <x:c r="H61" s="13"/>
      <x:c r="I61" s="1"/>
      <x:c r="J61" s="1"/>
      <x:c r="K61" s="1"/>
    </x:row>
    <x:row r="62">
      <x:c r="B62" s="1" t="s">
        <x:v>155</x:v>
      </x:c>
      <x:c r="C62" s="54">
        <x:v>969.868</x:v>
      </x:c>
      <x:c r="D62" s="54">
        <x:v>997.198</x:v>
      </x:c>
      <x:c r="E62" s="2" t="n">
        <x:f>D62</x:f>
        <x:v>997.198</x:v>
      </x:c>
      <x:c r="F62" s="54">
        <x:v>736.782</x:v>
      </x:c>
      <x:c r="G62" s="54">
        <x:v>815.876</x:v>
      </x:c>
      <x:c r="H62" s="13"/>
      <x:c r="I62" s="1"/>
      <x:c r="J62" s="1"/>
      <x:c r="K62" s="1"/>
    </x:row>
    <x:row r="63">
      <x:c r="B63" s="1" t="s">
        <x:v>156</x:v>
      </x:c>
      <x:c r="C63" s="54">
        <x:v>81.355</x:v>
      </x:c>
      <x:c r="D63" s="54">
        <x:v>123.794</x:v>
      </x:c>
      <x:c r="E63" s="2" t="n">
        <x:f>D63</x:f>
        <x:v>123.794</x:v>
      </x:c>
      <x:c r="F63" s="54">
        <x:v>89.147</x:v>
      </x:c>
      <x:c r="G63" s="54">
        <x:v>85.078</x:v>
      </x:c>
      <x:c r="H63" s="13"/>
      <x:c r="I63" s="1"/>
      <x:c r="J63" s="1"/>
      <x:c r="K63" s="1"/>
    </x:row>
    <x:row r="64">
      <x:c r="B64" s="1" t="s">
        <x:v>157</x:v>
      </x:c>
      <x:c r="C64" s="2"/>
      <x:c r="D64" s="2"/>
      <x:c r="E64" s="2" t="n">
        <x:f>D64</x:f>
        <x:v>0</x:v>
      </x:c>
      <x:c r="F64" s="54">
        <x:v>174.941</x:v>
      </x:c>
      <x:c r="G64" s="54">
        <x:v>172.259</x:v>
      </x:c>
      <x:c r="H64" s="13"/>
      <x:c r="I64" s="1"/>
      <x:c r="J64" s="1"/>
      <x:c r="K64" s="1"/>
    </x:row>
    <x:row r="65">
      <x:c r="B65" s="1" t="s">
        <x:v>159</x:v>
      </x:c>
      <x:c r="C65" s="54">
        <x:v>4790.293</x:v>
      </x:c>
      <x:c r="D65" s="54">
        <x:v>4572.889</x:v>
      </x:c>
      <x:c r="E65" s="2" t="n">
        <x:f>D65</x:f>
        <x:v>4572.889</x:v>
      </x:c>
      <x:c r="F65" s="54">
        <x:v>3995.253</x:v>
      </x:c>
      <x:c r="G65" s="54">
        <x:v>3934.874</x:v>
      </x:c>
      <x:c r="H65" s="13"/>
      <x:c r="I65" s="1"/>
      <x:c r="J65" s="1"/>
      <x:c r="K65" s="1"/>
    </x:row>
    <x:row r="66">
      <x:c r="B66" s="1" t="s">
        <x:v>160</x:v>
      </x:c>
      <x:c r="C66" s="54">
        <x:v>964.086</x:v>
      </x:c>
      <x:c r="D66" s="54">
        <x:v>950.983</x:v>
      </x:c>
      <x:c r="E66" s="2" t="n">
        <x:f>D66</x:f>
        <x:v>950.983</x:v>
      </x:c>
      <x:c r="F66" s="54">
        <x:v>1014.676</x:v>
      </x:c>
      <x:c r="G66" s="54">
        <x:v>1011.706</x:v>
      </x:c>
      <x:c r="H66" s="13"/>
      <x:c r="I66" s="1"/>
      <x:c r="J66" s="1"/>
      <x:c r="K66" s="1"/>
    </x:row>
    <x:row r="67">
      <x:c r="B67" s="1" t="s">
        <x:v>161</x:v>
      </x:c>
      <x:c r="C67" s="54">
        <x:v>302.408</x:v>
      </x:c>
      <x:c r="D67" s="54">
        <x:v>296.519</x:v>
      </x:c>
      <x:c r="E67" s="2" t="n">
        <x:f>D67</x:f>
        <x:v>296.519</x:v>
      </x:c>
      <x:c r="F67" s="54">
        <x:v>300.946</x:v>
      </x:c>
      <x:c r="G67" s="54">
        <x:v>285.603</x:v>
      </x:c>
      <x:c r="H67" s="13"/>
      <x:c r="I67" s="1"/>
      <x:c r="J67" s="1"/>
      <x:c r="K67" s="1"/>
    </x:row>
    <x:row r="68">
      <x:c r="B68" s="1" t="s">
        <x:v>164</x:v>
      </x:c>
      <x:c r="C68" s="54">
        <x:v>3765.512</x:v>
      </x:c>
      <x:c r="D68" s="54">
        <x:v>3783.972</x:v>
      </x:c>
      <x:c r="E68" s="2" t="n">
        <x:f>D68</x:f>
        <x:v>3783.972</x:v>
      </x:c>
      <x:c r="F68" s="54">
        <x:v>3814.078</x:v>
      </x:c>
      <x:c r="G68" s="54">
        <x:v>3838.082</x:v>
      </x:c>
      <x:c r="H68" s="13"/>
      <x:c r="I68" s="1"/>
      <x:c r="J68" s="1"/>
      <x:c r="K68" s="1"/>
    </x:row>
    <x:row r="69">
      <x:c r="B69" s="1" t="s">
        <x:v>165</x:v>
      </x:c>
      <x:c r="C69" s="54">
        <x:v>-537.966</x:v>
      </x:c>
      <x:c r="D69" s="54">
        <x:v>-610.162</x:v>
      </x:c>
      <x:c r="E69" s="2" t="n">
        <x:f>D69</x:f>
        <x:v>-610.162</x:v>
      </x:c>
      <x:c r="F69" s="54">
        <x:v>-656.047</x:v>
      </x:c>
      <x:c r="G69" s="54">
        <x:v>-657.34</x:v>
      </x:c>
      <x:c r="H69" s="13"/>
      <x:c r="I69" s="1"/>
      <x:c r="J69" s="1"/>
      <x:c r="K69" s="1"/>
    </x:row>
    <x:row r="70">
      <x:c r="B70" s="1" t="s">
        <x:v>340</x:v>
      </x:c>
      <x:c r="C70" s="54">
        <x:v>1325.693</x:v>
      </x:c>
      <x:c r="D70" s="54">
        <x:v>-177.01</x:v>
      </x:c>
      <x:c r="E70" s="2" t="n">
        <x:f>D70</x:f>
        <x:v>-177.01</x:v>
      </x:c>
      <x:c r="F70" s="54">
        <x:v>-178.645</x:v>
      </x:c>
      <x:c r="G70" s="54">
        <x:v>-146.518</x:v>
      </x:c>
      <x:c r="H70" s="13"/>
      <x:c r="I70" s="1"/>
      <x:c r="J70" s="1"/>
      <x:c r="K70" s="1"/>
    </x:row>
    <x:row r="71">
      <x:c r="B71" s="1" t="s">
        <x:v>167</x:v>
      </x:c>
      <x:c r="C71" s="54">
        <x:v>-209.117</x:v>
      </x:c>
      <x:c r="D71" s="54">
        <x:v>-252.462</x:v>
      </x:c>
      <x:c r="E71" s="2" t="n">
        <x:f>D71</x:f>
        <x:v>-252.462</x:v>
      </x:c>
      <x:c r="F71" s="54">
        <x:v>-190.979</x:v>
      </x:c>
      <x:c r="G71" s="54">
        <x:v>-332.945</x:v>
      </x:c>
      <x:c r="H71" s="13"/>
      <x:c r="I71" s="1"/>
      <x:c r="J71" s="1"/>
      <x:c r="K71" s="1"/>
    </x:row>
    <x:row r="72">
      <x:c r="B72" s="61" t="s">
        <x:v>341</x:v>
      </x:c>
      <x:c r="C72" s="56">
        <x:v>12410.099</x:v>
      </x:c>
      <x:c r="D72" s="56">
        <x:v>10761.086</x:v>
      </x:c>
      <x:c r="E72" s="64" t="n">
        <x:f>D72</x:f>
        <x:v>10761.086</x:v>
      </x:c>
      <x:c r="F72" s="56">
        <x:v>10674.622</x:v>
      </x:c>
      <x:c r="G72" s="56">
        <x:v>10512.847</x:v>
      </x:c>
      <x:c r="H72" s="63"/>
      <x:c r="I72" s="1"/>
      <x:c r="J72" s="1"/>
      <x:c r="K72" s="1"/>
    </x:row>
    <x:row r="73">
      <x:c r="B73" s="61" t="s">
        <x:v>342</x:v>
      </x:c>
      <x:c r="C73" s="56">
        <x:v>8065.97</x:v>
      </x:c>
      <x:c r="D73" s="56">
        <x:v>8016.741</x:v>
      </x:c>
      <x:c r="E73" s="64" t="n">
        <x:f>D73</x:f>
        <x:v>8016.741</x:v>
      </x:c>
      <x:c r="F73" s="56">
        <x:v>7886.208</x:v>
      </x:c>
      <x:c r="G73" s="56">
        <x:v>7811.561</x:v>
      </x:c>
      <x:c r="H73" s="63"/>
      <x:c r="I73" s="1"/>
      <x:c r="J73" s="1"/>
      <x:c r="K73" s="1"/>
    </x:row>
    <x:row r="74">
      <x:c r="B74" s="61" t="s">
        <x:v>343</x:v>
      </x:c>
      <x:c r="C74" s="56">
        <x:v>4344.129</x:v>
      </x:c>
      <x:c r="D74" s="56">
        <x:v>2744.345</x:v>
      </x:c>
      <x:c r="E74" s="64" t="n">
        <x:f>D74</x:f>
        <x:v>2744.345</x:v>
      </x:c>
      <x:c r="F74" s="56">
        <x:v>2788.414</x:v>
      </x:c>
      <x:c r="G74" s="56">
        <x:v>2701.286</x:v>
      </x:c>
      <x:c r="H74" s="63"/>
      <x:c r="I74" s="1"/>
      <x:c r="J74" s="1"/>
      <x:c r="K74" s="1"/>
    </x:row>
    <x:row r="75">
      <x:c r="B75" s="1" t="s">
        <x:v>344</x:v>
      </x:c>
      <x:c r="C75" s="54">
        <x:v>18.619</x:v>
      </x:c>
      <x:c r="D75" s="54">
        <x:v>48.017</x:v>
      </x:c>
      <x:c r="E75" s="54">
        <x:v>101.468</x:v>
      </x:c>
      <x:c r="F75" s="54">
        <x:v>34.869</x:v>
      </x:c>
      <x:c r="G75" s="54">
        <x:v>65.505</x:v>
      </x:c>
      <x:c r="H75" s="13" t="n">
        <x:f>H124</x:f>
        <x:v>45</x:v>
      </x:c>
      <x:c r="I75" s="1"/>
      <x:c r="J75" s="1"/>
      <x:c r="K75" s="1"/>
    </x:row>
    <x:row r="76">
      <x:c r="B76" s="1" t="s">
        <x:v>115</x:v>
      </x:c>
      <x:c r="C76" s="54">
        <x:v>111.779</x:v>
      </x:c>
      <x:c r="D76" s="54">
        <x:v>107.776</x:v>
      </x:c>
      <x:c r="E76" s="54">
        <x:v>434.332</x:v>
      </x:c>
      <x:c r="F76" s="54">
        <x:v>103.456</x:v>
      </x:c>
      <x:c r="G76" s="54">
        <x:v>102.057</x:v>
      </x:c>
      <x:c r="H76" s="13" t="n">
        <x:f>H125</x:f>
        <x:v>102.5</x:v>
      </x:c>
      <x:c r="I76" s="1"/>
      <x:c r="J76" s="1"/>
      <x:c r="K76" s="1"/>
    </x:row>
    <x:row r="77">
      <x:c r="B77" s="1" t="s">
        <x:v>116</x:v>
      </x:c>
      <x:c r="C77" s="54">
        <x:v>25.042</x:v>
      </x:c>
      <x:c r="D77" s="54">
        <x:v>19.371</x:v>
      </x:c>
      <x:c r="E77" s="54">
        <x:v>97.875</x:v>
      </x:c>
      <x:c r="F77" s="54">
        <x:v>29.455</x:v>
      </x:c>
      <x:c r="G77" s="54">
        <x:v>25.367</x:v>
      </x:c>
      <x:c r="H77" s="13" t="n">
        <x:f>H126</x:f>
        <x:v>23.8</x:v>
      </x:c>
      <x:c r="I77" s="1"/>
      <x:c r="J77" s="1"/>
      <x:c r="K77" s="1"/>
    </x:row>
    <x:row r="78">
      <x:c r="B78" s="1" t="s">
        <x:v>117</x:v>
      </x:c>
      <x:c r="C78" s="54">
        <x:v>2.704</x:v>
      </x:c>
      <x:c r="D78" s="54">
        <x:v>2.71</x:v>
      </x:c>
      <x:c r="E78" s="54">
        <x:v>10.326</x:v>
      </x:c>
      <x:c r="F78" s="54">
        <x:v>2.755</x:v>
      </x:c>
      <x:c r="G78" s="54">
        <x:v>2.701</x:v>
      </x:c>
      <x:c r="H78" s="13" t="n">
        <x:f>H127</x:f>
        <x:v>2.8</x:v>
      </x:c>
      <x:c r="I78" s="1"/>
      <x:c r="J78" s="1"/>
      <x:c r="K78" s="1"/>
    </x:row>
    <x:row r="79">
      <x:c r="B79" s="1" t="s">
        <x:v>102</x:v>
      </x:c>
      <x:c r="C79" s="54">
        <x:v>0</x:v>
      </x:c>
      <x:c r="D79" s="54">
        <x:v>1527.726</x:v>
      </x:c>
      <x:c r="E79" s="54">
        <x:v>1527.726</x:v>
      </x:c>
      <x:c r="F79" s="54">
        <x:v>0</x:v>
      </x:c>
      <x:c r="G79" s="54">
        <x:v>0</x:v>
      </x:c>
      <x:c r="H79" s="13" t="n">
        <x:f>H22</x:f>
        <x:v>0</x:v>
      </x:c>
      <x:c r="I79" s="1"/>
      <x:c r="J79" s="1"/>
      <x:c r="K79" s="1"/>
    </x:row>
    <x:row r="80">
      <x:c r="B80" s="1" t="s">
        <x:v>119</x:v>
      </x:c>
      <x:c r="C80" s="54">
        <x:v>0</x:v>
      </x:c>
      <x:c r="D80" s="54">
        <x:v>0.221</x:v>
      </x:c>
      <x:c r="E80" s="54">
        <x:v>1.323</x:v>
      </x:c>
      <x:c r="F80" s="54">
        <x:v>6.268</x:v>
      </x:c>
      <x:c r="G80" s="54">
        <x:v>0</x:v>
      </x:c>
      <x:c r="H80" s="13" t="n">
        <x:f>J18</x:f>
        <x:v>0</x:v>
      </x:c>
      <x:c r="I80" s="1"/>
      <x:c r="J80" s="1"/>
      <x:c r="K80" s="1"/>
    </x:row>
    <x:row r="81">
      <x:c r="B81" s="1" t="s">
        <x:v>120</x:v>
      </x:c>
      <x:c r="C81" s="54">
        <x:v>4.739</x:v>
      </x:c>
      <x:c r="D81" s="54">
        <x:v>1.149</x:v>
      </x:c>
      <x:c r="E81" s="54">
        <x:v>14.577</x:v>
      </x:c>
      <x:c r="F81" s="54">
        <x:v>0</x:v>
      </x:c>
      <x:c r="G81" s="54">
        <x:v>0</x:v>
      </x:c>
      <x:c r="H81" s="13" t="n">
        <x:f>J18</x:f>
        <x:v>0</x:v>
      </x:c>
      <x:c r="I81" s="1"/>
      <x:c r="J81" s="1"/>
      <x:c r="K81" s="1"/>
    </x:row>
    <x:row r="82">
      <x:c r="B82" s="1" t="s">
        <x:v>121</x:v>
      </x:c>
      <x:c r="C82" s="54">
        <x:v>0</x:v>
      </x:c>
      <x:c r="D82" s="54">
        <x:v>0</x:v>
      </x:c>
      <x:c r="E82" s="54">
        <x:v>2</x:v>
      </x:c>
      <x:c r="F82" s="54">
        <x:v>0</x:v>
      </x:c>
      <x:c r="G82" s="54">
        <x:v>0</x:v>
      </x:c>
      <x:c r="H82" s="13" t="n">
        <x:f>J18</x:f>
        <x:v>0</x:v>
      </x:c>
      <x:c r="I82" s="1"/>
      <x:c r="J82" s="1"/>
      <x:c r="K82" s="1"/>
    </x:row>
    <x:row r="83">
      <x:c r="B83" s="1" t="s">
        <x:v>345</x:v>
      </x:c>
      <x:c r="C83" s="54">
        <x:v>-2.417</x:v>
      </x:c>
      <x:c r="D83" s="54">
        <x:v>-6.208</x:v>
      </x:c>
      <x:c r="E83" s="54">
        <x:v>-1.958</x:v>
      </x:c>
      <x:c r="F83" s="54">
        <x:v>-0.416</x:v>
      </x:c>
      <x:c r="G83" s="54">
        <x:v>-0.529</x:v>
      </x:c>
      <x:c r="H83" s="13" t="n">
        <x:f>J18</x:f>
        <x:v>0</x:v>
      </x:c>
      <x:c r="I83" s="1"/>
      <x:c r="J83" s="1"/>
      <x:c r="K83" s="1"/>
    </x:row>
    <x:row r="84">
      <x:c r="B84" s="1" t="s">
        <x:v>123</x:v>
      </x:c>
      <x:c r="C84" s="54">
        <x:v>-35.531</x:v>
      </x:c>
      <x:c r="D84" s="54">
        <x:v>-0.038</x:v>
      </x:c>
      <x:c r="E84" s="54">
        <x:v>-28.959</x:v>
      </x:c>
      <x:c r="F84" s="54">
        <x:v>12.306</x:v>
      </x:c>
      <x:c r="G84" s="54">
        <x:v>-44.965</x:v>
      </x:c>
      <x:c r="H84" s="13" t="n">
        <x:f>-H122</x:f>
        <x:v>-7</x:v>
      </x:c>
      <x:c r="I84" s="1"/>
      <x:c r="J84" s="1"/>
      <x:c r="K84" s="1"/>
    </x:row>
    <x:row r="85">
      <x:c r="B85" s="1" t="s">
        <x:v>124</x:v>
      </x:c>
      <x:c r="C85" s="54">
        <x:v>0</x:v>
      </x:c>
      <x:c r="D85" s="54">
        <x:v>0</x:v>
      </x:c>
      <x:c r="E85" s="54">
        <x:v>0</x:v>
      </x:c>
      <x:c r="F85" s="54">
        <x:v>5.929</x:v>
      </x:c>
      <x:c r="G85" s="54">
        <x:v>0.963</x:v>
      </x:c>
      <x:c r="H85" s="13" t="n">
        <x:f>J18</x:f>
        <x:v>0</x:v>
      </x:c>
      <x:c r="I85" s="1"/>
      <x:c r="J85" s="1"/>
      <x:c r="K85" s="1"/>
    </x:row>
    <x:row r="86">
      <x:c r="B86" s="1" t="s">
        <x:v>125</x:v>
      </x:c>
      <x:c r="C86" s="54">
        <x:v>-30.535</x:v>
      </x:c>
      <x:c r="D86" s="54">
        <x:v>-42.576</x:v>
      </x:c>
      <x:c r="E86" s="54">
        <x:v>-155.034</x:v>
      </x:c>
      <x:c r="F86" s="54">
        <x:v>-48.057</x:v>
      </x:c>
      <x:c r="G86" s="54">
        <x:v>-37.805</x:v>
      </x:c>
      <x:c r="H86" s="13" t="n">
        <x:f>-SUM(H75:H85)*H123</x:f>
        <x:v>-41.775000000000006</x:v>
      </x:c>
      <x:c r="I86" s="1"/>
      <x:c r="J86" s="1"/>
      <x:c r="K86" s="1"/>
    </x:row>
    <x:row r="87">
      <x:c r="B87" s="1" t="s">
        <x:v>346</x:v>
      </x:c>
      <x:c r="C87" s="54">
        <x:v>0.721</x:v>
      </x:c>
      <x:c r="D87" s="54">
        <x:v>0.709</x:v>
      </x:c>
      <x:c r="E87" s="54">
        <x:v>5.699</x:v>
      </x:c>
      <x:c r="F87" s="54">
        <x:v>0</x:v>
      </x:c>
      <x:c r="G87" s="54">
        <x:v>0</x:v>
      </x:c>
      <x:c r="H87" s="13" t="n">
        <x:f>J18</x:f>
        <x:v>0</x:v>
      </x:c>
      <x:c r="I87" s="1"/>
      <x:c r="J87" s="1"/>
      <x:c r="K87" s="1"/>
    </x:row>
    <x:row r="88">
      <x:c r="B88" s="1" t="s">
        <x:v>127</x:v>
      </x:c>
      <x:c r="C88" s="54">
        <x:v>0</x:v>
      </x:c>
      <x:c r="D88" s="54">
        <x:v>12.96</x:v>
      </x:c>
      <x:c r="E88" s="54">
        <x:v>12.96</x:v>
      </x:c>
      <x:c r="F88" s="54">
        <x:v>0</x:v>
      </x:c>
      <x:c r="G88" s="54">
        <x:v>0</x:v>
      </x:c>
      <x:c r="H88" s="13" t="n">
        <x:f>J18</x:f>
        <x:v>0</x:v>
      </x:c>
      <x:c r="I88" s="1"/>
      <x:c r="J88" s="1"/>
      <x:c r="K88" s="1"/>
    </x:row>
    <x:row r="89" ht="32" customHeight="1">
      <x:c r="B89" s="89" t="s">
        <x:v>347</x:v>
      </x:c>
      <x:c r="C89" s="2"/>
      <x:c r="D89" s="2"/>
      <x:c r="E89" s="2"/>
      <x:c r="F89" s="2"/>
      <x:c r="G89" s="2"/>
      <x:c r="H89" s="13"/>
      <x:c r="I89" s="1"/>
      <x:c r="J89" s="1"/>
      <x:c r="K89" s="1"/>
    </x:row>
    <x:row r="90">
      <x:c r="B90" s="1"/>
      <x:c r="C90" s="2"/>
      <x:c r="D90" s="2"/>
      <x:c r="E90" s="2"/>
      <x:c r="F90" s="2"/>
      <x:c r="G90" s="2"/>
      <x:c r="H90" s="13"/>
      <x:c r="I90" s="1"/>
      <x:c r="J90" s="1"/>
      <x:c r="K90" s="1"/>
    </x:row>
    <x:row r="91">
      <x:c r="B91" s="61" t="s">
        <x:v>348</x:v>
      </x:c>
      <x:c r="C91" s="56">
        <x:v>462.747</x:v>
      </x:c>
      <x:c r="D91" s="64"/>
      <x:c r="E91" s="56">
        <x:v>806.967</x:v>
      </x:c>
      <x:c r="F91" s="56">
        <x:v>-83.22</x:v>
      </x:c>
      <x:c r="G91" s="56">
        <x:v>174.671</x:v>
      </x:c>
      <x:c r="H91" s="71" t="n">
        <x:f>'Income Statement'!H23+H125+H126+H108+H106</x:f>
        <x:v>209.925</x:v>
      </x:c>
      <x:c r="I91" s="1"/>
      <x:c r="J91" s="1"/>
      <x:c r="K91" s="1"/>
    </x:row>
    <x:row r="92">
      <x:c r="B92" s="61" t="s">
        <x:v>349</x:v>
      </x:c>
      <x:c r="C92" s="56">
        <x:v>-172.127</x:v>
      </x:c>
      <x:c r="D92" s="64"/>
      <x:c r="E92" s="56">
        <x:v>-250.383</x:v>
      </x:c>
      <x:c r="F92" s="56">
        <x:v>-50.746</x:v>
      </x:c>
      <x:c r="G92" s="56">
        <x:v>-81.904</x:v>
      </x:c>
      <x:c r="H92" s="63" t="n">
        <x:f>H95</x:f>
        <x:v>-55</x:v>
      </x:c>
      <x:c r="I92" s="1"/>
      <x:c r="J92" s="1"/>
      <x:c r="K92" s="1"/>
    </x:row>
    <x:row r="93">
      <x:c r="B93" s="61" t="s">
        <x:v>350</x:v>
      </x:c>
      <x:c r="C93" s="56">
        <x:v>-211.444</x:v>
      </x:c>
      <x:c r="D93" s="64"/>
      <x:c r="E93" s="56">
        <x:v>-491.443</x:v>
      </x:c>
      <x:c r="F93" s="56">
        <x:v>18.503</x:v>
      </x:c>
      <x:c r="G93" s="56">
        <x:v>-175.365</x:v>
      </x:c>
      <x:c r="H93" s="63" t="n">
        <x:f>-SUM(H114,H115,H117)</x:f>
        <x:v>-90</x:v>
      </x:c>
      <x:c r="I93" s="1"/>
      <x:c r="J93" s="1"/>
      <x:c r="K93" s="1"/>
    </x:row>
    <x:row r="94">
      <x:c r="B94" s="61" t="s">
        <x:v>351</x:v>
      </x:c>
      <x:c r="C94" s="56">
        <x:v>29.706</x:v>
      </x:c>
      <x:c r="D94" s="64"/>
      <x:c r="E94" s="56">
        <x:v>26.382</x:v>
      </x:c>
      <x:c r="F94" s="56">
        <x:v>9.848</x:v>
      </x:c>
      <x:c r="G94" s="56">
        <x:v>2.956</x:v>
      </x:c>
      <x:c r="H94" s="68">
        <x:v>5</x:v>
      </x:c>
      <x:c r="I94" s="1"/>
      <x:c r="J94" s="1"/>
      <x:c r="K94" s="1"/>
    </x:row>
    <x:row r="95">
      <x:c r="B95" s="1" t="s">
        <x:v>352</x:v>
      </x:c>
      <x:c r="C95" s="54">
        <x:v>-171.464</x:v>
      </x:c>
      <x:c r="D95" s="2"/>
      <x:c r="E95" s="54">
        <x:v>-234.496</x:v>
      </x:c>
      <x:c r="F95" s="54">
        <x:v>-53.902</x:v>
      </x:c>
      <x:c r="G95" s="54">
        <x:v>-102.076</x:v>
      </x:c>
      <x:c r="H95" s="62">
        <x:v>-55</x:v>
      </x:c>
      <x:c r="I95" s="1"/>
      <x:c r="J95" s="1"/>
      <x:c r="K95" s="1"/>
    </x:row>
    <x:row r="96">
      <x:c r="B96" s="1"/>
      <x:c r="C96" s="2"/>
      <x:c r="D96" s="2"/>
      <x:c r="E96" s="2"/>
      <x:c r="F96" s="2"/>
      <x:c r="G96" s="2"/>
      <x:c r="H96" s="13"/>
      <x:c r="I96" s="1"/>
      <x:c r="J96" s="1"/>
      <x:c r="K96" s="1"/>
    </x:row>
    <x:row r="97" ht="32" customHeight="1">
      <x:c r="B97" s="91" t="s">
        <x:v>353</x:v>
      </x:c>
      <x:c r="C97" s="56">
        <x:v>188.227</x:v>
      </x:c>
      <x:c r="D97" s="56">
        <x:v>193.78</x:v>
      </x:c>
      <x:c r="E97" s="64" t="n">
        <x:f>D97</x:f>
        <x:v>193.78</x:v>
      </x:c>
      <x:c r="F97" s="56">
        <x:v>192.813</x:v>
      </x:c>
      <x:c r="G97" s="56">
        <x:v>185.919</x:v>
      </x:c>
      <x:c r="H97" s="63" t="n">
        <x:f>G97</x:f>
        <x:v>185.919</x:v>
      </x:c>
      <x:c r="I97" s="1"/>
      <x:c r="J97" s="1"/>
      <x:c r="K97" s="1"/>
    </x:row>
    <x:row r="98" ht="32" customHeight="1">
      <x:c r="B98" s="89" t="s">
        <x:v>354</x:v>
      </x:c>
      <x:c r="C98" s="54">
        <x:v>429.604</x:v>
      </x:c>
      <x:c r="D98" s="2" t="n">
        <x:f>C98</x:f>
        <x:v>429.604</x:v>
      </x:c>
      <x:c r="E98" s="2" t="n">
        <x:f>C98</x:f>
        <x:v>429.604</x:v>
      </x:c>
      <x:c r="F98" s="2"/>
      <x:c r="G98" s="2"/>
      <x:c r="H98" s="13"/>
      <x:c r="I98" s="1"/>
      <x:c r="J98" s="1"/>
      <x:c r="K98" s="1"/>
    </x:row>
    <x:row r="99">
      <x:c r="B99" s="1" t="s">
        <x:v>355</x:v>
      </x:c>
      <x:c r="C99" s="54">
        <x:v>69.12</x:v>
      </x:c>
      <x:c r="D99" s="54">
        <x:v>70.316</x:v>
      </x:c>
      <x:c r="E99" s="2" t="n">
        <x:f>D99</x:f>
        <x:v>70.316</x:v>
      </x:c>
      <x:c r="F99" s="54">
        <x:v>70.546</x:v>
      </x:c>
      <x:c r="G99" s="54">
        <x:v>70.591</x:v>
      </x:c>
      <x:c r="H99" s="13" t="n">
        <x:f>G99+H101</x:f>
        <x:v>70.628</x:v>
      </x:c>
      <x:c r="I99" s="1"/>
      <x:c r="J99" s="1"/>
      <x:c r="K99" s="1"/>
    </x:row>
    <x:row r="100">
      <x:c r="B100" s="1" t="s">
        <x:v>356</x:v>
      </x:c>
      <x:c r="C100" s="54">
        <x:v>6.911</x:v>
      </x:c>
      <x:c r="D100" s="54">
        <x:v>8.577</x:v>
      </x:c>
      <x:c r="E100" s="2" t="n">
        <x:f>D100</x:f>
        <x:v>8.577</x:v>
      </x:c>
      <x:c r="F100" s="54">
        <x:v>9.724</x:v>
      </x:c>
      <x:c r="G100" s="54">
        <x:v>9.728</x:v>
      </x:c>
      <x:c r="H100" s="13" t="n">
        <x:f>G100</x:f>
        <x:v>9.728</x:v>
      </x:c>
      <x:c r="I100" s="1"/>
      <x:c r="J100" s="1"/>
      <x:c r="K100" s="1"/>
    </x:row>
    <x:row r="101">
      <x:c r="B101" s="1" t="s">
        <x:v>357</x:v>
      </x:c>
      <x:c r="C101" s="2"/>
      <x:c r="D101" s="2"/>
      <x:c r="E101" s="2"/>
      <x:c r="F101" s="2"/>
      <x:c r="G101" s="2"/>
      <x:c r="H101" s="62">
        <x:v>0.037</x:v>
      </x:c>
      <x:c r="I101" s="1"/>
      <x:c r="J101" s="1"/>
      <x:c r="K101" s="1"/>
    </x:row>
    <x:row r="102">
      <x:c r="B102" s="1"/>
      <x:c r="C102" s="2"/>
      <x:c r="D102" s="2"/>
      <x:c r="E102" s="2"/>
      <x:c r="F102" s="2"/>
      <x:c r="G102" s="2"/>
      <x:c r="H102" s="13"/>
      <x:c r="I102" s="1"/>
      <x:c r="J102" s="1"/>
      <x:c r="K102" s="1"/>
    </x:row>
    <x:row r="103">
      <x:c r="B103" s="1" t="s">
        <x:v>358</x:v>
      </x:c>
      <x:c r="C103" s="54">
        <x:v>68.849</x:v>
      </x:c>
      <x:c r="D103" s="2"/>
      <x:c r="E103" s="2"/>
      <x:c r="F103" s="2"/>
      <x:c r="G103" s="2"/>
      <x:c r="H103" s="13"/>
      <x:c r="I103" s="1"/>
      <x:c r="J103" s="1"/>
      <x:c r="K103" s="1"/>
    </x:row>
    <x:row r="104">
      <x:c r="B104" s="1" t="s">
        <x:v>359</x:v>
      </x:c>
      <x:c r="C104" s="54">
        <x:v>4.611</x:v>
      </x:c>
      <x:c r="D104" s="2"/>
      <x:c r="E104" s="2"/>
      <x:c r="F104" s="2"/>
      <x:c r="G104" s="2"/>
      <x:c r="H104" s="13"/>
      <x:c r="I104" s="1"/>
      <x:c r="J104" s="1"/>
      <x:c r="K104" s="1"/>
    </x:row>
    <x:row r="105" ht="32" customHeight="1">
      <x:c r="B105" s="89" t="s">
        <x:v>360</x:v>
      </x:c>
      <x:c r="C105" s="54">
        <x:v>0.8</x:v>
      </x:c>
      <x:c r="D105" s="2"/>
      <x:c r="E105" s="2"/>
      <x:c r="F105" s="2"/>
      <x:c r="G105" s="2"/>
      <x:c r="H105" s="13"/>
      <x:c r="I105" s="1"/>
      <x:c r="J105" s="1"/>
      <x:c r="K105" s="1"/>
    </x:row>
    <x:row r="106">
      <x:c r="B106" s="1" t="s">
        <x:v>361</x:v>
      </x:c>
      <x:c r="C106" s="2"/>
      <x:c r="D106" s="2"/>
      <x:c r="E106" s="2"/>
      <x:c r="F106" s="2"/>
      <x:c r="G106" s="2"/>
      <x:c r="H106" s="62">
        <x:v>-25</x:v>
      </x:c>
      <x:c r="I106" s="1"/>
      <x:c r="J106" s="1"/>
      <x:c r="K106" s="1"/>
    </x:row>
    <x:row r="107" ht="32" customHeight="1">
      <x:c r="B107" s="89" t="s">
        <x:v>362</x:v>
      </x:c>
      <x:c r="C107" s="2"/>
      <x:c r="D107" s="2"/>
      <x:c r="E107" s="2"/>
      <x:c r="F107" s="2"/>
      <x:c r="G107" s="2"/>
      <x:c r="H107" s="13"/>
      <x:c r="I107" s="1"/>
      <x:c r="J107" s="1"/>
      <x:c r="K107" s="1"/>
    </x:row>
    <x:row r="108">
      <x:c r="B108" s="1" t="s">
        <x:v>363</x:v>
      </x:c>
      <x:c r="C108" s="2"/>
      <x:c r="D108" s="2"/>
      <x:c r="E108" s="2"/>
      <x:c r="F108" s="2"/>
      <x:c r="G108" s="2"/>
      <x:c r="H108" s="62">
        <x:v>58</x:v>
      </x:c>
      <x:c r="I108" s="1"/>
      <x:c r="J108" s="1"/>
      <x:c r="K108" s="1"/>
    </x:row>
    <x:row r="109">
      <x:c r="B109" s="1" t="s">
        <x:v>364</x:v>
      </x:c>
      <x:c r="C109" s="14"/>
      <x:c r="D109" s="14"/>
      <x:c r="E109" s="14"/>
      <x:c r="F109" s="14"/>
      <x:c r="G109" s="14"/>
      <x:c r="H109" s="59">
        <x:v>0.337</x:v>
      </x:c>
      <x:c r="I109" s="1"/>
      <x:c r="J109" s="1"/>
      <x:c r="K109" s="1"/>
    </x:row>
    <x:row r="110">
      <x:c r="B110" s="1" t="s">
        <x:v>365</x:v>
      </x:c>
      <x:c r="C110" s="2"/>
      <x:c r="D110" s="2"/>
      <x:c r="E110" s="2"/>
      <x:c r="F110" s="2"/>
      <x:c r="G110" s="2"/>
      <x:c r="H110" s="62">
        <x:v>0.000001</x:v>
      </x:c>
      <x:c r="I110" s="1"/>
      <x:c r="J110" s="1"/>
      <x:c r="K110" s="1"/>
    </x:row>
    <x:row r="111">
      <x:c r="B111" s="1" t="s">
        <x:v>366</x:v>
      </x:c>
      <x:c r="C111" s="2"/>
      <x:c r="D111" s="2"/>
      <x:c r="E111" s="2"/>
      <x:c r="F111" s="2"/>
      <x:c r="G111" s="2"/>
      <x:c r="H111" s="13"/>
      <x:c r="I111" s="1"/>
      <x:c r="J111" s="1"/>
      <x:c r="K111" s="1"/>
    </x:row>
    <x:row r="112">
      <x:c r="B112" s="1" t="s">
        <x:v>367</x:v>
      </x:c>
      <x:c r="C112" s="54">
        <x:v>62.598</x:v>
      </x:c>
      <x:c r="D112" s="54">
        <x:v>62.071</x:v>
      </x:c>
      <x:c r="E112" s="54">
        <x:v>63.012</x:v>
      </x:c>
      <x:c r="F112" s="54">
        <x:v>61.279</x:v>
      </x:c>
      <x:c r="G112" s="54">
        <x:v>60.85</x:v>
      </x:c>
      <x:c r="H112" s="13" t="n">
        <x:f>H129</x:f>
        <x:v>60.9</x:v>
      </x:c>
      <x:c r="I112" s="1"/>
      <x:c r="J112" s="1"/>
      <x:c r="K112" s="1"/>
    </x:row>
    <x:row r="113">
      <x:c r="B113" s="1" t="s">
        <x:v>368</x:v>
      </x:c>
      <x:c r="C113" s="54">
        <x:v>62.702</x:v>
      </x:c>
      <x:c r="D113" s="54">
        <x:v>62.071</x:v>
      </x:c>
      <x:c r="E113" s="54">
        <x:v>63.012</x:v>
      </x:c>
      <x:c r="F113" s="54">
        <x:v>61.3</x:v>
      </x:c>
      <x:c r="G113" s="54">
        <x:v>60.862</x:v>
      </x:c>
      <x:c r="H113" s="13" t="n">
        <x:f>H129</x:f>
        <x:v>60.9</x:v>
      </x:c>
      <x:c r="I113" s="1"/>
      <x:c r="J113" s="1"/>
      <x:c r="K113" s="1"/>
    </x:row>
    <x:row r="114">
      <x:c r="B114" s="1" t="s">
        <x:v>369</x:v>
      </x:c>
      <x:c r="C114" s="2"/>
      <x:c r="D114" s="2"/>
      <x:c r="E114" s="2"/>
      <x:c r="F114" s="2"/>
      <x:c r="G114" s="2"/>
      <x:c r="H114" s="62">
        <x:v>0</x:v>
      </x:c>
      <x:c r="I114" s="1"/>
      <x:c r="J114" s="1"/>
      <x:c r="K114" s="1"/>
    </x:row>
    <x:row r="115">
      <x:c r="B115" s="1" t="s">
        <x:v>370</x:v>
      </x:c>
      <x:c r="C115" s="2"/>
      <x:c r="D115" s="2"/>
      <x:c r="E115" s="2"/>
      <x:c r="F115" s="2"/>
      <x:c r="G115" s="2"/>
      <x:c r="H115" s="62">
        <x:v>22</x:v>
      </x:c>
      <x:c r="I115" s="1"/>
      <x:c r="J115" s="1"/>
      <x:c r="K115" s="1"/>
    </x:row>
    <x:row r="116">
      <x:c r="B116" s="1" t="str">
        <x:v>APIC forecast increase: stock compensation</x:v>
      </x:c>
      <x:c r="C116" s="2"/>
      <x:c r="D116" s="2"/>
      <x:c r="E116" s="2"/>
      <x:c r="F116" s="2"/>
      <x:c r="G116" s="2"/>
      <x:c r="H116" s="62" t="n">
        <x:f>H126</x:f>
        <x:v>23.8</x:v>
      </x:c>
      <x:c r="I116" s="1"/>
      <x:c r="J116" s="1"/>
      <x:c r="K116" s="1"/>
    </x:row>
    <x:row r="117">
      <x:c r="B117" s="1" t="s">
        <x:v>371</x:v>
      </x:c>
      <x:c r="C117" s="2"/>
      <x:c r="D117" s="2"/>
      <x:c r="E117" s="2"/>
      <x:c r="F117" s="2"/>
      <x:c r="G117" s="2"/>
      <x:c r="H117" s="62">
        <x:v>68</x:v>
      </x:c>
      <x:c r="I117" s="1"/>
      <x:c r="J117" s="1"/>
      <x:c r="K117" s="1"/>
    </x:row>
    <x:row r="118">
      <x:c r="B118" s="1" t="s">
        <x:v>372</x:v>
      </x:c>
      <x:c r="C118" s="2"/>
      <x:c r="D118" s="2"/>
      <x:c r="E118" s="2"/>
      <x:c r="F118" s="2"/>
      <x:c r="G118" s="2"/>
      <x:c r="H118" s="62">
        <x:v>1940</x:v>
      </x:c>
      <x:c r="I118" s="1"/>
      <x:c r="J118" s="1"/>
      <x:c r="K118" s="1"/>
    </x:row>
    <x:row r="119">
      <x:c r="B119" s="1" t="s">
        <x:v>373</x:v>
      </x:c>
      <x:c r="C119" s="14"/>
      <x:c r="D119" s="14"/>
      <x:c r="E119" s="14"/>
      <x:c r="F119" s="14"/>
      <x:c r="G119" s="14"/>
      <x:c r="H119" s="66" t="n">
        <x:f>E221</x:f>
        <x:v>-0.0075</x:v>
      </x:c>
      <x:c r="I119" s="1"/>
      <x:c r="J119" s="1"/>
      <x:c r="K119" s="1"/>
    </x:row>
    <x:row r="120">
      <x:c r="B120" s="1" t="s">
        <x:v>374</x:v>
      </x:c>
      <x:c r="C120" s="2"/>
      <x:c r="D120" s="2"/>
      <x:c r="E120" s="2"/>
      <x:c r="F120" s="2"/>
      <x:c r="G120" s="2"/>
      <x:c r="H120" s="62">
        <x:v>301.1</x:v>
      </x:c>
      <x:c r="I120" s="1"/>
      <x:c r="J120" s="1"/>
      <x:c r="K120" s="1"/>
    </x:row>
    <x:row r="121">
      <x:c r="B121" s="1" t="s">
        <x:v>375</x:v>
      </x:c>
      <x:c r="C121" s="2"/>
      <x:c r="D121" s="2"/>
      <x:c r="E121" s="2"/>
      <x:c r="F121" s="2"/>
      <x:c r="G121" s="2"/>
      <x:c r="H121" s="62">
        <x:v>66.5</x:v>
      </x:c>
      <x:c r="I121" s="1"/>
      <x:c r="J121" s="1"/>
      <x:c r="K121" s="1"/>
    </x:row>
    <x:row r="122">
      <x:c r="B122" s="1" t="s">
        <x:v>376</x:v>
      </x:c>
      <x:c r="C122" s="2"/>
      <x:c r="D122" s="2"/>
      <x:c r="E122" s="2"/>
      <x:c r="F122" s="2"/>
      <x:c r="G122" s="2"/>
      <x:c r="H122" s="62">
        <x:v>7</x:v>
      </x:c>
      <x:c r="I122" s="1"/>
      <x:c r="J122" s="1"/>
      <x:c r="K122" s="1"/>
    </x:row>
    <x:row r="123" ht="48" customHeight="1">
      <x:c r="B123" s="1" t="str">
        <x:v>Guided non-GAAP tax rate</x:v>
      </x:c>
      <x:c r="C123" s="14"/>
      <x:c r="D123" s="14"/>
      <x:c r="E123" s="14"/>
      <x:c r="F123" s="14"/>
      <x:c r="G123" s="14"/>
      <x:c r="H123" s="66" t="n">
        <x:f>E219</x:f>
        <x:v>0.25</x:v>
      </x:c>
      <x:c r="I123" s="1"/>
      <x:c r="J123" s="89" t="str">
        <x:v>25% non-GAAP Q3 tax guidance, June 29 call. Also used as a GAAP tax proxy. https://www.roic.ai/quote/CNXC/transcripts/2026-year/2-quarter</x:v>
      </x:c>
      <x:c r="K123" s="1"/>
    </x:row>
    <x:row r="124">
      <x:c r="B124" s="1" t="s">
        <x:v>377</x:v>
      </x:c>
      <x:c r="C124" s="2"/>
      <x:c r="D124" s="2"/>
      <x:c r="E124" s="2"/>
      <x:c r="F124" s="2"/>
      <x:c r="G124" s="2"/>
      <x:c r="H124" s="13" t="n">
        <x:f>E233</x:f>
        <x:v>45</x:v>
      </x:c>
      <x:c r="I124" s="1"/>
      <x:c r="J124" s="1"/>
      <x:c r="K124" s="1"/>
    </x:row>
    <x:row r="125">
      <x:c r="B125" s="1" t="s">
        <x:v>115</x:v>
      </x:c>
      <x:c r="C125" s="2"/>
      <x:c r="D125" s="2"/>
      <x:c r="E125" s="2"/>
      <x:c r="F125" s="2"/>
      <x:c r="G125" s="2"/>
      <x:c r="H125" s="13" t="n">
        <x:f>E231</x:f>
        <x:v>102.5</x:v>
      </x:c>
      <x:c r="I125" s="1"/>
      <x:c r="J125" s="1"/>
      <x:c r="K125" s="1"/>
    </x:row>
    <x:row r="126">
      <x:c r="B126" s="1" t="s">
        <x:v>116</x:v>
      </x:c>
      <x:c r="C126" s="2"/>
      <x:c r="D126" s="2"/>
      <x:c r="E126" s="2"/>
      <x:c r="F126" s="2"/>
      <x:c r="G126" s="2"/>
      <x:c r="H126" s="13" t="n">
        <x:f>E232</x:f>
        <x:v>23.8</x:v>
      </x:c>
      <x:c r="I126" s="1"/>
      <x:c r="J126" s="1"/>
      <x:c r="K126" s="1"/>
    </x:row>
    <x:row r="127">
      <x:c r="B127" s="1" t="s">
        <x:v>117</x:v>
      </x:c>
      <x:c r="C127" s="1"/>
      <x:c r="D127" s="1"/>
      <x:c r="E127" s="1"/>
      <x:c r="F127" s="1"/>
      <x:c r="G127" s="1"/>
      <x:c r="H127" s="7" t="n">
        <x:f>E234</x:f>
        <x:v>2.8</x:v>
      </x:c>
      <x:c r="I127" s="1"/>
      <x:c r="J127" s="1"/>
      <x:c r="K127" s="1"/>
    </x:row>
    <x:row r="128">
      <x:c r="B128" s="1" t="s">
        <x:v>378</x:v>
      </x:c>
      <x:c r="C128" s="14"/>
      <x:c r="D128" s="14"/>
      <x:c r="E128" s="14"/>
      <x:c r="F128" s="14"/>
      <x:c r="G128" s="14"/>
      <x:c r="H128" s="59">
        <x:v>0.048</x:v>
      </x:c>
      <x:c r="I128" s="1"/>
      <x:c r="J128" s="1"/>
      <x:c r="K128" s="1"/>
    </x:row>
    <x:row r="129">
      <x:c r="B129" s="1" t="s">
        <x:v>379</x:v>
      </x:c>
      <x:c r="C129" s="1"/>
      <x:c r="D129" s="1"/>
      <x:c r="E129" s="1"/>
      <x:c r="F129" s="1"/>
      <x:c r="G129" s="1"/>
      <x:c r="H129" s="7" t="n">
        <x:f>E220</x:f>
        <x:v>60.9</x:v>
      </x:c>
      <x:c r="I129" s="1"/>
      <x:c r="J129" s="1"/>
      <x:c r="K129" s="1"/>
    </x:row>
    <x:row r="130" ht="32" customHeight="1">
      <x:c r="B130" s="89" t="s">
        <x:v>380</x:v>
      </x:c>
      <x:c r="C130" s="1"/>
      <x:c r="D130" s="1"/>
      <x:c r="E130" s="1"/>
      <x:c r="F130" s="1"/>
      <x:c r="G130" s="1"/>
      <x:c r="H130" s="7"/>
      <x:c r="I130" s="1"/>
      <x:c r="J130" s="1"/>
      <x:c r="K130" s="1"/>
    </x:row>
    <x:row r="131" ht="32" customHeight="1">
      <x:c r="B131" s="1" t="s">
        <x:v>381</x:v>
      </x:c>
      <x:c r="C131" s="96" t="s">
        <x:v>382</x:v>
      </x:c>
      <x:c r="D131" s="96" t="s">
        <x:v>383</x:v>
      </x:c>
      <x:c r="E131" s="96" t="s">
        <x:v>384</x:v>
      </x:c>
      <x:c r="F131" s="96" t="s">
        <x:v>385</x:v>
      </x:c>
      <x:c r="G131" s="96" t="s">
        <x:v>386</x:v>
      </x:c>
      <x:c r="H131" s="97" t="s">
        <x:v>387</x:v>
      </x:c>
      <x:c r="I131" s="96" t="str">
        <x:v>report_date</x:v>
      </x:c>
      <x:c r="J131" s="1"/>
      <x:c r="K131" s="1"/>
    </x:row>
    <x:row r="132">
      <x:c r="B132" s="58">
        <x:v>45716</x:v>
      </x:c>
      <x:c r="C132" s="60">
        <x:v>2.59</x:v>
      </x:c>
      <x:c r="D132" s="60">
        <x:v>2.79</x:v>
      </x:c>
      <x:c r="E132" s="37">
        <x:v>0.76</x:v>
      </x:c>
      <x:c r="F132" s="37">
        <x:v>1.04</x:v>
      </x:c>
      <x:c r="G132" s="37">
        <x:v>2365.27</x:v>
      </x:c>
      <x:c r="H132" s="55">
        <x:v>2372.22</x:v>
      </x:c>
      <x:c r="I132" s="58">
        <x:v>45742</x:v>
      </x:c>
      <x:c r="J132" s="70" t="n">
        <x:f>IF(D132&gt;C132,1,0)</x:f>
        <x:v>1</x:v>
      </x:c>
      <x:c r="K132" s="1"/>
    </x:row>
    <x:row r="133">
      <x:c r="B133" s="58">
        <x:v>45808</x:v>
      </x:c>
      <x:c r="C133" s="60">
        <x:v>2.75</x:v>
      </x:c>
      <x:c r="D133" s="60">
        <x:v>2.7</x:v>
      </x:c>
      <x:c r="E133" s="37">
        <x:v>1.02</x:v>
      </x:c>
      <x:c r="F133" s="37">
        <x:v>0.63</x:v>
      </x:c>
      <x:c r="G133" s="37">
        <x:v>2381.71</x:v>
      </x:c>
      <x:c r="H133" s="55">
        <x:v>2417.37</x:v>
      </x:c>
      <x:c r="I133" s="58">
        <x:v>45834</x:v>
      </x:c>
      <x:c r="J133" s="70" t="n">
        <x:f>IF(D133&gt;C133,1,0)</x:f>
        <x:v>0</x:v>
      </x:c>
      <x:c r="K133" s="1"/>
    </x:row>
    <x:row r="134">
      <x:c r="B134" s="58">
        <x:v>45900</x:v>
      </x:c>
      <x:c r="C134" s="60">
        <x:v>2.87</x:v>
      </x:c>
      <x:c r="D134" s="60">
        <x:v>2.78</x:v>
      </x:c>
      <x:c r="E134" s="37">
        <x:v>0.95</x:v>
      </x:c>
      <x:c r="F134" s="37">
        <x:v>1.34</x:v>
      </x:c>
      <x:c r="G134" s="37">
        <x:v>2460.85</x:v>
      </x:c>
      <x:c r="H134" s="55">
        <x:v>2483.25</x:v>
      </x:c>
      <x:c r="I134" s="58">
        <x:v>45925</x:v>
      </x:c>
      <x:c r="J134" s="70" t="n">
        <x:f>IF(D134&gt;C134,1,0)</x:f>
        <x:v>0</x:v>
      </x:c>
      <x:c r="K134" s="1"/>
    </x:row>
    <x:row r="135">
      <x:c r="B135" s="58">
        <x:v>45991</x:v>
      </x:c>
      <x:c r="C135" s="60">
        <x:v>2.91</x:v>
      </x:c>
      <x:c r="D135" s="60">
        <x:v>2.95</x:v>
      </x:c>
      <x:c r="E135" s="37">
        <x:v>1.2</x:v>
      </x:c>
      <x:c r="F135" s="37">
        <x:v>-23.85</x:v>
      </x:c>
      <x:c r="G135" s="37">
        <x:v>2539.16</x:v>
      </x:c>
      <x:c r="H135" s="55">
        <x:v>2552.93</x:v>
      </x:c>
      <x:c r="I135" s="58">
        <x:v>46035</x:v>
      </x:c>
      <x:c r="J135" s="70" t="n">
        <x:f>IF(D135&gt;C135,1,0)</x:f>
        <x:v>1</x:v>
      </x:c>
      <x:c r="K135" s="1"/>
    </x:row>
    <x:row r="136">
      <x:c r="B136" s="58">
        <x:v>46081</x:v>
      </x:c>
      <x:c r="C136" s="60">
        <x:v>2.65</x:v>
      </x:c>
      <x:c r="D136" s="60">
        <x:v>2.61</x:v>
      </x:c>
      <x:c r="E136" s="37">
        <x:v>0.89</x:v>
      </x:c>
      <x:c r="F136" s="37">
        <x:v>0.33</x:v>
      </x:c>
      <x:c r="G136" s="37">
        <x:v>2490.56</x:v>
      </x:c>
      <x:c r="H136" s="55">
        <x:v>2500.39</x:v>
      </x:c>
      <x:c r="I136" s="58">
        <x:v>46105</x:v>
      </x:c>
      <x:c r="J136" s="70" t="n">
        <x:f>IF(D136&gt;C136,1,0)</x:f>
        <x:v>0</x:v>
      </x:c>
      <x:c r="K136" s="1"/>
    </x:row>
    <x:row r="137">
      <x:c r="B137" s="58">
        <x:v>46173</x:v>
      </x:c>
      <x:c r="C137" s="60">
        <x:v>2.64</x:v>
      </x:c>
      <x:c r="D137" s="60">
        <x:v>2.63</x:v>
      </x:c>
      <x:c r="E137" s="37">
        <x:v>0.71</x:v>
      </x:c>
      <x:c r="F137" s="37">
        <x:v>0.86</x:v>
      </x:c>
      <x:c r="G137" s="37">
        <x:v>2473.43</x:v>
      </x:c>
      <x:c r="H137" s="55">
        <x:v>2462.47</x:v>
      </x:c>
      <x:c r="I137" s="58">
        <x:v>46202</x:v>
      </x:c>
      <x:c r="J137" s="70" t="n">
        <x:f>IF(D137&gt;C137,1,0)</x:f>
        <x:v>0</x:v>
      </x:c>
      <x:c r="K137" s="1"/>
    </x:row>
    <x:row r="138">
      <x:c r="B138" s="1"/>
      <x:c r="C138" s="1"/>
      <x:c r="D138" s="1"/>
      <x:c r="E138" s="1"/>
      <x:c r="F138" s="1"/>
      <x:c r="G138" s="1"/>
      <x:c r="H138" s="7"/>
      <x:c r="I138" s="1"/>
      <x:c r="J138" s="1"/>
      <x:c r="K138" s="1"/>
    </x:row>
    <x:row r="139">
      <x:c r="B139" s="1"/>
      <x:c r="C139" s="1"/>
      <x:c r="D139" s="1"/>
      <x:c r="E139" s="1"/>
      <x:c r="F139" s="1"/>
      <x:c r="G139" s="1"/>
      <x:c r="H139" s="7"/>
      <x:c r="I139" s="1"/>
      <x:c r="J139" s="1"/>
      <x:c r="K139" s="1"/>
    </x:row>
    <x:row r="140">
      <x:c r="B140" s="1"/>
      <x:c r="C140" s="1"/>
      <x:c r="D140" s="1"/>
      <x:c r="E140" s="1"/>
      <x:c r="F140" s="1"/>
      <x:c r="G140" s="1"/>
      <x:c r="H140" s="7"/>
      <x:c r="I140" s="1"/>
      <x:c r="J140" s="1"/>
      <x:c r="K140" s="1"/>
    </x:row>
    <x:row r="141">
      <x:c r="B141" s="1"/>
      <x:c r="C141" s="1"/>
      <x:c r="D141" s="1"/>
      <x:c r="E141" s="1"/>
      <x:c r="F141" s="1"/>
      <x:c r="G141" s="1"/>
      <x:c r="H141" s="7"/>
      <x:c r="I141" s="1"/>
      <x:c r="J141" s="1"/>
      <x:c r="K141" s="1"/>
    </x:row>
    <x:row r="142">
      <x:c r="B142" s="1"/>
      <x:c r="C142" s="1"/>
      <x:c r="D142" s="1"/>
      <x:c r="E142" s="1"/>
      <x:c r="F142" s="1"/>
      <x:c r="G142" s="1"/>
      <x:c r="H142" s="7"/>
      <x:c r="I142" s="1"/>
      <x:c r="J142" s="1"/>
      <x:c r="K142" s="1"/>
    </x:row>
    <x:row r="143">
      <x:c r="B143" s="1"/>
      <x:c r="C143" s="1"/>
      <x:c r="D143" s="1"/>
      <x:c r="E143" s="1"/>
      <x:c r="F143" s="1"/>
      <x:c r="G143" s="1"/>
      <x:c r="H143" s="7"/>
      <x:c r="I143" s="1"/>
      <x:c r="J143" s="1"/>
      <x:c r="K143" s="1"/>
    </x:row>
    <x:row r="144">
      <x:c r="B144" s="1"/>
      <x:c r="C144" s="1"/>
      <x:c r="D144" s="1"/>
      <x:c r="E144" s="1"/>
      <x:c r="F144" s="1"/>
      <x:c r="G144" s="1"/>
      <x:c r="H144" s="7"/>
      <x:c r="I144" s="1"/>
      <x:c r="J144" s="1"/>
      <x:c r="K144" s="1"/>
    </x:row>
    <x:row r="145">
      <x:c r="B145" s="1"/>
      <x:c r="C145" s="1"/>
      <x:c r="D145" s="1"/>
      <x:c r="E145" s="1"/>
      <x:c r="F145" s="1"/>
      <x:c r="G145" s="1"/>
      <x:c r="H145" s="7"/>
      <x:c r="I145" s="1"/>
      <x:c r="J145" s="1"/>
      <x:c r="K145" s="1"/>
    </x:row>
    <x:row r="146">
      <x:c r="B146" s="1"/>
      <x:c r="C146" s="1"/>
      <x:c r="D146" s="1"/>
      <x:c r="E146" s="1"/>
      <x:c r="F146" s="1"/>
      <x:c r="G146" s="1"/>
      <x:c r="H146" s="7"/>
      <x:c r="I146" s="1"/>
      <x:c r="J146" s="1"/>
      <x:c r="K146" s="1"/>
    </x:row>
    <x:row r="147">
      <x:c r="B147" s="1"/>
      <x:c r="C147" s="1"/>
      <x:c r="D147" s="1"/>
      <x:c r="E147" s="1"/>
      <x:c r="F147" s="1"/>
      <x:c r="G147" s="1"/>
      <x:c r="H147" s="7"/>
      <x:c r="I147" s="1"/>
      <x:c r="J147" s="1"/>
      <x:c r="K147" s="1"/>
    </x:row>
    <x:row r="148">
      <x:c r="B148" s="1"/>
      <x:c r="C148" s="1"/>
      <x:c r="D148" s="1"/>
      <x:c r="E148" s="1"/>
      <x:c r="F148" s="1"/>
      <x:c r="G148" s="1"/>
      <x:c r="H148" s="7"/>
      <x:c r="I148" s="1"/>
      <x:c r="J148" s="1"/>
      <x:c r="K148" s="1"/>
    </x:row>
    <x:row r="149">
      <x:c r="B149" s="1"/>
      <x:c r="C149" s="1"/>
      <x:c r="D149" s="1"/>
      <x:c r="E149" s="1"/>
      <x:c r="F149" s="1"/>
      <x:c r="G149" s="1"/>
      <x:c r="H149" s="7"/>
      <x:c r="I149" s="1"/>
      <x:c r="J149" s="1"/>
      <x:c r="K149" s="1"/>
    </x:row>
    <x:row r="150" ht="32" customHeight="1">
      <x:c r="B150" s="89" t="s">
        <x:v>388</x:v>
      </x:c>
      <x:c r="C150" s="1"/>
      <x:c r="D150" s="1"/>
      <x:c r="E150" s="1"/>
      <x:c r="F150" s="1"/>
      <x:c r="G150" s="1"/>
      <x:c r="H150" s="7"/>
      <x:c r="I150" s="1"/>
      <x:c r="J150" s="1"/>
      <x:c r="K150" s="1"/>
    </x:row>
    <x:row r="151">
      <x:c r="B151" s="1" t="s">
        <x:v>389</x:v>
      </x:c>
      <x:c r="C151" s="1" t="s">
        <x:v>390</x:v>
      </x:c>
      <x:c r="D151" s="1"/>
      <x:c r="E151" s="1"/>
      <x:c r="F151" s="1"/>
      <x:c r="G151" s="1"/>
      <x:c r="H151" s="7"/>
      <x:c r="I151" s="1"/>
      <x:c r="J151" s="1"/>
      <x:c r="K151" s="1"/>
    </x:row>
    <x:row r="152">
      <x:c r="B152" s="1" t="s">
        <x:v>391</x:v>
      </x:c>
      <x:c r="C152" s="1" t="s">
        <x:v>392</x:v>
      </x:c>
      <x:c r="D152" s="1"/>
      <x:c r="E152" s="1"/>
      <x:c r="F152" s="1"/>
      <x:c r="G152" s="1"/>
      <x:c r="H152" s="7"/>
      <x:c r="I152" s="1"/>
      <x:c r="J152" s="1"/>
      <x:c r="K152" s="1"/>
    </x:row>
    <x:row r="153">
      <x:c r="B153" s="1" t="s">
        <x:v>393</x:v>
      </x:c>
      <x:c r="C153" s="1" t="s">
        <x:v>394</x:v>
      </x:c>
      <x:c r="D153" s="1"/>
      <x:c r="E153" s="1"/>
      <x:c r="F153" s="1"/>
      <x:c r="G153" s="1"/>
      <x:c r="H153" s="7"/>
      <x:c r="I153" s="1"/>
      <x:c r="J153" s="1"/>
      <x:c r="K153" s="1"/>
    </x:row>
    <x:row r="154">
      <x:c r="B154" s="1" t="s">
        <x:v>395</x:v>
      </x:c>
      <x:c r="C154" s="37">
        <x:v>9068477</x:v>
      </x:c>
      <x:c r="D154" s="1"/>
      <x:c r="E154" s="1"/>
      <x:c r="F154" s="1"/>
      <x:c r="G154" s="1"/>
      <x:c r="H154" s="7"/>
      <x:c r="I154" s="1"/>
      <x:c r="J154" s="1"/>
      <x:c r="K154" s="1"/>
    </x:row>
    <x:row r="155">
      <x:c r="B155" s="1" t="s">
        <x:v>396</x:v>
      </x:c>
      <x:c r="C155" s="37">
        <x:v>4</x:v>
      </x:c>
      <x:c r="D155" s="1"/>
      <x:c r="E155" s="1"/>
      <x:c r="F155" s="1"/>
      <x:c r="G155" s="1"/>
      <x:c r="H155" s="7"/>
      <x:c r="I155" s="1"/>
      <x:c r="J155" s="1"/>
      <x:c r="K155" s="1"/>
    </x:row>
    <x:row r="156">
      <x:c r="B156" s="1" t="s">
        <x:v>397</x:v>
      </x:c>
      <x:c r="C156" s="1" t="s">
        <x:v>398</x:v>
      </x:c>
      <x:c r="D156" s="1"/>
      <x:c r="E156" s="1"/>
      <x:c r="F156" s="1"/>
      <x:c r="G156" s="1"/>
      <x:c r="H156" s="7"/>
      <x:c r="I156" s="1"/>
      <x:c r="J156" s="1"/>
      <x:c r="K156" s="1"/>
    </x:row>
    <x:row r="157">
      <x:c r="B157" s="1" t="s">
        <x:v>399</x:v>
      </x:c>
      <x:c r="C157" s="1" t="s">
        <x:v>400</x:v>
      </x:c>
      <x:c r="D157" s="1"/>
      <x:c r="E157" s="1"/>
      <x:c r="F157" s="1"/>
      <x:c r="G157" s="1"/>
      <x:c r="H157" s="7"/>
      <x:c r="I157" s="1"/>
      <x:c r="J157" s="1"/>
      <x:c r="K157" s="1"/>
    </x:row>
    <x:row r="158">
      <x:c r="B158" s="1" t="s">
        <x:v>381</x:v>
      </x:c>
      <x:c r="C158" s="58">
        <x:v>46265</x:v>
      </x:c>
      <x:c r="D158" s="1"/>
      <x:c r="E158" s="1"/>
      <x:c r="F158" s="1"/>
      <x:c r="G158" s="1"/>
      <x:c r="H158" s="7"/>
      <x:c r="I158" s="1"/>
      <x:c r="J158" s="1"/>
      <x:c r="K158" s="1"/>
    </x:row>
    <x:row r="159">
      <x:c r="B159" s="1" t="s">
        <x:v>401</x:v>
      </x:c>
      <x:c r="C159" s="58">
        <x:v>46294</x:v>
      </x:c>
      <x:c r="D159" s="1"/>
      <x:c r="E159" s="1"/>
      <x:c r="F159" s="1"/>
      <x:c r="G159" s="1"/>
      <x:c r="H159" s="7"/>
      <x:c r="I159" s="1"/>
      <x:c r="J159" s="1"/>
      <x:c r="K159" s="1"/>
    </x:row>
    <x:row r="160">
      <x:c r="B160" s="1" t="s">
        <x:v>402</x:v>
      </x:c>
      <x:c r="C160" s="37">
        <x:v>2.81</x:v>
      </x:c>
      <x:c r="D160" s="1"/>
      <x:c r="E160" s="1"/>
      <x:c r="F160" s="1"/>
      <x:c r="G160" s="1"/>
      <x:c r="H160" s="7"/>
      <x:c r="I160" s="1"/>
      <x:c r="J160" s="1"/>
      <x:c r="K160" s="1"/>
    </x:row>
    <x:row r="161">
      <x:c r="B161" s="1" t="s">
        <x:v>403</x:v>
      </x:c>
      <x:c r="C161" s="37">
        <x:v>2.71</x:v>
      </x:c>
      <x:c r="D161" s="1"/>
      <x:c r="E161" s="1"/>
      <x:c r="F161" s="1"/>
      <x:c r="G161" s="1"/>
      <x:c r="H161" s="7"/>
      <x:c r="I161" s="1"/>
      <x:c r="J161" s="1"/>
      <x:c r="K161" s="1"/>
    </x:row>
    <x:row r="162">
      <x:c r="B162" s="1" t="s">
        <x:v>404</x:v>
      </x:c>
      <x:c r="C162" s="37">
        <x:v>3.15</x:v>
      </x:c>
      <x:c r="D162" s="1"/>
      <x:c r="E162" s="1"/>
      <x:c r="F162" s="1"/>
      <x:c r="G162" s="1"/>
      <x:c r="H162" s="7"/>
      <x:c r="I162" s="1"/>
      <x:c r="J162" s="1"/>
      <x:c r="K162" s="1"/>
    </x:row>
    <x:row r="163">
      <x:c r="B163" s="1" t="s">
        <x:v>405</x:v>
      </x:c>
      <x:c r="C163" s="37">
        <x:v>2.68</x:v>
      </x:c>
      <x:c r="D163" s="1"/>
      <x:c r="E163" s="1"/>
      <x:c r="F163" s="1"/>
      <x:c r="G163" s="1"/>
      <x:c r="H163" s="7"/>
      <x:c r="I163" s="1"/>
      <x:c r="J163" s="1"/>
      <x:c r="K163" s="1"/>
    </x:row>
    <x:row r="164">
      <x:c r="B164" s="1" t="s">
        <x:v>406</x:v>
      </x:c>
      <x:c r="C164" s="37">
        <x:v>0.2</x:v>
      </x:c>
      <x:c r="D164" s="1"/>
      <x:c r="E164" s="1"/>
      <x:c r="F164" s="1"/>
      <x:c r="G164" s="1"/>
      <x:c r="H164" s="7"/>
      <x:c r="I164" s="1"/>
      <x:c r="J164" s="1"/>
      <x:c r="K164" s="1"/>
    </x:row>
    <x:row r="165">
      <x:c r="B165" s="1" t="s">
        <x:v>407</x:v>
      </x:c>
      <x:c r="C165" s="37">
        <x:v>4</x:v>
      </x:c>
      <x:c r="D165" s="1"/>
      <x:c r="E165" s="1"/>
      <x:c r="F165" s="1"/>
      <x:c r="G165" s="1"/>
      <x:c r="H165" s="7"/>
      <x:c r="I165" s="1"/>
      <x:c r="J165" s="1"/>
      <x:c r="K165" s="1"/>
    </x:row>
    <x:row r="166">
      <x:c r="B166" s="1" t="s">
        <x:v>408</x:v>
      </x:c>
      <x:c r="C166" s="1"/>
      <x:c r="D166" s="1"/>
      <x:c r="E166" s="1"/>
      <x:c r="F166" s="1"/>
      <x:c r="G166" s="1"/>
      <x:c r="H166" s="7"/>
      <x:c r="I166" s="1"/>
      <x:c r="J166" s="1"/>
      <x:c r="K166" s="1"/>
    </x:row>
    <x:row r="167">
      <x:c r="B167" s="1" t="s">
        <x:v>409</x:v>
      </x:c>
      <x:c r="C167" s="37">
        <x:v>2.65</x:v>
      </x:c>
      <x:c r="D167" s="1"/>
      <x:c r="E167" s="1"/>
      <x:c r="F167" s="1"/>
      <x:c r="G167" s="1"/>
      <x:c r="H167" s="7"/>
      <x:c r="I167" s="1"/>
      <x:c r="J167" s="1"/>
      <x:c r="K167" s="1"/>
    </x:row>
    <x:row r="168">
      <x:c r="B168" s="1" t="s">
        <x:v>410</x:v>
      </x:c>
      <x:c r="C168" s="37">
        <x:v>2.77</x:v>
      </x:c>
      <x:c r="D168" s="1"/>
      <x:c r="E168" s="1"/>
      <x:c r="F168" s="1"/>
      <x:c r="G168" s="1"/>
      <x:c r="H168" s="7"/>
      <x:c r="I168" s="1"/>
      <x:c r="J168" s="1"/>
      <x:c r="K168" s="1"/>
    </x:row>
    <x:row r="169">
      <x:c r="B169" s="1" t="s">
        <x:v>411</x:v>
      </x:c>
      <x:c r="C169" s="37">
        <x:v>0.81</x:v>
      </x:c>
      <x:c r="D169" s="1"/>
      <x:c r="E169" s="1"/>
      <x:c r="F169" s="1"/>
      <x:c r="G169" s="1"/>
      <x:c r="H169" s="7"/>
      <x:c r="I169" s="1"/>
      <x:c r="J169" s="1"/>
      <x:c r="K169" s="1"/>
    </x:row>
    <x:row r="170">
      <x:c r="B170" s="1" t="s">
        <x:v>412</x:v>
      </x:c>
      <x:c r="C170" s="37">
        <x:v>0.81</x:v>
      </x:c>
      <x:c r="D170" s="1"/>
      <x:c r="E170" s="1"/>
      <x:c r="F170" s="1"/>
      <x:c r="G170" s="1"/>
      <x:c r="H170" s="7"/>
      <x:c r="I170" s="1"/>
      <x:c r="J170" s="1"/>
      <x:c r="K170" s="1"/>
    </x:row>
    <x:row r="171">
      <x:c r="B171" s="1" t="s">
        <x:v>413</x:v>
      </x:c>
      <x:c r="C171" s="37">
        <x:v>1</x:v>
      </x:c>
      <x:c r="D171" s="1"/>
      <x:c r="E171" s="1"/>
      <x:c r="F171" s="1"/>
      <x:c r="G171" s="1"/>
      <x:c r="H171" s="7"/>
      <x:c r="I171" s="1"/>
      <x:c r="J171" s="1"/>
      <x:c r="K171" s="1"/>
    </x:row>
    <x:row r="172">
      <x:c r="B172" s="1" t="s">
        <x:v>414</x:v>
      </x:c>
      <x:c r="C172" s="37">
        <x:v>0.61</x:v>
      </x:c>
      <x:c r="D172" s="1"/>
      <x:c r="E172" s="1"/>
      <x:c r="F172" s="1"/>
      <x:c r="G172" s="1"/>
      <x:c r="H172" s="7"/>
      <x:c r="I172" s="1"/>
      <x:c r="J172" s="1"/>
      <x:c r="K172" s="1"/>
    </x:row>
    <x:row r="173">
      <x:c r="B173" s="1" t="s">
        <x:v>415</x:v>
      </x:c>
      <x:c r="C173" s="37">
        <x:v>0.2</x:v>
      </x:c>
      <x:c r="D173" s="1"/>
      <x:c r="E173" s="1"/>
      <x:c r="F173" s="1"/>
      <x:c r="G173" s="1"/>
      <x:c r="H173" s="7"/>
      <x:c r="I173" s="1"/>
      <x:c r="J173" s="1"/>
      <x:c r="K173" s="1"/>
    </x:row>
    <x:row r="174">
      <x:c r="B174" s="1" t="s">
        <x:v>416</x:v>
      </x:c>
      <x:c r="C174" s="37">
        <x:v>2</x:v>
      </x:c>
      <x:c r="D174" s="1"/>
      <x:c r="E174" s="1"/>
      <x:c r="F174" s="1"/>
      <x:c r="G174" s="1"/>
      <x:c r="H174" s="7"/>
      <x:c r="I174" s="1"/>
      <x:c r="J174" s="1"/>
      <x:c r="K174" s="1"/>
    </x:row>
    <x:row r="175">
      <x:c r="B175" s="1" t="s">
        <x:v>417</x:v>
      </x:c>
      <x:c r="C175" s="1"/>
      <x:c r="D175" s="1"/>
      <x:c r="E175" s="1"/>
      <x:c r="F175" s="1"/>
      <x:c r="G175" s="1"/>
      <x:c r="H175" s="7"/>
      <x:c r="I175" s="1"/>
      <x:c r="J175" s="1"/>
      <x:c r="K175" s="1"/>
    </x:row>
    <x:row r="176">
      <x:c r="B176" s="1" t="s">
        <x:v>418</x:v>
      </x:c>
      <x:c r="C176" s="1"/>
      <x:c r="D176" s="1"/>
      <x:c r="E176" s="1"/>
      <x:c r="F176" s="1"/>
      <x:c r="G176" s="1"/>
      <x:c r="H176" s="7"/>
      <x:c r="I176" s="1"/>
      <x:c r="J176" s="1"/>
      <x:c r="K176" s="1"/>
    </x:row>
    <x:row r="177">
      <x:c r="B177" s="1" t="s">
        <x:v>419</x:v>
      </x:c>
      <x:c r="C177" s="37">
        <x:v>2477.44</x:v>
      </x:c>
      <x:c r="D177" s="1"/>
      <x:c r="E177" s="1"/>
      <x:c r="F177" s="1"/>
      <x:c r="G177" s="1"/>
      <x:c r="H177" s="7"/>
      <x:c r="I177" s="1"/>
      <x:c r="J177" s="1"/>
      <x:c r="K177" s="1"/>
    </x:row>
    <x:row r="178">
      <x:c r="B178" s="1" t="s">
        <x:v>420</x:v>
      </x:c>
      <x:c r="C178" s="37">
        <x:v>2477.25</x:v>
      </x:c>
      <x:c r="D178" s="1"/>
      <x:c r="E178" s="1"/>
      <x:c r="F178" s="1"/>
      <x:c r="G178" s="1"/>
      <x:c r="H178" s="7"/>
      <x:c r="I178" s="1"/>
      <x:c r="J178" s="1"/>
      <x:c r="K178" s="1"/>
    </x:row>
    <x:row r="179">
      <x:c r="B179" s="1" t="s">
        <x:v>421</x:v>
      </x:c>
      <x:c r="C179" s="37">
        <x:v>2478.06</x:v>
      </x:c>
      <x:c r="D179" s="1"/>
      <x:c r="E179" s="1"/>
      <x:c r="F179" s="1"/>
      <x:c r="G179" s="1"/>
      <x:c r="H179" s="7"/>
      <x:c r="I179" s="1"/>
      <x:c r="J179" s="1"/>
      <x:c r="K179" s="1"/>
    </x:row>
    <x:row r="180">
      <x:c r="B180" s="1" t="s">
        <x:v>422</x:v>
      </x:c>
      <x:c r="C180" s="37">
        <x:v>2477</x:v>
      </x:c>
      <x:c r="D180" s="1"/>
      <x:c r="E180" s="1"/>
      <x:c r="F180" s="1"/>
      <x:c r="G180" s="1"/>
      <x:c r="H180" s="7"/>
      <x:c r="I180" s="1"/>
      <x:c r="J180" s="1"/>
      <x:c r="K180" s="1"/>
    </x:row>
    <x:row r="181">
      <x:c r="B181" s="1" t="s">
        <x:v>423</x:v>
      </x:c>
      <x:c r="C181" s="37">
        <x:v>0.45</x:v>
      </x:c>
      <x:c r="D181" s="1"/>
      <x:c r="E181" s="1"/>
      <x:c r="F181" s="1"/>
      <x:c r="G181" s="1"/>
      <x:c r="H181" s="7"/>
      <x:c r="I181" s="1"/>
      <x:c r="J181" s="1"/>
      <x:c r="K181" s="1"/>
    </x:row>
    <x:row r="182">
      <x:c r="B182" s="1" t="s">
        <x:v>424</x:v>
      </x:c>
      <x:c r="C182" s="37">
        <x:v>3</x:v>
      </x:c>
      <x:c r="D182" s="1"/>
      <x:c r="E182" s="1"/>
      <x:c r="F182" s="1"/>
      <x:c r="G182" s="1"/>
      <x:c r="H182" s="7"/>
      <x:c r="I182" s="1"/>
      <x:c r="J182" s="1"/>
      <x:c r="K182" s="1"/>
    </x:row>
    <x:row r="183">
      <x:c r="B183" s="1" t="s">
        <x:v>425</x:v>
      </x:c>
      <x:c r="C183" s="37">
        <x:v>2465</x:v>
      </x:c>
      <x:c r="D183" s="1"/>
      <x:c r="E183" s="1"/>
      <x:c r="F183" s="1"/>
      <x:c r="G183" s="1"/>
      <x:c r="H183" s="7"/>
      <x:c r="I183" s="1"/>
      <x:c r="J183" s="1"/>
      <x:c r="K183" s="1"/>
    </x:row>
    <x:row r="184">
      <x:c r="B184" s="1" t="s">
        <x:v>426</x:v>
      </x:c>
      <x:c r="C184" s="37">
        <x:v>2490</x:v>
      </x:c>
      <x:c r="D184" s="1"/>
      <x:c r="E184" s="1"/>
      <x:c r="F184" s="1"/>
      <x:c r="G184" s="1"/>
      <x:c r="H184" s="7"/>
      <x:c r="I184" s="1"/>
      <x:c r="J184" s="1"/>
      <x:c r="K184" s="1"/>
    </x:row>
    <x:row r="185">
      <x:c r="B185" s="1" t="s">
        <x:v>427</x:v>
      </x:c>
      <x:c r="C185" s="37">
        <x:v>357.49</x:v>
      </x:c>
      <x:c r="D185" s="1"/>
      <x:c r="E185" s="1"/>
      <x:c r="F185" s="1"/>
      <x:c r="G185" s="1"/>
      <x:c r="H185" s="7"/>
      <x:c r="I185" s="1"/>
      <x:c r="J185" s="1"/>
      <x:c r="K185" s="1"/>
    </x:row>
    <x:row r="186">
      <x:c r="B186" s="1" t="s">
        <x:v>428</x:v>
      </x:c>
      <x:c r="C186" s="37">
        <x:v>300.56</x:v>
      </x:c>
      <x:c r="D186" s="1"/>
      <x:c r="E186" s="1"/>
      <x:c r="F186" s="1"/>
      <x:c r="G186" s="1"/>
      <x:c r="H186" s="7"/>
      <x:c r="I186" s="1"/>
      <x:c r="J186" s="1"/>
      <x:c r="K186" s="1"/>
    </x:row>
    <x:row r="187">
      <x:c r="B187" s="1" t="s">
        <x:v>429</x:v>
      </x:c>
      <x:c r="C187" s="37">
        <x:v>164.65</x:v>
      </x:c>
      <x:c r="D187" s="1"/>
      <x:c r="E187" s="1"/>
      <x:c r="F187" s="1"/>
      <x:c r="G187" s="1"/>
      <x:c r="H187" s="7"/>
      <x:c r="I187" s="1"/>
      <x:c r="J187" s="1"/>
      <x:c r="K187" s="1"/>
    </x:row>
    <x:row r="188">
      <x:c r="B188" s="1" t="s">
        <x:v>430</x:v>
      </x:c>
      <x:c r="C188" s="37">
        <x:v>50.15</x:v>
      </x:c>
      <x:c r="D188" s="1"/>
      <x:c r="E188" s="1"/>
      <x:c r="F188" s="1"/>
      <x:c r="G188" s="1"/>
      <x:c r="H188" s="7"/>
      <x:c r="I188" s="1"/>
      <x:c r="J188" s="1"/>
      <x:c r="K188" s="1"/>
    </x:row>
    <x:row r="189">
      <x:c r="B189" s="1" t="s">
        <x:v>431</x:v>
      </x:c>
      <x:c r="C189" s="37">
        <x:v>33.65</x:v>
      </x:c>
      <x:c r="D189" s="1"/>
      <x:c r="E189" s="1"/>
      <x:c r="F189" s="1"/>
      <x:c r="G189" s="1"/>
      <x:c r="H189" s="7"/>
      <x:c r="I189" s="1"/>
      <x:c r="J189" s="1"/>
      <x:c r="K189" s="1"/>
    </x:row>
    <x:row r="190">
      <x:c r="B190" s="1" t="s">
        <x:v>432</x:v>
      </x:c>
      <x:c r="C190" s="37">
        <x:v>26.1</x:v>
      </x:c>
      <x:c r="D190" s="1"/>
      <x:c r="E190" s="1"/>
      <x:c r="F190" s="1"/>
      <x:c r="G190" s="1"/>
      <x:c r="H190" s="7"/>
      <x:c r="I190" s="1"/>
      <x:c r="J190" s="1"/>
      <x:c r="K190" s="1"/>
    </x:row>
    <x:row r="191">
      <x:c r="B191" s="1" t="s">
        <x:v>433</x:v>
      </x:c>
      <x:c r="C191" s="1"/>
      <x:c r="D191" s="1"/>
      <x:c r="E191" s="1"/>
      <x:c r="F191" s="1"/>
      <x:c r="G191" s="1"/>
      <x:c r="H191" s="7"/>
      <x:c r="I191" s="1"/>
      <x:c r="J191" s="1"/>
      <x:c r="K191" s="1"/>
    </x:row>
    <x:row r="192">
      <x:c r="B192" s="1" t="s">
        <x:v>434</x:v>
      </x:c>
      <x:c r="C192" s="1"/>
      <x:c r="D192" s="1"/>
      <x:c r="E192" s="1"/>
      <x:c r="F192" s="1"/>
      <x:c r="G192" s="1"/>
      <x:c r="H192" s="7"/>
      <x:c r="I192" s="1"/>
      <x:c r="J192" s="1"/>
      <x:c r="K192" s="1"/>
    </x:row>
    <x:row r="193">
      <x:c r="B193" s="1" t="s">
        <x:v>435</x:v>
      </x:c>
      <x:c r="C193" s="1"/>
      <x:c r="D193" s="1"/>
      <x:c r="E193" s="1"/>
      <x:c r="F193" s="1"/>
      <x:c r="G193" s="1"/>
      <x:c r="H193" s="7"/>
      <x:c r="I193" s="1"/>
      <x:c r="J193" s="1"/>
      <x:c r="K193" s="1"/>
    </x:row>
    <x:row r="194">
      <x:c r="B194" s="1" t="s">
        <x:v>436</x:v>
      </x:c>
      <x:c r="C194" s="37">
        <x:v>52</x:v>
      </x:c>
      <x:c r="D194" s="1"/>
      <x:c r="E194" s="1"/>
      <x:c r="F194" s="1"/>
      <x:c r="G194" s="1"/>
      <x:c r="H194" s="7"/>
      <x:c r="I194" s="1"/>
      <x:c r="J194" s="1"/>
      <x:c r="K194" s="1"/>
    </x:row>
    <x:row r="195">
      <x:c r="B195" s="1" t="s">
        <x:v>437</x:v>
      </x:c>
      <x:c r="C195" s="37">
        <x:v>36.25</x:v>
      </x:c>
      <x:c r="D195" s="1"/>
      <x:c r="E195" s="1"/>
      <x:c r="F195" s="1"/>
      <x:c r="G195" s="1"/>
      <x:c r="H195" s="7"/>
      <x:c r="I195" s="1"/>
      <x:c r="J195" s="1"/>
      <x:c r="K195" s="1"/>
    </x:row>
    <x:row r="196">
      <x:c r="B196" s="1" t="s">
        <x:v>438</x:v>
      </x:c>
      <x:c r="C196" s="37">
        <x:v>35</x:v>
      </x:c>
      <x:c r="D196" s="1"/>
      <x:c r="E196" s="1"/>
      <x:c r="F196" s="1"/>
      <x:c r="G196" s="1"/>
      <x:c r="H196" s="7"/>
      <x:c r="I196" s="1"/>
      <x:c r="J196" s="1"/>
      <x:c r="K196" s="1"/>
    </x:row>
    <x:row r="197">
      <x:c r="B197" s="1" t="s">
        <x:v>439</x:v>
      </x:c>
      <x:c r="C197" s="37">
        <x:v>45</x:v>
      </x:c>
      <x:c r="D197" s="1"/>
      <x:c r="E197" s="1"/>
      <x:c r="F197" s="1"/>
      <x:c r="G197" s="1"/>
      <x:c r="H197" s="7"/>
      <x:c r="I197" s="1"/>
      <x:c r="J197" s="1"/>
      <x:c r="K197" s="1"/>
    </x:row>
    <x:row r="198">
      <x:c r="B198" s="1" t="s">
        <x:v>440</x:v>
      </x:c>
      <x:c r="C198" s="37">
        <x:v>30</x:v>
      </x:c>
      <x:c r="D198" s="1"/>
      <x:c r="E198" s="1"/>
      <x:c r="F198" s="1"/>
      <x:c r="G198" s="1"/>
      <x:c r="H198" s="7"/>
      <x:c r="I198" s="1"/>
      <x:c r="J198" s="1"/>
      <x:c r="K198" s="1"/>
    </x:row>
    <x:row r="199">
      <x:c r="B199" s="1" t="s">
        <x:v>441</x:v>
      </x:c>
      <x:c r="C199" s="58">
        <x:v>6.5</x:v>
      </x:c>
      <x:c r="D199" s="1"/>
      <x:c r="E199" s="1"/>
      <x:c r="F199" s="1"/>
      <x:c r="G199" s="1"/>
      <x:c r="H199" s="7"/>
      <x:c r="I199" s="1"/>
      <x:c r="J199" s="1"/>
      <x:c r="K199" s="1"/>
    </x:row>
    <x:row r="200" ht="48" customHeight="1">
      <x:c r="B200" s="1" t="s">
        <x:v>442</x:v>
      </x:c>
      <x:c r="C200" s="37">
        <x:v>4</x:v>
      </x:c>
      <x:c r="D200" s="1"/>
      <x:c r="E200" s="1"/>
      <x:c r="F200" s="1"/>
      <x:c r="G200" s="1" t="s">
        <x:v>443</x:v>
      </x:c>
      <x:c r="H200" s="55">
        <x:v>1.65</x:v>
      </x:c>
      <x:c r="I200" s="1"/>
      <x:c r="J200" s="89" t="str">
        <x:v>Approximate market cap. $29.39 x 60.863m shares implies $1.789bn using another snapshot. Both classify as small-cap.</x:v>
      </x:c>
      <x:c r="K200" s="1"/>
    </x:row>
    <x:row r="201">
      <x:c r="B201" s="1" t="s">
        <x:v>444</x:v>
      </x:c>
      <x:c r="C201" s="1" t="s">
        <x:v>445</x:v>
      </x:c>
      <x:c r="D201" s="1"/>
      <x:c r="E201" s="1"/>
      <x:c r="F201" s="1"/>
      <x:c r="G201" s="1" t="s">
        <x:v>446</x:v>
      </x:c>
      <x:c r="H201" s="7" t="s">
        <x:v>447</x:v>
      </x:c>
      <x:c r="I201" s="1"/>
      <x:c r="J201" s="1"/>
      <x:c r="K201" s="1"/>
    </x:row>
    <x:row r="202">
      <x:c r="B202" s="1" t="s">
        <x:v>448</x:v>
      </x:c>
      <x:c r="C202" s="37">
        <x:v>1.75</x:v>
      </x:c>
      <x:c r="D202" s="1"/>
      <x:c r="E202" s="1"/>
      <x:c r="F202" s="1"/>
      <x:c r="G202" s="1" t="s">
        <x:v>449</x:v>
      </x:c>
      <x:c r="H202" s="7" t="b">
        <x:v>0</x:v>
      </x:c>
      <x:c r="I202" s="1"/>
      <x:c r="J202" s="1"/>
      <x:c r="K202" s="1"/>
    </x:row>
    <x:row r="203">
      <x:c r="B203" s="1" t="s">
        <x:v>450</x:v>
      </x:c>
      <x:c r="C203" s="37">
        <x:v>29.39</x:v>
      </x:c>
      <x:c r="D203" s="1"/>
      <x:c r="E203" s="1"/>
      <x:c r="F203" s="1"/>
      <x:c r="G203" s="1"/>
      <x:c r="H203" s="7"/>
      <x:c r="I203" s="1"/>
      <x:c r="J203" s="1"/>
      <x:c r="K203" s="1"/>
    </x:row>
    <x:row r="204">
      <x:c r="B204" s="1" t="s">
        <x:v>451</x:v>
      </x:c>
      <x:c r="C204" s="1"/>
      <x:c r="D204" s="1"/>
      <x:c r="E204" s="1"/>
      <x:c r="F204" s="1"/>
      <x:c r="G204" s="1"/>
      <x:c r="H204" s="7"/>
      <x:c r="I204" s="1"/>
      <x:c r="J204" s="1"/>
      <x:c r="K204" s="1" t="s">
        <x:v>452</x:v>
      </x:c>
    </x:row>
    <x:row r="205" ht="48" customHeight="1">
      <x:c r="B205" s="1"/>
      <x:c r="C205" s="1"/>
      <x:c r="D205" s="1"/>
      <x:c r="E205" s="1"/>
      <x:c r="F205" s="1"/>
      <x:c r="G205" s="1" t="s">
        <x:v>453</x:v>
      </x:c>
      <x:c r="H205" s="59">
        <x:v>0.6</x:v>
      </x:c>
      <x:c r="I205" s="1"/>
      <x:c r="J205" s="89" t="str">
        <x:v>Experimental small-cap prior: 60%. Size bucket: $300m-$2bn. This is a cohort assumption, not CNXC guidance.</x:v>
      </x:c>
      <x:c r="K205" s="1"/>
    </x:row>
    <x:row r="206" ht="48" customHeight="1">
      <x:c r="B206" s="1"/>
      <x:c r="C206" s="1"/>
      <x:c r="D206" s="1"/>
      <x:c r="E206" s="1"/>
      <x:c r="F206" s="1"/>
      <x:c r="G206" s="1" t="s">
        <x:v>454</x:v>
      </x:c>
      <x:c r="H206" s="86">
        <x:v>8</x:v>
      </x:c>
      <x:c r="I206" s="1"/>
      <x:c r="J206" s="89" t="str">
        <x:v>Eight pseudo-observations is a chosen shrinkage weight, not an observed sample count.</x:v>
      </x:c>
      <x:c r="K206" s="1"/>
    </x:row>
    <x:row r="207">
      <x:c r="B207" s="1"/>
      <x:c r="C207" s="1"/>
      <x:c r="D207" s="1"/>
      <x:c r="E207" s="1"/>
      <x:c r="F207" s="1"/>
      <x:c r="G207" s="1" t="s">
        <x:v>455</x:v>
      </x:c>
      <x:c r="H207" s="66" t="n">
        <x:f>SUM(J132:J137)</x:f>
        <x:v>2</x:v>
      </x:c>
      <x:c r="I207" s="1"/>
      <x:c r="J207" s="1"/>
      <x:c r="K207" s="1"/>
    </x:row>
    <x:row r="208">
      <x:c r="B208" s="1" t="s">
        <x:v>456</x:v>
      </x:c>
      <x:c r="C208" s="1" t="s">
        <x:v>457</x:v>
      </x:c>
      <x:c r="D208" s="1"/>
      <x:c r="E208" s="1"/>
      <x:c r="F208" s="1"/>
      <x:c r="G208" s="1" t="s">
        <x:v>458</x:v>
      </x:c>
      <x:c r="H208" s="66" t="n">
        <x:f>IF(AND(ISNUMBER(C132),ISNUMBER(D132)),1,0)+IF(AND(ISNUMBER(C133),ISNUMBER(D133)),1,0)+IF(AND(ISNUMBER(C134),ISNUMBER(D134)),1,0)+IF(AND(ISNUMBER(C135),ISNUMBER(D135)),1,0)+IF(AND(ISNUMBER(C136),ISNUMBER(D136)),1,0)+IF(AND(ISNUMBER(C137),ISNUMBER(D137)),1,0)</x:f>
        <x:v>6</x:v>
      </x:c>
      <x:c r="I208" s="1"/>
      <x:c r="J208" s="1"/>
      <x:c r="K208" s="1"/>
    </x:row>
    <x:row r="209">
      <x:c r="B209" s="1" t="s">
        <x:v>459</x:v>
      </x:c>
      <x:c r="C209" s="1" t="s">
        <x:v>460</x:v>
      </x:c>
      <x:c r="D209" s="1"/>
      <x:c r="E209" s="1"/>
      <x:c r="F209" s="1"/>
      <x:c r="G209" s="1" t="s">
        <x:v>461</x:v>
      </x:c>
      <x:c r="H209" s="66" t="n">
        <x:f>(H206*H205+H207)/(H206+H208)</x:f>
        <x:v>0.4857142857142857</x:v>
      </x:c>
      <x:c r="I209" s="1"/>
      <x:c r="J209" s="1"/>
      <x:c r="K209" s="1"/>
    </x:row>
    <x:row r="210" ht="48" customHeight="1">
      <x:c r="B210" s="1" t="s">
        <x:v>462</x:v>
      </x:c>
      <x:c r="C210" s="58">
        <x:v>46289</x:v>
      </x:c>
      <x:c r="D210" s="1"/>
      <x:c r="E210" s="1"/>
      <x:c r="F210" s="1"/>
      <x:c r="G210" s="1" t="s">
        <x:v>463</x:v>
      </x:c>
      <x:c r="H210" s="59">
        <x:v>-0.06571428571428571</x:v>
      </x:c>
      <x:c r="I210" s="1"/>
      <x:c r="J210" s="89" t="str">
        <x:v>Judgmental quarter adjustment to a 42% beat probability. Not empirically fitted and not an EPS multiplier.</x:v>
      </x:c>
      <x:c r="K210" s="1"/>
    </x:row>
    <x:row r="211">
      <x:c r="B211" s="1"/>
      <x:c r="C211" s="1"/>
      <x:c r="D211" s="1"/>
      <x:c r="E211" s="1"/>
      <x:c r="F211" s="1"/>
      <x:c r="G211" s="1" t="s">
        <x:v>464</x:v>
      </x:c>
      <x:c r="H211" s="66" t="n">
        <x:f>H209+H210</x:f>
        <x:v>0.42</x:v>
      </x:c>
      <x:c r="I211" s="1"/>
      <x:c r="J211" s="1"/>
      <x:c r="K211" s="1"/>
    </x:row>
    <x:row r="212">
      <x:c r="B212" s="1"/>
      <x:c r="C212" s="1"/>
      <x:c r="D212" s="1"/>
      <x:c r="E212" s="1"/>
      <x:c r="F212" s="1"/>
      <x:c r="G212" s="1" t="s">
        <x:v>465</x:v>
      </x:c>
      <x:c r="H212" s="7" t="s">
        <x:v>466</x:v>
      </x:c>
      <x:c r="I212" s="1"/>
      <x:c r="J212" s="1"/>
      <x:c r="K212" s="1"/>
    </x:row>
    <x:row r="213" ht="32" customHeight="1">
      <x:c r="B213" s="89" t="s">
        <x:v>467</x:v>
      </x:c>
      <x:c r="C213" s="1"/>
      <x:c r="D213" s="1"/>
      <x:c r="E213" s="1"/>
      <x:c r="F213" s="1"/>
      <x:c r="G213" s="1"/>
      <x:c r="H213" s="7"/>
      <x:c r="I213" s="1"/>
      <x:c r="J213" s="1"/>
      <x:c r="K213" s="1"/>
    </x:row>
    <x:row r="214">
      <x:c r="B214" s="1" t="s">
        <x:v>468</x:v>
      </x:c>
      <x:c r="C214" s="1" t="s">
        <x:v>3</x:v>
      </x:c>
      <x:c r="D214" s="1" t="s">
        <x:v>223</x:v>
      </x:c>
      <x:c r="E214" s="1" t="s">
        <x:v>224</x:v>
      </x:c>
      <x:c r="F214" s="1" t="s">
        <x:v>225</x:v>
      </x:c>
      <x:c r="G214" s="1"/>
      <x:c r="H214" s="7"/>
      <x:c r="I214" s="1"/>
      <x:c r="J214" s="1"/>
      <x:c r="K214" s="1"/>
    </x:row>
    <x:row r="215">
      <x:c r="B215" s="87">
        <x:v>46202</x:v>
      </x:c>
      <x:c r="C215" s="1" t="s">
        <x:v>469</x:v>
      </x:c>
      <x:c r="D215" s="1" t="s">
        <x:v>95</x:v>
      </x:c>
      <x:c r="E215" s="37">
        <x:v>2465</x:v>
      </x:c>
      <x:c r="F215" s="37">
        <x:v>2490</x:v>
      </x:c>
      <x:c r="G215" s="1"/>
      <x:c r="H215" s="7"/>
      <x:c r="I215" s="1"/>
      <x:c r="J215" s="1"/>
      <x:c r="K215" s="1"/>
    </x:row>
    <x:row r="216">
      <x:c r="B216" s="87">
        <x:v>46202</x:v>
      </x:c>
      <x:c r="C216" s="1" t="s">
        <x:v>469</x:v>
      </x:c>
      <x:c r="D216" s="1" t="s">
        <x:v>470</x:v>
      </x:c>
      <x:c r="E216" s="37">
        <x:v>120.9</x:v>
      </x:c>
      <x:c r="F216" s="37">
        <x:v>130.9</x:v>
      </x:c>
      <x:c r="G216" s="1"/>
      <x:c r="H216" s="7"/>
      <x:c r="I216" s="1"/>
      <x:c r="J216" s="1"/>
      <x:c r="K216" s="1"/>
    </x:row>
    <x:row r="217">
      <x:c r="B217" s="87">
        <x:v>46202</x:v>
      </x:c>
      <x:c r="C217" s="1" t="s">
        <x:v>469</x:v>
      </x:c>
      <x:c r="D217" s="1" t="s">
        <x:v>374</x:v>
      </x:c>
      <x:c r="E217" s="37">
        <x:v>295</x:v>
      </x:c>
      <x:c r="F217" s="37">
        <x:v>305</x:v>
      </x:c>
      <x:c r="G217" s="1"/>
      <x:c r="H217" s="7"/>
      <x:c r="I217" s="1"/>
      <x:c r="J217" s="1"/>
      <x:c r="K217" s="1"/>
    </x:row>
    <x:row r="218">
      <x:c r="B218" s="87">
        <x:v>46202</x:v>
      </x:c>
      <x:c r="C218" s="1" t="s">
        <x:v>469</x:v>
      </x:c>
      <x:c r="D218" s="1" t="s">
        <x:v>34</x:v>
      </x:c>
      <x:c r="E218" s="37">
        <x:v>2.65</x:v>
      </x:c>
      <x:c r="F218" s="37">
        <x:v>2.77</x:v>
      </x:c>
      <x:c r="G218" s="1"/>
      <x:c r="H218" s="7"/>
      <x:c r="I218" s="1"/>
      <x:c r="J218" s="1"/>
      <x:c r="K218" s="1"/>
    </x:row>
    <x:row r="219">
      <x:c r="B219" s="87">
        <x:v>46202</x:v>
      </x:c>
      <x:c r="C219" s="1" t="s">
        <x:v>469</x:v>
      </x:c>
      <x:c r="D219" s="1" t="str">
        <x:v>Non-GAAP effective tax rate</x:v>
      </x:c>
      <x:c r="E219" s="37">
        <x:v>0.25</x:v>
      </x:c>
      <x:c r="F219" s="37">
        <x:v>0.25</x:v>
      </x:c>
      <x:c r="G219" s="1"/>
      <x:c r="H219" s="7"/>
      <x:c r="I219" s="1"/>
      <x:c r="J219" s="1"/>
      <x:c r="K219" s="1"/>
    </x:row>
    <x:row r="220">
      <x:c r="B220" s="87">
        <x:v>46202</x:v>
      </x:c>
      <x:c r="C220" s="1" t="s">
        <x:v>469</x:v>
      </x:c>
      <x:c r="D220" s="1" t="s">
        <x:v>471</x:v>
      </x:c>
      <x:c r="E220" s="37">
        <x:v>60.9</x:v>
      </x:c>
      <x:c r="F220" s="37">
        <x:v>60.9</x:v>
      </x:c>
      <x:c r="G220" s="1"/>
      <x:c r="H220" s="7"/>
      <x:c r="I220" s="1"/>
      <x:c r="J220" s="1"/>
      <x:c r="K220" s="1"/>
    </x:row>
    <x:row r="221">
      <x:c r="B221" s="87">
        <x:v>46202</x:v>
      </x:c>
      <x:c r="C221" s="1" t="s">
        <x:v>469</x:v>
      </x:c>
      <x:c r="D221" s="1" t="s">
        <x:v>472</x:v>
      </x:c>
      <x:c r="E221" s="37">
        <x:v>-0.0075</x:v>
      </x:c>
      <x:c r="F221" s="37">
        <x:v>-0.0075</x:v>
      </x:c>
      <x:c r="G221" s="1"/>
      <x:c r="H221" s="7"/>
      <x:c r="I221" s="1"/>
      <x:c r="J221" s="1"/>
      <x:c r="K221" s="1"/>
    </x:row>
    <x:row r="222">
      <x:c r="B222" s="87">
        <x:v>46202</x:v>
      </x:c>
      <x:c r="C222" s="1" t="s">
        <x:v>473</x:v>
      </x:c>
      <x:c r="D222" s="1" t="s">
        <x:v>95</x:v>
      </x:c>
      <x:c r="E222" s="37">
        <x:v>9925</x:v>
      </x:c>
      <x:c r="F222" s="37">
        <x:v>10025</x:v>
      </x:c>
      <x:c r="G222" s="1"/>
      <x:c r="H222" s="7"/>
      <x:c r="I222" s="1"/>
      <x:c r="J222" s="1"/>
      <x:c r="K222" s="1"/>
    </x:row>
    <x:row r="223">
      <x:c r="B223" s="87">
        <x:v>46202</x:v>
      </x:c>
      <x:c r="C223" s="1" t="s">
        <x:v>473</x:v>
      </x:c>
      <x:c r="D223" s="1" t="s">
        <x:v>34</x:v>
      </x:c>
      <x:c r="E223" s="37">
        <x:v>10.83</x:v>
      </x:c>
      <x:c r="F223" s="37">
        <x:v>11.18</x:v>
      </x:c>
      <x:c r="G223" s="1"/>
      <x:c r="H223" s="7"/>
      <x:c r="I223" s="1"/>
      <x:c r="J223" s="1"/>
      <x:c r="K223" s="1"/>
    </x:row>
    <x:row r="224">
      <x:c r="B224" s="87">
        <x:v>46202</x:v>
      </x:c>
      <x:c r="C224" s="1" t="s">
        <x:v>473</x:v>
      </x:c>
      <x:c r="D224" s="1" t="s">
        <x:v>474</x:v>
      </x:c>
      <x:c r="E224" s="37">
        <x:v>630</x:v>
      </x:c>
      <x:c r="F224" s="37">
        <x:v>650</x:v>
      </x:c>
      <x:c r="G224" s="1"/>
      <x:c r="H224" s="7"/>
      <x:c r="I224" s="1"/>
      <x:c r="J224" s="1"/>
      <x:c r="K224" s="1"/>
    </x:row>
    <x:row r="225">
      <x:c r="B225" s="87">
        <x:v>46105</x:v>
      </x:c>
      <x:c r="C225" s="1" t="s">
        <x:v>475</x:v>
      </x:c>
      <x:c r="D225" s="1" t="s">
        <x:v>95</x:v>
      </x:c>
      <x:c r="E225" s="37">
        <x:v>2460</x:v>
      </x:c>
      <x:c r="F225" s="37">
        <x:v>2485</x:v>
      </x:c>
      <x:c r="G225" s="1"/>
      <x:c r="H225" s="7"/>
      <x:c r="I225" s="1"/>
      <x:c r="J225" s="1"/>
      <x:c r="K225" s="1"/>
    </x:row>
    <x:row r="226">
      <x:c r="B226" s="87">
        <x:v>46105</x:v>
      </x:c>
      <x:c r="C226" s="1" t="s">
        <x:v>475</x:v>
      </x:c>
      <x:c r="D226" s="1" t="s">
        <x:v>34</x:v>
      </x:c>
      <x:c r="E226" s="37">
        <x:v>2.57</x:v>
      </x:c>
      <x:c r="F226" s="37">
        <x:v>2.69</x:v>
      </x:c>
      <x:c r="G226" s="1"/>
      <x:c r="H226" s="7"/>
      <x:c r="I226" s="1"/>
      <x:c r="J226" s="1"/>
      <x:c r="K226" s="1"/>
    </x:row>
    <x:row r="227">
      <x:c r="B227" s="87">
        <x:v>46035</x:v>
      </x:c>
      <x:c r="C227" s="1" t="s">
        <x:v>476</x:v>
      </x:c>
      <x:c r="D227" s="1" t="s">
        <x:v>95</x:v>
      </x:c>
      <x:c r="E227" s="37">
        <x:v>2475</x:v>
      </x:c>
      <x:c r="F227" s="37">
        <x:v>2500</x:v>
      </x:c>
      <x:c r="G227" s="1"/>
      <x:c r="H227" s="7"/>
      <x:c r="I227" s="1"/>
      <x:c r="J227" s="1"/>
      <x:c r="K227" s="1"/>
    </x:row>
    <x:row r="228">
      <x:c r="B228" s="87">
        <x:v>46035</x:v>
      </x:c>
      <x:c r="C228" s="1" t="s">
        <x:v>476</x:v>
      </x:c>
      <x:c r="D228" s="1" t="s">
        <x:v>34</x:v>
      </x:c>
      <x:c r="E228" s="37">
        <x:v>2.57</x:v>
      </x:c>
      <x:c r="F228" s="37">
        <x:v>2.69</x:v>
      </x:c>
      <x:c r="G228" s="1"/>
      <x:c r="H228" s="7"/>
      <x:c r="I228" s="1"/>
      <x:c r="J228" s="1"/>
      <x:c r="K228" s="1"/>
    </x:row>
    <x:row r="229">
      <x:c r="B229" s="87">
        <x:v>45925</x:v>
      </x:c>
      <x:c r="C229" s="1" t="s">
        <x:v>477</x:v>
      </x:c>
      <x:c r="D229" s="1" t="s">
        <x:v>95</x:v>
      </x:c>
      <x:c r="E229" s="37">
        <x:v>2525</x:v>
      </x:c>
      <x:c r="F229" s="37">
        <x:v>2550</x:v>
      </x:c>
      <x:c r="G229" s="1"/>
      <x:c r="H229" s="7"/>
      <x:c r="I229" s="1"/>
      <x:c r="J229" s="1"/>
      <x:c r="K229" s="1"/>
    </x:row>
    <x:row r="230">
      <x:c r="B230" s="87">
        <x:v>45925</x:v>
      </x:c>
      <x:c r="C230" s="1" t="s">
        <x:v>477</x:v>
      </x:c>
      <x:c r="D230" s="1" t="s">
        <x:v>34</x:v>
      </x:c>
      <x:c r="E230" s="37">
        <x:v>2.85</x:v>
      </x:c>
      <x:c r="F230" s="37">
        <x:v>2.96</x:v>
      </x:c>
      <x:c r="G230" s="1"/>
      <x:c r="H230" s="7"/>
      <x:c r="I230" s="1"/>
      <x:c r="J230" s="1"/>
      <x:c r="K230" s="1"/>
    </x:row>
    <x:row r="231">
      <x:c r="B231" s="87">
        <x:v>46202</x:v>
      </x:c>
      <x:c r="C231" s="1" t="s">
        <x:v>469</x:v>
      </x:c>
      <x:c r="D231" s="1" t="s">
        <x:v>478</x:v>
      </x:c>
      <x:c r="E231" s="37">
        <x:v>102.5</x:v>
      </x:c>
      <x:c r="F231" s="1" t="n">
        <x:f>E231</x:f>
        <x:v>102.5</x:v>
      </x:c>
      <x:c r="G231" s="1"/>
      <x:c r="H231" s="7"/>
      <x:c r="I231" s="1"/>
      <x:c r="J231" s="1"/>
      <x:c r="K231" s="1"/>
    </x:row>
    <x:row r="232">
      <x:c r="B232" s="87">
        <x:v>46202</x:v>
      </x:c>
      <x:c r="C232" s="1" t="s">
        <x:v>469</x:v>
      </x:c>
      <x:c r="D232" s="1" t="s">
        <x:v>116</x:v>
      </x:c>
      <x:c r="E232" s="37">
        <x:v>23.8</x:v>
      </x:c>
      <x:c r="F232" s="1" t="n">
        <x:f>E232</x:f>
        <x:v>23.8</x:v>
      </x:c>
      <x:c r="G232" s="1"/>
      <x:c r="H232" s="7"/>
      <x:c r="I232" s="1"/>
      <x:c r="J232" s="1"/>
      <x:c r="K232" s="1"/>
    </x:row>
    <x:row r="233">
      <x:c r="B233" s="87">
        <x:v>46202</x:v>
      </x:c>
      <x:c r="C233" s="1" t="s">
        <x:v>469</x:v>
      </x:c>
      <x:c r="D233" s="1" t="s">
        <x:v>479</x:v>
      </x:c>
      <x:c r="E233" s="37">
        <x:v>45</x:v>
      </x:c>
      <x:c r="F233" s="1" t="n">
        <x:f>E233</x:f>
        <x:v>45</x:v>
      </x:c>
      <x:c r="G233" s="1"/>
      <x:c r="H233" s="7"/>
      <x:c r="I233" s="1"/>
      <x:c r="J233" s="1"/>
      <x:c r="K233" s="1"/>
    </x:row>
    <x:row r="234">
      <x:c r="B234" s="87">
        <x:v>46202</x:v>
      </x:c>
      <x:c r="C234" s="1" t="s">
        <x:v>469</x:v>
      </x:c>
      <x:c r="D234" s="1" t="s">
        <x:v>117</x:v>
      </x:c>
      <x:c r="E234" s="37">
        <x:v>2.8</x:v>
      </x:c>
      <x:c r="F234" s="1" t="n">
        <x:f>E234</x:f>
        <x:v>2.8</x:v>
      </x:c>
      <x:c r="G234" s="1"/>
      <x:c r="H234" s="7"/>
      <x:c r="I234" s="1"/>
      <x:c r="J234" s="1"/>
      <x:c r="K234" s="1"/>
    </x:row>
    <x:row r="235">
      <x:c r="B235" s="1"/>
      <x:c r="C235" s="1"/>
      <x:c r="D235" s="1"/>
      <x:c r="E235" s="1"/>
      <x:c r="F235" s="1"/>
      <x:c r="G235" s="1"/>
      <x:c r="H235" s="7"/>
      <x:c r="I235" s="1"/>
      <x:c r="J235" s="1"/>
      <x:c r="K235" s="1"/>
    </x:row>
    <x:row r="236" ht="32" customHeight="1">
      <x:c r="B236" s="89" t="s">
        <x:v>480</x:v>
      </x:c>
      <x:c r="C236" s="1"/>
      <x:c r="D236" s="1"/>
      <x:c r="E236" s="1"/>
      <x:c r="F236" s="1"/>
      <x:c r="G236" s="1"/>
      <x:c r="H236" s="7"/>
      <x:c r="I236" s="1"/>
      <x:c r="J236" s="1"/>
      <x:c r="K236" s="1"/>
    </x:row>
    <x:row r="237">
      <x:c r="B237" s="61" t="s">
        <x:v>481</x:v>
      </x:c>
      <x:c r="C237" s="67">
        <x:v>2372.222</x:v>
      </x:c>
      <x:c r="D237" s="67">
        <x:v>2417.371</x:v>
      </x:c>
      <x:c r="E237" s="61" t="n">
        <x:f>E18-SUM(C237,D237,C18,D18)</x:f>
        <x:v>0</x:v>
      </x:c>
      <x:c r="F237" s="61"/>
      <x:c r="G237" s="61"/>
      <x:c r="H237" s="65"/>
      <x:c r="I237" s="1"/>
      <x:c r="J237" s="1"/>
      <x:c r="K237" s="1"/>
    </x:row>
    <x:row r="238">
      <x:c r="B238" s="61" t="s">
        <x:v>482</x:v>
      </x:c>
      <x:c r="C238" s="67">
        <x:v>1516.323</x:v>
      </x:c>
      <x:c r="D238" s="67">
        <x:v>1569.223</x:v>
      </x:c>
      <x:c r="E238" s="61" t="n">
        <x:f>E20-SUM(C238,D238,C20,D20)</x:f>
        <x:v>0</x:v>
      </x:c>
      <x:c r="F238" s="61"/>
      <x:c r="G238" s="61"/>
      <x:c r="H238" s="65"/>
      <x:c r="I238" s="1"/>
      <x:c r="J238" s="1"/>
      <x:c r="K238" s="1"/>
    </x:row>
    <x:row r="239">
      <x:c r="B239" s="61" t="s">
        <x:v>483</x:v>
      </x:c>
      <x:c r="C239" s="67">
        <x:v>855.899</x:v>
      </x:c>
      <x:c r="D239" s="67">
        <x:v>848.148</x:v>
      </x:c>
      <x:c r="E239" s="61" t="n">
        <x:f>E18-E20-SUM(C239,D239,C18-C20,D18-D20)</x:f>
        <x:v>0</x:v>
      </x:c>
      <x:c r="F239" s="61"/>
      <x:c r="G239" s="61"/>
      <x:c r="H239" s="65"/>
      <x:c r="I239" s="1"/>
      <x:c r="J239" s="1"/>
      <x:c r="K239" s="1"/>
    </x:row>
  </x:sheetData>
  <x:pageMargins left="0.7" right="0.7" top="0.75" bottom="0.75" header="0.3" footer="0.3"/>
</x:worksheet>
</file>