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worksheets/sheet6.xml" ContentType="application/vnd.openxmlformats-officedocument.spreadsheetml.worksheet+xml"/>
  <Override PartName="/xl/comments4.xml" ContentType="application/vnd.openxmlformats-officedocument.spreadsheetml.comments+xml"/>
  <Override PartName="/xl/worksheets/sheet7.xml" ContentType="application/vnd.openxmlformats-officedocument.spreadsheetml.worksheet+xml"/>
  <Override PartName="/xl/comments5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6.xml" ContentType="application/vnd.openxmlformats-officedocument.spreadsheetml.comments+xml"/>
  <Override PartName="/xl/worksheets/sheet10.xml" ContentType="application/vnd.openxmlformats-officedocument.spreadsheetml.worksheet+xml"/>
  <Override PartName="/xl/comments7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8.xml" ContentType="application/vnd.openxmlformats-officedocument.spreadsheetml.comments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omments9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fd15a289549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6cf35d079c4245b2"/>
    <x:sheet xmlns:r="http://schemas.openxmlformats.org/officeDocument/2006/relationships" name="Revenue summary" sheetId="2" r:id="R687fa79d70904119"/>
    <x:sheet xmlns:r="http://schemas.openxmlformats.org/officeDocument/2006/relationships" name="Segment - Parts Supply" sheetId="3" r:id="R62709903d2ed428e"/>
    <x:sheet xmlns:r="http://schemas.openxmlformats.org/officeDocument/2006/relationships" name="Segment - RE&amp;S" sheetId="4" r:id="R7e39b870425f4cfc"/>
    <x:sheet xmlns:r="http://schemas.openxmlformats.org/officeDocument/2006/relationships" name="Segment - Government Solutions" sheetId="5" r:id="R8b329636cc884a51"/>
    <x:sheet xmlns:r="http://schemas.openxmlformats.org/officeDocument/2006/relationships" name="Segment - Legacy Commercial" sheetId="6" r:id="R29d052484e8d4484"/>
    <x:sheet xmlns:r="http://schemas.openxmlformats.org/officeDocument/2006/relationships" name="Income Statement" sheetId="7" r:id="R97932fe111f2458f"/>
    <x:sheet xmlns:r="http://schemas.openxmlformats.org/officeDocument/2006/relationships" name="Balance Sheet" sheetId="8" r:id="R0f4cc154d6f9431a"/>
    <x:sheet xmlns:r="http://schemas.openxmlformats.org/officeDocument/2006/relationships" name="Cash Flow Statement" sheetId="9" r:id="Rc7fc4e17332c4e3b"/>
    <x:sheet xmlns:r="http://schemas.openxmlformats.org/officeDocument/2006/relationships" name="Geo" sheetId="10" r:id="R5e3bd74279a34868"/>
    <x:sheet xmlns:r="http://schemas.openxmlformats.org/officeDocument/2006/relationships" name="Share Count" sheetId="11" r:id="Rbeb27077654544b5"/>
    <x:sheet xmlns:r="http://schemas.openxmlformats.org/officeDocument/2006/relationships" name="Guidance" sheetId="12" r:id="Raa8f97ea7f2d45aa"/>
    <x:sheet xmlns:r="http://schemas.openxmlformats.org/officeDocument/2006/relationships" name="Sources" sheetId="13" r:id="Recf84526c043458e"/>
    <x:sheet xmlns:r="http://schemas.openxmlformats.org/officeDocument/2006/relationships" name="Inputs" sheetId="14" r:id="R6b166118d28748b7"/>
  </x:sheets>
</x:workbook>
</file>

<file path=xl/comments1.xml><?xml version="1.0" encoding="utf-8"?>
<x:comments xmlns:x="http://schemas.openxmlformats.org/spreadsheetml/2006/main">
  <x:authors>
    <x:author>Shortcut</x:author>
  </x:authors>
  <x:commentList>
    <x:comment ref="K53" authorId="0">
      <x:text>
        <x:r>
          <x:t>air-20260531x10k.htm | Page n/a | $115.3 million</x:t>
        </x:r>
      </x:text>
    </x:comment>
    <x:comment ref="C9" authorId="0">
      <x:text>
        <x:r>
          <x:t>tm2612934d1_ex99-1.htm | Page n/a | 254.5</x:t>
        </x:r>
      </x:text>
    </x:comment>
    <x:comment ref="C19" authorId="0">
      <x:text>
        <x:r>
          <x:t>tm2612934d1_ex99-1.htm | Page n/a | 63.3</x:t>
        </x:r>
      </x:text>
    </x:comment>
    <x:comment ref="D9" authorId="0">
      <x:text>
        <x:r>
          <x:t>tm2612934d1_ex99-1.htm | Page n/a | 268.1</x:t>
        </x:r>
      </x:text>
    </x:comment>
    <x:comment ref="D19" authorId="0">
      <x:text>
        <x:r>
          <x:t>tm2612934d1_ex99-1.htm | Page n/a | 85.5</x:t>
        </x:r>
      </x:text>
    </x:comment>
    <x:comment ref="E9" authorId="0">
      <x:text>
        <x:r>
          <x:t>tm2612934d1_ex99-1.htm | Page n/a | 300</x:t>
        </x:r>
      </x:text>
    </x:comment>
    <x:comment ref="E19" authorId="0">
      <x:text>
        <x:r>
          <x:t>tm2612934d1_ex99-1.htm | Page n/a | 92.5</x:t>
        </x:r>
      </x:text>
    </x:comment>
    <x:comment ref="G9" authorId="0">
      <x:text>
        <x:r>
          <x:t>tm2612934d1_ex99-1.htm | Page n/a | 1153.4</x:t>
        </x:r>
      </x:text>
    </x:comment>
    <x:comment ref="G19" authorId="0">
      <x:text>
        <x:r>
          <x:t>tm2612934d1_ex99-1.htm | Page n/a | 334.3</x:t>
        </x:r>
      </x:text>
    </x:comment>
    <x:comment ref="L9" authorId="0">
      <x:text>
        <x:r>
          <x:t>tm2612934d1_ex99-1.htm | Page n/a | 210.4</x:t>
        </x:r>
      </x:text>
    </x:comment>
  </x:commentList>
</x:comments>
</file>

<file path=xl/comments2.xml><?xml version="1.0" encoding="utf-8"?>
<x:comments xmlns:x="http://schemas.openxmlformats.org/spreadsheetml/2006/main">
  <x:authors>
    <x:author>Shortcut</x:author>
  </x:authors>
  <x:commentList>
    <x:comment ref="C9" authorId="0">
      <x:text>
        <x:r>
          <x:t>tm2612934d1_ex99-1.htm | Page n/a | 206.6</x:t>
        </x:r>
      </x:text>
    </x:comment>
    <x:comment ref="C19" authorId="0">
      <x:text>
        <x:r>
          <x:t>tm2612934d1_ex99-1.htm | Page n/a | 19.8</x:t>
        </x:r>
      </x:text>
    </x:comment>
    <x:comment ref="D9" authorId="0">
      <x:text>
        <x:r>
          <x:t>tm2612934d1_ex99-1.htm | Page n/a | 236.6</x:t>
        </x:r>
      </x:text>
    </x:comment>
    <x:comment ref="D19" authorId="0">
      <x:text>
        <x:r>
          <x:t>tm2612934d1_ex99-1.htm | Page n/a | 21.1</x:t>
        </x:r>
      </x:text>
    </x:comment>
    <x:comment ref="E9" authorId="0">
      <x:text>
        <x:r>
          <x:t>tm2612934d1_ex99-1.htm | Page n/a | 258.9</x:t>
        </x:r>
      </x:text>
    </x:comment>
    <x:comment ref="E19" authorId="0">
      <x:text>
        <x:r>
          <x:t>tm2612934d1_ex99-1.htm | Page n/a | 23.4</x:t>
        </x:r>
      </x:text>
    </x:comment>
    <x:comment ref="G9" authorId="0">
      <x:text>
        <x:r>
          <x:t>tm2612934d1_ex99-1.htm | Page n/a | 990.2</x:t>
        </x:r>
      </x:text>
    </x:comment>
    <x:comment ref="G19" authorId="0">
      <x:text>
        <x:r>
          <x:t>tm2612934d1_ex99-1.htm | Page n/a | 90.6</x:t>
        </x:r>
      </x:text>
    </x:comment>
    <x:comment ref="L9" authorId="0">
      <x:text>
        <x:r>
          <x:t>tm2612934d1_ex99-1.htm | Page n/a | 199.9</x:t>
        </x:r>
      </x:text>
    </x:comment>
  </x:commentList>
</x:comments>
</file>

<file path=xl/comments3.xml><?xml version="1.0" encoding="utf-8"?>
<x:comments xmlns:x="http://schemas.openxmlformats.org/spreadsheetml/2006/main">
  <x:authors>
    <x:author>Shortcut</x:author>
  </x:authors>
  <x:commentList>
    <x:comment ref="C9" authorId="0">
      <x:text>
        <x:r>
          <x:t>tm2612934d1_ex99-1.htm | Page n/a | 0.7</x:t>
        </x:r>
      </x:text>
    </x:comment>
    <x:comment ref="C19" authorId="0">
      <x:text>
        <x:r>
          <x:t>tm2612934d1_ex99-1.htm | Page n/a | 133.2</x:t>
        </x:r>
      </x:text>
    </x:comment>
    <x:comment ref="D9" authorId="0">
      <x:text>
        <x:r>
          <x:t>tm2612934d1_ex99-1.htm | Page n/a | 1.2</x:t>
        </x:r>
      </x:text>
    </x:comment>
    <x:comment ref="D19" authorId="0">
      <x:text>
        <x:r>
          <x:t>tm2612934d1_ex99-1.htm | Page n/a | 122.3</x:t>
        </x:r>
      </x:text>
    </x:comment>
    <x:comment ref="E9" authorId="0">
      <x:text>
        <x:r>
          <x:t>tm2612934d1_ex99-1.htm | Page n/a | 1.3</x:t>
        </x:r>
      </x:text>
    </x:comment>
    <x:comment ref="E19" authorId="0">
      <x:text>
        <x:r>
          <x:t>tm2612934d1_ex99-1.htm | Page n/a | 113.4</x:t>
        </x:r>
      </x:text>
    </x:comment>
    <x:comment ref="G9" authorId="0">
      <x:text>
        <x:r>
          <x:t>tm2612934d1_ex99-1.htm | Page n/a | 3.3</x:t>
        </x:r>
      </x:text>
    </x:comment>
    <x:comment ref="G19" authorId="0">
      <x:text>
        <x:r>
          <x:t>tm2612934d1_ex99-1.htm | Page n/a | 499</x:t>
        </x:r>
      </x:text>
    </x:comment>
    <x:comment ref="L9" authorId="0">
      <x:text>
        <x:r>
          <x:t>tm2612934d1_ex99-1.htm | Page n/a | 1.3</x:t>
        </x:r>
      </x:text>
    </x:comment>
  </x:commentList>
</x:comments>
</file>

<file path=xl/comments4.xml><?xml version="1.0" encoding="utf-8"?>
<x:comments xmlns:x="http://schemas.openxmlformats.org/spreadsheetml/2006/main">
  <x:authors>
    <x:author>Shortcut</x:author>
  </x:authors>
  <x:commentList>
    <x:comment ref="C9" authorId="0">
      <x:text>
        <x:r>
          <x:t>tm2612934d1_ex99-1.htm | Page n/a | 61.5</x:t>
        </x:r>
      </x:text>
    </x:comment>
    <x:comment ref="C19" authorId="0">
      <x:text>
        <x:r>
          <x:t>tm2612934d1_ex99-1.htm | Page n/a | 0</x:t>
        </x:r>
      </x:text>
    </x:comment>
    <x:comment ref="D9" authorId="0">
      <x:text>
        <x:r>
          <x:t>tm2612934d1_ex99-1.htm | Page n/a | 60.5</x:t>
        </x:r>
      </x:text>
    </x:comment>
    <x:comment ref="D19" authorId="0">
      <x:text>
        <x:r>
          <x:t>tm2612934d1_ex99-1.htm | Page n/a | 0</x:t>
        </x:r>
      </x:text>
    </x:comment>
    <x:comment ref="E9" authorId="0">
      <x:text>
        <x:r>
          <x:t>tm2612934d1_ex99-1.htm | Page n/a | 55.6</x:t>
        </x:r>
      </x:text>
    </x:comment>
    <x:comment ref="E19" authorId="0">
      <x:text>
        <x:r>
          <x:t>tm2612934d1_ex99-1.htm | Page n/a | 0</x:t>
        </x:r>
      </x:text>
    </x:comment>
    <x:comment ref="G9" authorId="0">
      <x:text>
        <x:r>
          <x:t>tm2612934d1_ex99-1.htm | Page n/a | 237.2</x:t>
        </x:r>
      </x:text>
    </x:comment>
    <x:comment ref="G19" authorId="0">
      <x:text>
        <x:r>
          <x:t>tm2612934d1_ex99-1.htm | Page n/a | 0</x:t>
        </x:r>
      </x:text>
    </x:comment>
    <x:comment ref="L9" authorId="0">
      <x:text>
        <x:r>
          <x:t>tm2612934d1_ex99-1.htm | Page n/a | 61.3</x:t>
        </x:r>
      </x:text>
    </x:comment>
  </x:commentList>
</x:comments>
</file>

<file path=xl/comments5.xml><?xml version="1.0" encoding="utf-8"?>
<x:comments xmlns:x="http://schemas.openxmlformats.org/spreadsheetml/2006/main">
  <x:authors>
    <x:author>Shortcut</x:author>
  </x:authors>
  <x:commentList>
    <x:comment ref="C34" authorId="0">
      <x:text>
        <x:r>
          <x:t>tm2526233d1_ex99-1.htm | Page n/a | 6.4</x:t>
        </x:r>
      </x:text>
    </x:comment>
    <x:comment ref="D34" authorId="0">
      <x:text>
        <x:r>
          <x:t>tm261729d1_ex99-1.htm | Page n/a | 14.2</x:t>
        </x:r>
      </x:text>
    </x:comment>
    <x:comment ref="E34" authorId="0">
      <x:text>
        <x:r>
          <x:t>tm269282d1_ex99-1.htm | Page n/a | 15.5</x:t>
        </x:r>
      </x:text>
    </x:comment>
    <x:comment ref="F34" authorId="0">
      <x:text>
        <x:r>
          <x:t>tm2620584d1_ex99-1.htm | Page n/a | 17.9</x:t>
        </x:r>
      </x:text>
    </x:comment>
    <x:comment ref="G34" authorId="0">
      <x:text>
        <x:r>
          <x:t>tm2620584d1_ex99-1.htm | Page n/a | 54.0</x:t>
        </x:r>
      </x:text>
    </x:comment>
    <x:comment ref="G33" authorId="0">
      <x:text>
        <x:r>
          <x:t>air-20260531x10k.htm | Page n/a | 4.86</x:t>
        </x:r>
      </x:text>
    </x:comment>
    <x:comment ref="E35" authorId="0">
      <x:text>
        <x:r>
          <x:t>tm269282d1_ex99-1.htm | Page n/a | (35.7)</x:t>
        </x:r>
      </x:text>
    </x:comment>
    <x:comment ref="K9" authorId="0">
      <x:text>
        <x:r>
          <x:t>air-20260531x10k.htm | Page n/a | 1,712.3</x:t>
        </x:r>
      </x:text>
    </x:comment>
    <x:comment ref="K10" authorId="0">
      <x:text>
        <x:r>
          <x:t>air-20260531x10k.htm | Page n/a | 1,068.2</x:t>
        </x:r>
      </x:text>
    </x:comment>
    <x:comment ref="L9" authorId="0">
      <x:text>
        <x:r>
          <x:t>air-20250831x10q.htm | Page n/a | 396.9</x:t>
        </x:r>
      </x:text>
    </x:comment>
    <x:comment ref="L10" authorId="0">
      <x:text>
        <x:r>
          <x:t>air-20250831x10q.htm | Page n/a | 264.8</x:t>
        </x:r>
      </x:text>
    </x:comment>
  </x:commentList>
</x:comments>
</file>

<file path=xl/comments6.xml><?xml version="1.0" encoding="utf-8"?>
<x:comments xmlns:x="http://schemas.openxmlformats.org/spreadsheetml/2006/main">
  <x:authors>
    <x:author>Shortcut</x:author>
  </x:authors>
  <x:commentList>
    <x:comment ref="G48" authorId="0">
      <x:text>
        <x:r>
          <x:t>R7.htm | Page n/a | (7.2)</x:t>
        </x:r>
      </x:text>
    </x:comment>
  </x:commentList>
</x:comments>
</file>

<file path=xl/comments7.xml><?xml version="1.0" encoding="utf-8"?>
<x:comments xmlns:x="http://schemas.openxmlformats.org/spreadsheetml/2006/main">
  <x:authors>
    <x:author>Shortcut</x:author>
  </x:authors>
  <x:commentList>
    <x:comment ref="G18" authorId="0">
      <x:text>
        <x:r>
          <x:t>R39.htm | Page n/a | 840.6</x:t>
        </x:r>
      </x:text>
    </x:comment>
    <x:comment ref="K18" authorId="0">
      <x:text>
        <x:r>
          <x:t>R39.htm | Page n/a | 631.6</x:t>
        </x:r>
      </x:text>
    </x:comment>
    <x:comment ref="K24" authorId="0">
      <x:text>
        <x:r>
          <x:t>R39.htm | Page n/a | 735.9</x:t>
        </x:r>
      </x:text>
    </x:comment>
    <x:comment ref="K30" authorId="0">
      <x:text>
        <x:r>
          <x:t>R39.htm | Page n/a | 493.1</x:t>
        </x:r>
      </x:text>
    </x:comment>
    <x:comment ref="K36" authorId="0">
      <x:text>
        <x:r>
          <x:t>R39.htm | Page n/a | 167.6</x:t>
        </x:r>
      </x:text>
    </x:comment>
  </x:commentList>
</x:comments>
</file>

<file path=xl/comments8.xml><?xml version="1.0" encoding="utf-8"?>
<x:comments xmlns:x="http://schemas.openxmlformats.org/spreadsheetml/2006/main">
  <x:authors>
    <x:author>Shortcut</x:author>
  </x:authors>
  <x:commentList>
    <x:comment ref="E13" authorId="0">
      <x:text>
        <x:r>
          <x:t>tm2620584d1_ex99-1.htm | Page n/a | 21%</x:t>
        </x:r>
      </x:text>
    </x:comment>
    <x:comment ref="F13" authorId="0">
      <x:text>
        <x:r>
          <x:t>tm2620584d1_ex99-1.htm | Page n/a | 23%</x:t>
        </x:r>
      </x:text>
    </x:comment>
  </x:commentList>
</x:comments>
</file>

<file path=xl/comments9.xml><?xml version="1.0" encoding="utf-8"?>
<x:comments xmlns:x="http://schemas.openxmlformats.org/spreadsheetml/2006/main">
  <x:authors>
    <x:author>Shortcut</x:author>
  </x:authors>
  <x:commentList>
    <x:comment ref="C29" authorId="0">
      <x:text>
        <x:r>
          <x:t>AIR_consensus.json | Page n/a | 1.3</x:t>
        </x:r>
      </x:text>
    </x:comment>
    <x:comment ref="C46" authorId="0">
      <x:text>
        <x:r>
          <x:t>AIR_consensus.json | Page n/a | 880.35</x:t>
        </x:r>
      </x:text>
    </x:comment>
    <x:comment ref="C38" authorId="0">
      <x:text>
        <x:r>
          <x:t>AIR_consensus.json | Page n/a | 1.23</x:t>
        </x:r>
      </x:text>
    </x:comment>
    <x:comment ref="C57" authorId="0">
      <x:text>
        <x:r>
          <x:t>AIR_consensus.json | Page n/a | 48.31</x:t>
        </x:r>
      </x:text>
    </x:comment>
    <x:comment ref="D12" authorId="0">
      <x:text>
        <x:r>
          <x:t>AIR_history.csv | Page n/a | 1.08</x:t>
        </x:r>
      </x:text>
    </x:comment>
    <x:comment ref="H12" authorId="0">
      <x:text>
        <x:r>
          <x:t>AIR_history.csv | Page n/a | 739.6</x:t>
        </x:r>
      </x:text>
    </x:comment>
    <x:comment ref="D13" authorId="0">
      <x:text>
        <x:r>
          <x:t>AIR_history.csv | Page n/a | 1.18</x:t>
        </x:r>
      </x:text>
    </x:comment>
    <x:comment ref="H13" authorId="0">
      <x:text>
        <x:r>
          <x:t>AIR_history.csv | Page n/a | 795.3</x:t>
        </x:r>
      </x:text>
    </x:comment>
    <x:comment ref="D14" authorId="0">
      <x:text>
        <x:r>
          <x:t>AIR_history.csv | Page n/a | 1.25</x:t>
        </x:r>
      </x:text>
    </x:comment>
    <x:comment ref="H14" authorId="0">
      <x:text>
        <x:r>
          <x:t>AIR_history.csv | Page n/a | 845.1</x:t>
        </x:r>
      </x:text>
    </x:comment>
    <x:comment ref="D15" authorId="0">
      <x:text>
        <x:r>
          <x:t>AIR_history.csv | Page n/a | 1.53</x:t>
        </x:r>
      </x:text>
    </x:comment>
    <x:comment ref="H15" authorId="0">
      <x:text>
        <x:r>
          <x:t>AIR_history.csv | Page n/a | 928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<x:sst xmlns:x="http://schemas.openxmlformats.org/spreadsheetml/2006/main">
  <x:si>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AAR CORP.</x:t>
  </x:si>
  <x:si>
    <x:t xml:space="preserve">Company Model — built by Shortcut</x:t>
  </x:si>
  <x:si>
    <x:t xml:space="preserve">$ millions, except per share</x:t>
  </x:si>
  <x:si>
    <x:t xml:space="preserve">Fiscal period</x:t>
  </x:si>
  <x:si>
    <x:t xml:space="preserve">1Q26A</x:t>
  </x:si>
  <x:si>
    <x:t xml:space="preserve">2Q26A</x:t>
  </x:si>
  <x:si>
    <x:t xml:space="preserve">3Q26A</x:t>
  </x:si>
  <x:si>
    <x:t xml:space="preserve">4Q26A</x:t>
  </x:si>
  <x:si>
    <x:t xml:space="preserve">FY26A</x:t>
  </x:si>
  <x:si>
    <x:t xml:space="preserve">1Q27E</x:t>
  </x:si>
  <x:si>
    <x:t xml:space="preserve">Period end</x:t>
  </x:si>
  <x:si>
    <x:t xml:space="preserve">Days in period</x:t>
  </x:si>
  <x:si>
    <x:t xml:space="preserve">Company</x:t>
  </x:si>
  <x:si>
    <x:t xml:space="preserve">Aviation aftermarket</x:t>
  </x:si>
  <x:si>
    <x:t xml:space="preserve">Ticker / exchange</x:t>
  </x:si>
  <x:si>
    <x:t xml:space="preserve">AIR / NYSE</x:t>
  </x:si>
  <x:si>
    <x:t xml:space="preserve">NYSE:AIR</x:t>
  </x:si>
  <x:si>
    <x:t xml:space="preserve">Fiscal year end</x:t>
  </x:si>
  <x:si>
    <x:t xml:space="preserve">May-31</x:t>
  </x:si>
  <x:si>
    <x:t xml:space="preserve">Reporting currency</x:t>
  </x:si>
  <x:si>
    <x:t xml:space="preserve">USD</x:t>
  </x:si>
  <x:si>
    <x:t xml:space="preserve">USD / common share</x:t>
  </x:si>
  <x:si>
    <x:t xml:space="preserve">EPS basis</x:t>
  </x:si>
  <x:si>
    <x:t xml:space="preserve">Normalized diluted</x:t>
  </x:si>
  <x:si>
    <x:t xml:space="preserve">Adjusted issuer EPS</x:t>
  </x:si>
  <x:si>
    <x:t xml:space="preserve">Information cutoff</x:t>
  </x:si>
  <x:si>
    <x:t xml:space="preserve">2026-09-26T18:44:22Z</x:t>
  </x:si>
  <x:si>
    <x:t xml:space="preserve">Pre-release only</x:t>
  </x:si>
  <x:si>
    <x:t xml:space="preserve">Expected report date</x:t>
  </x:si>
  <x:si>
    <x:t xml:space="preserve">Forecast metric</x:t>
  </x:si>
  <x:si>
    <x:t xml:space="preserve">Estimate</x:t>
  </x:si>
  <x:si>
    <x:t xml:space="preserve">Consensus Sep 24</x:t>
  </x:si>
  <x:si>
    <x:t xml:space="preserve">Δ vs consensus</x:t>
  </x:si>
  <x:si>
    <x:t xml:space="preserve">Guidance midpoint</x:t>
  </x:si>
  <x:si>
    <x:t xml:space="preserve">Basis</x:t>
  </x:si>
  <x:si>
    <x:t xml:space="preserve">Revenue</x:t>
  </x:si>
  <x:si>
    <x:t xml:space="preserve">$m incl. legacy</x:t>
  </x:si>
  <x:si>
    <x:t xml:space="preserve">Normalized net income</x:t>
  </x:si>
  <x:si>
    <x:t xml:space="preserve">Unavailable</x:t>
  </x:si>
  <x:si>
    <x:t xml:space="preserve">$m</x:t>
  </x:si>
  <x:si>
    <x:t xml:space="preserve">Normalized diluted EPS</x:t>
  </x:si>
  <x:si>
    <x:t xml:space="preserve">USD/common share</x:t>
  </x:si>
  <x:si>
    <x:t xml:space="preserve">GAAP net income</x:t>
  </x:si>
  <x:si>
    <x:t xml:space="preserve">GAAP diluted EPS</x:t>
  </x:si>
  <x:si>
    <x:t xml:space="preserve">Overall model checks</x:t>
  </x:si>
  <x:si>
    <x:t xml:space="preserve">P(beat consensus EPS)</x:t>
  </x:si>
  <x:si>
    <x:t xml:space="preserve">Confidence</x:t>
  </x:si>
  <x:si>
    <x:t xml:space="preserve">CapIQ consensus captured Sep 24, 2026 (timestamp unknown).</x:t>
  </x:si>
  <x:si>
    <x:t xml:space="preserve">No issuer EPS / net-income range; sales midpoint derived from guided ex-legacy growth and legacy forecast.</x:t>
  </x:si>
  <x:si>
    <x:t xml:space="preserve">Guided 22% ex-legacy growth; HEICO organic +14%; HAECO execution and parts USM spreads are risks.</x:t>
  </x:si>
  <x:si>
    <x:t xml:space="preserve">Downside: USM margins, slowing parts distribution, HAECO drag, weak government growth.</x:t>
  </x:si>
  <x:si>
    <x:t xml:space="preserve">Normalized EPS matches issuer-adjusted basis; amortization/integration item adjusted net of tax.</x:t>
  </x:si>
  <x:si>
    <x:t xml:space="preserve">Revenue summary</x:t>
  </x:si>
  <x:si>
    <x:t xml:space="preserve">Parts Supply</x:t>
  </x:si>
  <x:si>
    <x:t xml:space="preserve">   Y/Y growth</x:t>
  </x:si>
  <x:si>
    <x:t xml:space="preserve">   Q/Q growth</x:t>
  </x:si>
  <x:si>
    <x:t xml:space="preserve">   % of total revenue</x:t>
  </x:si>
  <x:si>
    <x:t xml:space="preserve">   Share change, bp</x:t>
  </x:si>
  <x:si>
    <x:t xml:space="preserve">Repair, Engineering, and Software</x:t>
  </x:si>
  <x:si>
    <x:t xml:space="preserve">Government Solutions</x:t>
  </x:si>
  <x:si>
    <x:t xml:space="preserve">Legacy Commercial Programs</x:t>
  </x:si>
  <x:si>
    <x:t xml:space="preserve">Consolidated reported revenue</x:t>
  </x:si>
  <x:si>
    <x:t xml:space="preserve">   Organic growth</x:t>
  </x:si>
  <x:si>
    <x:t xml:space="preserve">   M&amp;A / scope effect</x:t>
  </x:si>
  <x:si>
    <x:t xml:space="preserve">M&amp;A scope analyst assumption (Parts $35m, RE&amp;S $40m) relative to prior-year GAAP sales; FX zero is an explicit analyst assumption, not a reported fact.</x:t>
  </x:si>
  <x:si>
    <x:t xml:space="preserve">   FX impact</x:t>
  </x:si>
  <x:si>
    <x:t xml:space="preserve">   Total Y/Y growth</x:t>
  </x:si>
  <x:si>
    <x:t xml:space="preserve">Ex-legacy commercial programs</x:t>
  </x:si>
  <x:si>
    <x:t xml:space="preserve">July 21 company guidance applies to ex-LCP growth only; includes Legacy Commercial Programs in consolidated sales.</x:t>
  </x:si>
  <x:si>
    <x:t xml:space="preserve">   Y/Y growth (guided basis)</x:t>
  </x:si>
  <x:si>
    <x:t xml:space="preserve">Reported revenue check vs CapIQ</x:t>
  </x:si>
  <x:si>
    <x:t xml:space="preserve">Historical 1Q26–4Q26 cross-check versus actual CapIQ attached history, not a new consensus.</x:t>
  </x:si>
  <x:si>
    <x:t xml:space="preserve">Commercial customer sales</x:t>
  </x:si>
  <x:si>
    <x:t xml:space="preserve">Customer-market organic/scope/FX breakdown in rows 77–82; FY25 quarterly base L42:O42 from May 2026 SEC recast.</x:t>
  </x:si>
  <x:si>
    <x:t xml:space="preserve">Government/defense customer sales</x:t>
  </x:si>
  <x:si>
    <x:t xml:space="preserve">Government growth bridge rows 85–90; FY25 quarterly base L43:O43 from May 2026 SEC recast.</x:t>
  </x:si>
  <x:si>
    <x:t xml:space="preserve">   Commercial sales mix</x:t>
  </x:si>
  <x:si>
    <x:t xml:space="preserve">   Commercial mix change, bp</x:t>
  </x:si>
  <x:si>
    <x:t xml:space="preserve">Geographic diversity — see Geo</x:t>
  </x:si>
  <x:si>
    <x:t xml:space="preserve">Source: FY26 Form 10-K, Note 15</x:t>
  </x:si>
  <x:si>
    <x:t xml:space="preserve">Parts Supply — growth decomposition</x:t>
  </x:si>
  <x:si>
    <x:t xml:space="preserve">   Organic Y/Y</x:t>
  </x:si>
  <x:si>
    <x:t xml:space="preserve">   Acquisition / scope effect</x:t>
  </x:si>
  <x:si>
    <x:t xml:space="preserve">   FX effect (assumed nil)</x:t>
  </x:si>
  <x:si>
    <x:t xml:space="preserve">   Total Y/Y</x:t>
  </x:si>
  <x:si>
    <x:t xml:space="preserve">RE&amp;S — growth decomposition</x:t>
  </x:si>
  <x:si>
    <x:t xml:space="preserve">Government — growth decomposition</x:t>
  </x:si>
  <x:si>
    <x:t xml:space="preserve">Legacy — growth decomposition</x:t>
  </x:si>
  <x:si>
    <x:t xml:space="preserve">Segment sales to total check</x:t>
  </x:si>
  <x:si>
    <x:t xml:space="preserve">Guided ex-legacy growth range check</x:t>
  </x:si>
  <x:si>
    <x:t xml:space="preserve">COMMERCIAL CUSTOMER SALES GROWTH</x:t>
  </x:si>
  <x:si>
    <x:t xml:space="preserve">   Acquisitions / scope Y/Y</x:t>
  </x:si>
  <x:si>
    <x:t xml:space="preserve">   FX assumption / impact</x:t>
  </x:si>
  <x:si>
    <x:t xml:space="preserve">FX zero is an analyst modeling assumption; filing does not quantify the customer-market FX effect.</x:t>
  </x:si>
  <x:si>
    <x:t xml:space="preserve">   Absolute sequential change, $m</x:t>
  </x:si>
  <x:si>
    <x:t xml:space="preserve">GOVERNMENT CUSTOMER SALES GROWTH</x:t>
  </x:si>
  <x:si>
    <x:t xml:space="preserve">Customer-market to revenue check</x:t>
  </x:si>
  <x:si>
    <x:t xml:space="preserve">Segment - Parts Supply</x:t>
  </x:si>
  <x:si>
    <x:t xml:space="preserve">FY25 reported base / M&amp;A</x:t>
  </x:si>
  <x:si>
    <x:t xml:space="preserve">FY25 1Q base</x:t>
  </x:si>
  <x:si>
    <x:t xml:space="preserve">FY25 2Q base</x:t>
  </x:si>
  <x:si>
    <x:t xml:space="preserve">FY25 3Q base</x:t>
  </x:si>
  <x:si>
    <x:t xml:space="preserve">FY25 4Q base</x:t>
  </x:si>
  <x:si>
    <x:t xml:space="preserve">Commercial customer revenue</x:t>
  </x:si>
  <x:si>
    <x:t xml:space="preserve">Quarterly commercial/government split: May 6, 2026 SEC recast; FY26: 10-K Note 15. 4Q26 split FY less first three quarters.</x:t>
  </x:si>
  <x:si>
    <x:t xml:space="preserve">   Y/Y change</x:t>
  </x:si>
  <x:si>
    <x:t xml:space="preserve">   Sequential change, $m</x:t>
  </x:si>
  <x:si>
    <x:t xml:space="preserve">   Commercial mix</x:t>
  </x:si>
  <x:si>
    <x:t xml:space="preserve">   Mix change, bp</x:t>
  </x:si>
  <x:si>
    <x:t xml:space="preserve">   FX effect</x:t>
  </x:si>
  <x:si>
    <x:t xml:space="preserve">Government / defense revenue</x:t>
  </x:si>
  <x:si>
    <x:t xml:space="preserve">   Government mix</x:t>
  </x:si>
  <x:si>
    <x:t xml:space="preserve">Third-party segment revenue</x:t>
  </x:si>
  <x:si>
    <x:t xml:space="preserve">   % of consolidated revenue</x:t>
  </x:si>
  <x:si>
    <x:t xml:space="preserve">Reported segment operating income</x:t>
  </x:si>
  <x:si>
    <x:t xml:space="preserve">   Reported operating margin</x:t>
  </x:si>
  <x:si>
    <x:t xml:space="preserve">   Margin change, bp</x:t>
  </x:si>
  <x:si>
    <x:t xml:space="preserve">Forecast operating margin assumption</x:t>
  </x:si>
  <x:si>
    <x:t xml:space="preserve">Disclosed product-line split (FY)</x:t>
  </x:si>
  <x:si>
    <x:t xml:space="preserve">No separately quantified product sales or opening customer balances in FY2026 10-K Note 15.</x:t>
  </x:si>
  <x:si>
    <x:t xml:space="preserve">New-parts distribution (no $ split)</x:t>
  </x:si>
  <x:si>
    <x:t xml:space="preserve">FY2026 Form 10-K discloses activity and growth but not the separate dollar revenues.</x:t>
  </x:si>
  <x:si>
    <x:t xml:space="preserve">Used serviceable materials (no $ split)</x:t>
  </x:si>
  <x:si>
    <x:t xml:space="preserve">   Product-line split check</x:t>
  </x:si>
  <x:si>
    <x:t xml:space="preserve">Operating demand: customer mix</x:t>
  </x:si>
  <x:si>
    <x:t xml:space="preserve">   Y/Y commercial mix change, bp</x:t>
  </x:si>
  <x:si>
    <x:t xml:space="preserve">   Sequential mix change, bp</x:t>
  </x:si>
  <x:si>
    <x:t xml:space="preserve">Forecast acquired revenue assumption, $m</x:t>
  </x:si>
  <x:si>
    <x:t xml:space="preserve">FY26 acquisitions ADI ($115.3m incl. govt $33.2m) / HAECO ($131.1m) in 10-K; forecast acquired sales are analyst assumptions, NOT reported amounts.</x:t>
  </x:si>
  <x:si>
    <x:t xml:space="preserve">   Of which acquired govt sales, $m</x:t>
  </x:si>
  <x:si>
    <x:t xml:space="preserve">FY26 annual acquired sales reported, $m</x:t>
  </x:si>
  <x:si>
    <x:t xml:space="preserve">FORECAST CUSTOMER-MARKET DRIVERS</x:t>
  </x:si>
  <x:si>
    <x:t xml:space="preserve">Opening comparison revenue, prior Q1</x:t>
  </x:si>
  <x:si>
    <x:t xml:space="preserve">   Operating demand uplift / (decline)</x:t>
  </x:si>
  <x:si>
    <x:t xml:space="preserve">   Acquired dollar sales impact</x:t>
  </x:si>
  <x:si>
    <x:t xml:space="preserve">Commercial organic demand change</x:t>
  </x:si>
  <x:si>
    <x:t xml:space="preserve">Analyst operating-demand percentage, inferred from company 21–23% ex-LCP sales guide, acquisition scope and customer composition; no unit/ARPU counts disclosed in FY26 10-K.</x:t>
  </x:si>
  <x:si>
    <x:t xml:space="preserve">Government organic demand change</x:t>
  </x:si>
  <x:si>
    <x:t xml:space="preserve">Revenue driver bridge check</x:t>
  </x:si>
  <x:si>
    <x:t xml:space="preserve">CUSTOMER COUNTS — NOT REPORTED</x:t>
  </x:si>
  <x:si>
    <x:t xml:space="preserve">Opening customer count</x:t>
  </x:si>
  <x:si>
    <x:t xml:space="preserve">AAR FY2026 10-K discloses revenue to customer classes but no counts, gross adds, churn, ARPU or per-unit price. A numeric subscriber ladder would fabricate source data.</x:t>
  </x:si>
  <x:si>
    <x:t xml:space="preserve">Gross customer additions</x:t>
  </x:si>
  <x:si>
    <x:t xml:space="preserve">Customer churn / terminations</x:t>
  </x:si>
  <x:si>
    <x:t xml:space="preserve">Net customer additions</x:t>
  </x:si>
  <x:si>
    <x:t xml:space="preserve">Closing customer count</x:t>
  </x:si>
  <x:si>
    <x:t xml:space="preserve">Average active customers</x:t>
  </x:si>
  <x:si>
    <x:t xml:space="preserve">Comparable revenue base</x:t>
  </x:si>
  <x:si>
    <x:t xml:space="preserve">   Change vs year-ago quarter</x:t>
  </x:si>
  <x:si>
    <x:t xml:space="preserve">   Sequential difference to last quarter</x:t>
  </x:si>
  <x:si>
    <x:t xml:space="preserve">Organic operating uplift</x:t>
  </x:si>
  <x:si>
    <x:t xml:space="preserve">   Contribution to Y/Y growth</x:t>
  </x:si>
  <x:si>
    <x:t xml:space="preserve">   Sequential uplift not reported</x:t>
  </x:si>
  <x:si>
    <x:t xml:space="preserve">Acquired dollar sales</x:t>
  </x:si>
  <x:si>
    <x:t xml:space="preserve">   Sequential acquired sales not disclosed</x:t>
  </x:si>
  <x:si>
    <x:t xml:space="preserve">Commercial organic growth input</x:t>
  </x:si>
  <x:si>
    <x:t xml:space="preserve">Year-ago organic-rate history is not disclosed. Rate changes cannot be quantified; estimate inputs are labeled assumptions, not observed margins.</x:t>
  </x:si>
  <x:si>
    <x:t xml:space="preserve">   Annual change in rate, bp</x:t>
  </x:si>
  <x:si>
    <x:t xml:space="preserve">   Sequential change in rate, bp</x:t>
  </x:si>
  <x:si>
    <x:t xml:space="preserve">Government organic growth input</x:t>
  </x:si>
  <x:si>
    <x:t xml:space="preserve">Quarter driver recomposition</x:t>
  </x:si>
  <x:si>
    <x:t xml:space="preserve">   Recomposition less segment total</x:t>
  </x:si>
  <x:si>
    <x:t xml:space="preserve">Segment - RE&amp;S</x:t>
  </x:si>
  <x:si>
    <x:t xml:space="preserve">Airframe / Component MRO (no $ split)</x:t>
  </x:si>
  <x:si>
    <x:t xml:space="preserve">FY2026 Form 10-K does not quantify quarterly or annual sub-product revenue.</x:t>
  </x:si>
  <x:si>
    <x:t xml:space="preserve">Software / Trax (no $ split)</x:t>
  </x:si>
  <x:si>
    <x:t xml:space="preserve">Segment - Government Solutions</x:t>
  </x:si>
  <x:si>
    <x:t xml:space="preserve">Product-line detail disclosed annually only; quarterly not available in FY2026 10-K.</x:t>
  </x:si>
  <x:si>
    <x:t xml:space="preserve">Government programs</x:t>
  </x:si>
  <x:si>
    <x:t xml:space="preserve">Mobility Systems</x:t>
  </x:si>
  <x:si>
    <x:t xml:space="preserve">Segment - Legacy Commercial</x:t>
  </x:si>
  <x:si>
    <x:t xml:space="preserve">Component repair programs</x:t>
  </x:si>
  <x:si>
    <x:t xml:space="preserve">Distribution of C&amp;E inventory</x:t>
  </x:si>
  <x:si>
    <x:t xml:space="preserve">Income Statement</x:t>
  </x:si>
  <x:si>
    <x:t xml:space="preserve">FY25 reported annual base</x:t>
  </x:si>
  <x:si>
    <x:t xml:space="preserve">Product revenue</x:t>
  </x:si>
  <x:si>
    <x:t xml:space="preserve">Service revenue</x:t>
  </x:si>
  <x:si>
    <x:t xml:space="preserve">Total sales</x:t>
  </x:si>
  <x:si>
    <x:t xml:space="preserve">   Sales Y/Y</x:t>
  </x:si>
  <x:si>
    <x:t xml:space="preserve">Product cost of sales</x:t>
  </x:si>
  <x:si>
    <x:t xml:space="preserve">Service cost of sales</x:t>
  </x:si>
  <x:si>
    <x:t xml:space="preserve">Gross profit</x:t>
  </x:si>
  <x:si>
    <x:t xml:space="preserve">   Gross margin</x:t>
  </x:si>
  <x:si>
    <x:t xml:space="preserve">   Gross margin change, bp</x:t>
  </x:si>
  <x:si>
    <x:t xml:space="preserve">Provision for credit losses</x:t>
  </x:si>
  <x:si>
    <x:t xml:space="preserve">Selling, general &amp; administrative</x:t>
  </x:si>
  <x:si>
    <x:t xml:space="preserve">Equity income from joint ventures</x:t>
  </x:si>
  <x:si>
    <x:t xml:space="preserve">Operating income</x:t>
  </x:si>
  <x:si>
    <x:t xml:space="preserve">   Operating margin</x:t>
  </x:si>
  <x:si>
    <x:t xml:space="preserve">Interest expense (negative)</x:t>
  </x:si>
  <x:si>
    <x:t xml:space="preserve">Interest income</x:t>
  </x:si>
  <x:si>
    <x:t xml:space="preserve">Non-operating gains / (losses)</x:t>
  </x:si>
  <x:si>
    <x:t xml:space="preserve">Pretax income</x:t>
  </x:si>
  <x:si>
    <x:t xml:space="preserve">Income tax expense</x:t>
  </x:si>
  <x:si>
    <x:t xml:space="preserve">   Effective tax rate</x:t>
  </x:si>
  <x:si>
    <x:t xml:space="preserve">Weighted average diluted shares, m</x:t>
  </x:si>
  <x:si>
    <x:t xml:space="preserve">GAAP diluted EPS (computed)</x:t>
  </x:si>
  <x:si>
    <x:t xml:space="preserve">Reported GAAP EPS (CapIQ)</x:t>
  </x:si>
  <x:si>
    <x:t xml:space="preserve">(+) Acquisition/integration/amortization</x:t>
  </x:si>
  <x:si>
    <x:t xml:space="preserve">Forecast acquisition/integration/intangible amortization: $14m pre-tax, vs $17.9m 4Q26 reported.</x:t>
  </x:si>
  <x:si>
    <x:t xml:space="preserve">(+) Bargain purchase adjustment</x:t>
  </x:si>
  <x:si>
    <x:t xml:space="preserve">(+) Sale / exit adjustments</x:t>
  </x:si>
  <x:si>
    <x:t xml:space="preserve">(+) Other exceptional adjustments</x:t>
  </x:si>
  <x:si>
    <x:t xml:space="preserve">(-) Tax effect on adjustments</x:t>
  </x:si>
  <x:si>
    <x:t xml:space="preserve">Normalized diluted EPS (modeled)</x:t>
  </x:si>
  <x:si>
    <x:t xml:space="preserve">Reported normalized EPS (CapIQ)</x:t>
  </x:si>
  <x:si>
    <x:t xml:space="preserve">Issuer published per-share bridge is used for actual EPS; reported adjusted income / rounded 0.1m shares may not reproduce published adjusted EPS. Forecast EPS is adjusted income / diluted shares.</x:t>
  </x:si>
  <x:si>
    <x:t xml:space="preserve">   Reported-vs-model EPS rounding</x:t>
  </x:si>
  <x:si>
    <x:t xml:space="preserve">   GAAP net income Y/Y</x:t>
  </x:si>
  <x:si>
    <x:t xml:space="preserve">Weighted average basic shares, m</x:t>
  </x:si>
  <x:si>
    <x:t xml:space="preserve">FORECAST ASSUMPTIONS</x:t>
  </x:si>
  <x:si>
    <x:t xml:space="preserve">Product revenue mix</x:t>
  </x:si>
  <x:si>
    <x:t xml:space="preserve">Product gross margin</x:t>
  </x:si>
  <x:si>
    <x:t xml:space="preserve">Service gross margin</x:t>
  </x:si>
  <x:si>
    <x:t xml:space="preserve">Credit loss assumption</x:t>
  </x:si>
  <x:si>
    <x:t xml:space="preserve">SG&amp;A assumption</x:t>
  </x:si>
  <x:si>
    <x:t xml:space="preserve">Joint venture income assumption</x:t>
  </x:si>
  <x:si>
    <x:t xml:space="preserve">Effective tax rate assumption</x:t>
  </x:si>
  <x:si>
    <x:t xml:space="preserve">Adjustment tax rate assumption</x:t>
  </x:si>
  <x:si>
    <x:t xml:space="preserve">PUBLISHED PER-SHARE ADJUSTMENT BRIDGE</x:t>
  </x:si>
  <x:si>
    <x:t xml:space="preserve">Issuer GAAP diluted EPS, published</x:t>
  </x:si>
  <x:si>
    <x:t xml:space="preserve">Acquisition and integration expenses</x:t>
  </x:si>
  <x:si>
    <x:t xml:space="preserve">Bargain purchase adjustment</x:t>
  </x:si>
  <x:si>
    <x:t xml:space="preserve">Sale / joint venture gain or loss</x:t>
  </x:si>
  <x:si>
    <x:t xml:space="preserve">Headquarters building gain</x:t>
  </x:si>
  <x:si>
    <x:t xml:space="preserve">Product-line impairment / exit</x:t>
  </x:si>
  <x:si>
    <x:t xml:space="preserve">Equity investments / impairment</x:t>
  </x:si>
  <x:si>
    <x:t xml:space="preserve">Severance</x:t>
  </x:si>
  <x:si>
    <x:t xml:space="preserve">COVID subsidy reversal</x:t>
  </x:si>
  <x:si>
    <x:t xml:space="preserve">FCPA and other legal adjustments</x:t>
  </x:si>
  <x:si>
    <x:t xml:space="preserve">Other disclosed adjustments</x:t>
  </x:si>
  <x:si>
    <x:t xml:space="preserve">Tax effect on adjustments</x:t>
  </x:si>
  <x:si>
    <x:t xml:space="preserve">Adjusted diluted EPS: issuer bridge</x:t>
  </x:si>
  <x:si>
    <x:t xml:space="preserve">Forecast EPS bridge minus adjusted NI / shares</x:t>
  </x:si>
  <x:si>
    <x:t xml:space="preserve">PRODUCT REVENUE GROWTH</x:t>
  </x:si>
  <x:si>
    <x:t xml:space="preserve">FY26 Q1–Q4 market scope/FX impacts not quantified by product/service in SEC 10-Q: unavailable; FY and forecast figures explicitly assume zero FX.</x:t>
  </x:si>
  <x:si>
    <x:t xml:space="preserve">   Acquisitions / scope</x:t>
  </x:si>
  <x:si>
    <x:t xml:space="preserve">SERVICE REVENUE GROWTH</x:t>
  </x:si>
  <x:si>
    <x:t xml:space="preserve">Product/service revenue tie to sales</x:t>
  </x:si>
  <x:si>
    <x:t xml:space="preserve">Balance Sheet</x:t>
  </x:si>
  <x:si>
    <x:t xml:space="preserve">Cash and cash equivalents</x:t>
  </x:si>
  <x:si>
    <x:t xml:space="preserve">Restricted cash</x:t>
  </x:si>
  <x:si>
    <x:t xml:space="preserve">Trade accounts receivable</x:t>
  </x:si>
  <x:si>
    <x:t xml:space="preserve">Contract assets</x:t>
  </x:si>
  <x:si>
    <x:t xml:space="preserve">Inventory</x:t>
  </x:si>
  <x:si>
    <x:t xml:space="preserve">Other current assets</x:t>
  </x:si>
  <x:si>
    <x:t xml:space="preserve">Total current assets</x:t>
  </x:si>
  <x:si>
    <x:t xml:space="preserve">Property, plant and equipment</x:t>
  </x:si>
  <x:si>
    <x:t xml:space="preserve">Goodwill</x:t>
  </x:si>
  <x:si>
    <x:t xml:space="preserve">Intangible assets</x:t>
  </x:si>
  <x:si>
    <x:t xml:space="preserve">Lease right-of-use assets</x:t>
  </x:si>
  <x:si>
    <x:t xml:space="preserve">Rotable assets</x:t>
  </x:si>
  <x:si>
    <x:t xml:space="preserve">Other non-current assets</x:t>
  </x:si>
  <x:si>
    <x:t xml:space="preserve">Total assets</x:t>
  </x:si>
  <x:si>
    <x:t xml:space="preserve">Accounts payable</x:t>
  </x:si>
  <x:si>
    <x:t xml:space="preserve">Other accrued liabilities</x:t>
  </x:si>
  <x:si>
    <x:t xml:space="preserve">Total current liabilities</x:t>
  </x:si>
  <x:si>
    <x:t xml:space="preserve">Long-term debt</x:t>
  </x:si>
  <x:si>
    <x:t xml:space="preserve">Lease liabilities</x:t>
  </x:si>
  <x:si>
    <x:t xml:space="preserve">Deferred tax liabilities</x:t>
  </x:si>
  <x:si>
    <x:t xml:space="preserve">Other liabilities</x:t>
  </x:si>
  <x:si>
    <x:t xml:space="preserve">Total liabilities</x:t>
  </x:si>
  <x:si>
    <x:t xml:space="preserve">Stockholders’ equity</x:t>
  </x:si>
  <x:si>
    <x:t xml:space="preserve">Liabilities plus equity</x:t>
  </x:si>
  <x:si>
    <x:t xml:space="preserve">ASSETS - LIABILITIES - EQUITY</x:t>
  </x:si>
  <x:si>
    <x:t xml:space="preserve">Difference should be zero; 4Q26 and FY26 balance sheet share the same reporting date.</x:t>
  </x:si>
  <x:si>
    <x:t xml:space="preserve">FORECAST BALANCE ASSUMPTIONS</x:t>
  </x:si>
  <x:si>
    <x:t xml:space="preserve">Change in accounts receivable</x:t>
  </x:si>
  <x:si>
    <x:t xml:space="preserve">Change in inventory</x:t>
  </x:si>
  <x:si>
    <x:t xml:space="preserve">Change in accounts payable</x:t>
  </x:si>
  <x:si>
    <x:t xml:space="preserve">Cash Flow Statement</x:t>
  </x:si>
  <x:si>
    <x:t xml:space="preserve">   Stock compensation &amp; other noncash</x:t>
  </x:si>
  <x:si>
    <x:t xml:space="preserve">   Other operating adjustment</x:t>
  </x:si>
  <x:si>
    <x:t xml:space="preserve">Depreciation &amp; amortization</x:t>
  </x:si>
  <x:si>
    <x:t xml:space="preserve">Other working-capital changes</x:t>
  </x:si>
  <x:si>
    <x:t xml:space="preserve">Net cash from operating activities</x:t>
  </x:si>
  <x:si>
    <x:t xml:space="preserve">Property &amp; equipment expenditure</x:t>
  </x:si>
  <x:si>
    <x:t xml:space="preserve">Other investing cash flows</x:t>
  </x:si>
  <x:si>
    <x:t xml:space="preserve">Forecast capex assumption (positive)</x:t>
  </x:si>
  <x:si>
    <x:t xml:space="preserve">Forecast net debt repayment</x:t>
  </x:si>
  <x:si>
    <x:t xml:space="preserve">Net cash from investing activities</x:t>
  </x:si>
  <x:si>
    <x:t xml:space="preserve">Financing cash flows</x:t>
  </x:si>
  <x:si>
    <x:t xml:space="preserve">Net cash from financing activities</x:t>
  </x:si>
  <x:si>
    <x:t xml:space="preserve">Change in cash + restricted cash</x:t>
  </x:si>
  <x:si>
    <x:t xml:space="preserve">Cash + restricted cash at start</x:t>
  </x:si>
  <x:si>
    <x:t xml:space="preserve">Cash-flow cash includes restricted cash; balance sheet cash + restricted cash. Historical quarter flows FY26 10-Q YTD changes.</x:t>
  </x:si>
  <x:si>
    <x:t xml:space="preserve">Cash + restricted cash at end</x:t>
  </x:si>
  <x:si>
    <x:t xml:space="preserve">CASH FLOW TO BALANCE SHEET CHECK</x:t>
  </x:si>
  <x:si>
    <x:t xml:space="preserve">Operating cash flow / revenue</x:t>
  </x:si>
  <x:si>
    <x:t xml:space="preserve">Free cash flow (CFO + capex)</x:t>
  </x:si>
  <x:si>
    <x:t xml:space="preserve">REPORTED INDIRECT CASH FLOW DETAIL</x:t>
  </x:si>
  <x:si>
    <x:t xml:space="preserve">Net income</x:t>
  </x:si>
  <x:si>
    <x:t xml:space="preserve">Depreciation / amortization</x:t>
  </x:si>
  <x:si>
    <x:t xml:space="preserve">Financing cost amortization</x:t>
  </x:si>
  <x:si>
    <x:t xml:space="preserve">Stock-based compensation</x:t>
  </x:si>
  <x:si>
    <x:t xml:space="preserve">Gain on sale of building</x:t>
  </x:si>
  <x:si>
    <x:t xml:space="preserve">Deferred tax benefit</x:t>
  </x:si>
  <x:si>
    <x:t xml:space="preserve">Earnings from joint ventures</x:t>
  </x:si>
  <x:si>
    <x:t xml:space="preserve">Gain on sale of business</x:t>
  </x:si>
  <x:si>
    <x:t xml:space="preserve">Other noncash / impairment</x:t>
  </x:si>
  <x:si>
    <x:t xml:space="preserve">Change in receivables</x:t>
  </x:si>
  <x:si>
    <x:t xml:space="preserve">Change in contract assets</x:t>
  </x:si>
  <x:si>
    <x:t xml:space="preserve">Change in inventories</x:t>
  </x:si>
  <x:si>
    <x:t xml:space="preserve">Change in prepayments</x:t>
  </x:si>
  <x:si>
    <x:t xml:space="preserve">Change in rotables</x:t>
  </x:si>
  <x:si>
    <x:t xml:space="preserve">Change in accrued liabilities</x:t>
  </x:si>
  <x:si>
    <x:t xml:space="preserve">Other operating items, reported</x:t>
  </x:si>
  <x:si>
    <x:t xml:space="preserve">Indirect operating cash flow subtotal</x:t>
  </x:si>
  <x:si>
    <x:t xml:space="preserve">REPORTED INVESTING DETAIL</x:t>
  </x:si>
  <x:si>
    <x:t xml:space="preserve">Property &amp; equipment spending</x:t>
  </x:si>
  <x:si>
    <x:t xml:space="preserve">Cash used for acquisitions</x:t>
  </x:si>
  <x:si>
    <x:t xml:space="preserve">Property sale proceeds</x:t>
  </x:si>
  <x:si>
    <x:t xml:space="preserve">Business sale proceeds</x:t>
  </x:si>
  <x:si>
    <x:t xml:space="preserve">Hangar expansion cash flows</x:t>
  </x:si>
  <x:si>
    <x:t xml:space="preserve">Other investing, reported</x:t>
  </x:si>
  <x:si>
    <x:t xml:space="preserve">REPORTED FINANCING DETAIL</x:t>
  </x:si>
  <x:si>
    <x:t xml:space="preserve">Equity offering proceeds</x:t>
  </x:si>
  <x:si>
    <x:t xml:space="preserve">Long-term borrowing proceeds</x:t>
  </x:si>
  <x:si>
    <x:t xml:space="preserve">Net short-term borrowings</x:t>
  </x:si>
  <x:si>
    <x:t xml:space="preserve">Treasury share repurchases</x:t>
  </x:si>
  <x:si>
    <x:t xml:space="preserve">Stock compensation / financing other</x:t>
  </x:si>
  <x:si>
    <x:t xml:space="preserve">Financing costs</x:t>
  </x:si>
  <x:si>
    <x:t xml:space="preserve">Other financing, reported</x:t>
  </x:si>
  <x:si>
    <x:t xml:space="preserve">Geo</x:t>
  </x:si>
  <x:si>
    <x:t xml:space="preserve">FY25 actual geography</x:t>
  </x:si>
  <x:si>
    <x:t xml:space="preserve">North America</x:t>
  </x:si>
  <x:si>
    <x:t xml:space="preserve">Quarterly regional sales not disclosed in FY2026 10-Q / 10-K. FY26 actual and Q1 FY27 regional forecast only.</x:t>
  </x:si>
  <x:si>
    <x:t xml:space="preserve">Europe / Africa</x:t>
  </x:si>
  <x:si>
    <x:t xml:space="preserve">Asia</x:t>
  </x:si>
  <x:si>
    <x:t xml:space="preserve">Other</x:t>
  </x:si>
  <x:si>
    <x:t xml:space="preserve">Total region-disclosed sales</x:t>
  </x:si>
  <x:si>
    <x:t xml:space="preserve">REGION-TO-CONSOLIDATED CHECK</x:t>
  </x:si>
  <x:si>
    <x:t xml:space="preserve">   North America share</x:t>
  </x:si>
  <x:si>
    <x:t xml:space="preserve">PARTS SUPPLY — geography</x:t>
  </x:si>
  <x:si>
    <x:t xml:space="preserve">FY26 annual regional subsegment breakdown is directly from FY26 SEC 10-K Note 15; forecast uses FY26 within-segment regional mix.</x:t>
  </x:si>
  <x:si>
    <x:t xml:space="preserve">  North America</x:t>
  </x:si>
  <x:si>
    <x:t xml:space="preserve">  Europe / Africa</x:t>
  </x:si>
  <x:si>
    <x:t xml:space="preserve">  Asia</x:t>
  </x:si>
  <x:si>
    <x:t xml:space="preserve">  Other</x:t>
  </x:si>
  <x:si>
    <x:t xml:space="preserve">  Segment regional subtotal</x:t>
  </x:si>
  <x:si>
    <x:t xml:space="preserve">REPAIR, ENGINEERING &amp; SOFTWARE</x:t>
  </x:si>
  <x:si>
    <x:t xml:space="preserve">GOVERNMENT SOLUTIONS</x:t>
  </x:si>
  <x:si>
    <x:t xml:space="preserve">LEGACY COMMERCIAL PROGRAMS</x:t>
  </x:si>
  <x:si>
    <x:t xml:space="preserve">Regional FY26 annual Y/Y (quarterly growth unavailable)</x:t>
  </x:si>
  <x:si>
    <x:t xml:space="preserve">FY25 annual comparators from FY2026 Form 10-K Note 15 (R39.htm). Quarterly historical/regional organic/M&amp;A/FX splits are not disclosed and are unavailable; forecast allocation is modeled using FY26 annual mix.</x:t>
  </x:si>
  <x:si>
    <x:t xml:space="preserve">   North America FY Y/Y</x:t>
  </x:si>
  <x:si>
    <x:t xml:space="preserve">   Europe / Africa FY Y/Y</x:t>
  </x:si>
  <x:si>
    <x:t xml:space="preserve">   Asia FY Y/Y</x:t>
  </x:si>
  <x:si>
    <x:t xml:space="preserve">   Other FY Y/Y</x:t>
  </x:si>
  <x:si>
    <x:t xml:space="preserve">Share Count</x:t>
  </x:si>
  <x:si>
    <x:t xml:space="preserve">Weighted-average common shares in millions, SEC 10-Q / 10-K. FY26 equity offering increased weighted share count.</x:t>
  </x:si>
  <x:si>
    <x:t xml:space="preserve">   Absolute Q/Q change, m</x:t>
  </x:si>
  <x:si>
    <x:t xml:space="preserve">Dilutive securities, m</x:t>
  </x:si>
  <x:si>
    <x:t xml:space="preserve">Cash spent on share repurchases</x:t>
  </x:si>
  <x:si>
    <x:t xml:space="preserve">Shares issued for employee awards</x:t>
  </x:si>
  <x:si>
    <x:t xml:space="preserve">Share issuances for employee awards not reliably quantifiable in full quarter; unavailable.</x:t>
  </x:si>
  <x:si>
    <x:t xml:space="preserve">Public equity proceeds FY26</x:t>
  </x:si>
  <x:si>
    <x:t xml:space="preserve">Shares underlying forecast EPS</x:t>
  </x:si>
  <x:si>
    <x:t xml:space="preserve">   Forecast share count check</x:t>
  </x:si>
  <x:si>
    <x:t xml:space="preserve">Guidance</x:t>
  </x:si>
  <x:si>
    <x:t xml:space="preserve">Metric</x:t>
  </x:si>
  <x:si>
    <x:t xml:space="preserve">Guidance date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</x:si>
  <x:si>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</x:si>
  <x:si>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</x:si>
  <x:si>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</x:si>
  <x:si>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</x:si>
  <x:si>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miss</x:t>
  </x:si>
  <x:si>
    <x:t xml:space="preserve">Notes</x:t>
  </x:si>
  <x:si>
    <x:t xml:space="preserve">Total sales growth</x:t>
  </x:si>
  <x:si>
    <x:t xml:space="preserve">4Q26</x:t>
  </x:si>
  <x:si>
    <x:t xml:space="preserve">Prior-year quarterly sales $754.5m source FY2026 Q4 release; input K10</x:t>
  </x:si>
  <x:si>
    <x:t xml:space="preserve">Organic adjusted sales growth</x:t>
  </x:si>
  <x:si>
    <x:t xml:space="preserve">Issuer 13.1% (organic adjusted)</x:t>
  </x:si>
  <x:si>
    <x:t xml:space="preserve">Adjusted operating margin</x:t>
  </x:si>
  <x:si>
    <x:t xml:space="preserve">4Q26 adjusted operating income $98m from FY2026 Q4 release; input K12</x:t>
  </x:si>
  <x:si>
    <x:t xml:space="preserve">Ex-legacy sales growth</x:t>
  </x:si>
  <x:si>
    <x:t xml:space="preserve">1Q27</x:t>
  </x:si>
  <x:si>
    <x:t xml:space="preserve">Excludes LCP; forecast at Revenue summary!H38</x:t>
  </x:si>
  <x:si>
    <x:t xml:space="preserve">Ex-legacy adjusted EBITDA margin</x:t>
  </x:si>
  <x:si>
    <x:t xml:space="preserve">No issuer GAAP reconciliation / no EPS guide</x:t>
  </x:si>
  <x:si>
    <x:t xml:space="preserve">FY27</x:t>
  </x:si>
  <x:si>
    <x:t xml:space="preserve">Issuer: low double-digits to low teens; qualitative only</x:t>
  </x:si>
  <x:si>
    <x:t xml:space="preserve">Consolidated sales midpoint incl. LCP</x:t>
  </x:si>
  <x:si>
    <x:t xml:space="preserve">Calculated, not direct company guidance</x:t>
  </x:si>
  <x:si>
    <x:t xml:space="preserve">Sources</x:t>
  </x:si>
  <x:si>
    <x:t xml:space="preserve">ID</x:t>
  </x:si>
  <x:si>
    <x:t xml:space="preserve">Published</x:t>
  </x:si>
  <x:si>
    <x:t xml:space="preserve">Publisher</x:t>
  </x:si>
  <x:si>
    <x:t xml:space="preserve">URL or file</x:t>
  </x:si>
  <x:si>
    <x:t xml:space="preserve">Feeds</x:t>
  </x:si>
  <x:si>
    <x:t xml:space="preserve">I1</x:t>
  </x:si>
  <x:si>
    <x:t xml:space="preserve">S&amp;P Capital IQ</x:t>
  </x:si>
  <x:si>
    <x:t xml:space="preserve">AIR_history.csv</x:t>
  </x:si>
  <x:si>
    <x:t xml:space="preserve">Inputs!B10:I15; history comparison</x:t>
  </x:si>
  <x:si>
    <x:t xml:space="preserve">I2</x:t>
  </x:si>
  <x:si>
    <x:t xml:space="preserve">AIR_consensus.json</x:t>
  </x:si>
  <x:si>
    <x:t xml:space="preserve">Inputs!B20:C78; Cover consensus</x:t>
  </x:si>
  <x:si>
    <x:t xml:space="preserve">S1</x:t>
  </x:si>
  <x:si>
    <x:t xml:space="preserve">AAR / SEC</x:t>
  </x:si>
  <x:si>
    <x:t xml:space="preserve">https://www.sec.gov/Archives/edgar/data/1750/000110465926056332/tm2612934d1_ex99-1.htm</x:t>
  </x:si>
  <x:si>
    <x:t xml:space="preserve">Segment recasts, customer split</x:t>
  </x:si>
  <x:si>
    <x:t xml:space="preserve">S2</x:t>
  </x:si>
  <x:si>
    <x:t xml:space="preserve">https://www.sec.gov/Archives/edgar/data/1750/000110465926085459/air-20260531x10k.htm</x:t>
  </x:si>
  <x:si>
    <x:t xml:space="preserve">FY26 statements, currency, segments</x:t>
  </x:si>
  <x:si>
    <x:t xml:space="preserve">S3</x:t>
  </x:si>
  <x:si>
    <x:t xml:space="preserve">https://www.sec.gov/Archives/edgar/data/1750/000110465926085429/tm2620584d1_ex99-1.htm</x:t>
  </x:si>
  <x:si>
    <x:t xml:space="preserve">4Q26 results, Q1 guidance, adjustments</x:t>
  </x:si>
  <x:si>
    <x:t xml:space="preserve">S4</x:t>
  </x:si>
  <x:si>
    <x:t xml:space="preserve">https://www.sec.gov/Archives/edgar/data/1750/000110465925092589/air-20250831x10q.htm</x:t>
  </x:si>
  <x:si>
    <x:t xml:space="preserve">1Q26 results, balance, cash flows</x:t>
  </x:si>
  <x:si>
    <x:t xml:space="preserve">S5</x:t>
  </x:si>
  <x:si>
    <x:t xml:space="preserve">https://www.sec.gov/Archives/edgar/data/1750/000110465926001420/air-20251130x10q.htm</x:t>
  </x:si>
  <x:si>
    <x:t xml:space="preserve">2Q26 actual statements</x:t>
  </x:si>
  <x:si>
    <x:t xml:space="preserve">S6</x:t>
  </x:si>
  <x:si>
    <x:t xml:space="preserve">https://www.sec.gov/Archives/edgar/data/1750/000110465926033973/air-20260228x10q.htm</x:t>
  </x:si>
  <x:si>
    <x:t xml:space="preserve">3Q26 actual statements</x:t>
  </x:si>
  <x:si>
    <x:t xml:space="preserve">S7</x:t>
  </x:si>
  <x:si>
    <x:t xml:space="preserve">https://www.sec.gov/Archives/edgar/data/1750/000110465926085459/R39.htm</x:t>
  </x:si>
  <x:si>
    <x:t xml:space="preserve">FY26 geographic/product/segment splits</x:t>
  </x:si>
  <x:si>
    <x:t xml:space="preserve">S8</x:t>
  </x:si>
  <x:si>
    <x:t xml:space="preserve">https://www.sec.gov/Archives/edgar/data/1750/000110465926085459/R7.htm</x:t>
  </x:si>
  <x:si>
    <x:t xml:space="preserve">FY26 cash flow</x:t>
  </x:si>
  <x:si>
    <x:t xml:space="preserve">S9</x:t>
  </x:si>
  <x:si>
    <x:t xml:space="preserve">HEICO</x:t>
  </x:si>
  <x:si>
    <x:t xml:space="preserve">https://heico.com/2026/08/25/heico-corporation-reports-record-net-income-up-33-on-record-operating-income-up-34-and-record-net-sales-up-23-for-the-third-quarter-of-fiscal-2026/</x:t>
  </x:si>
  <x:si>
    <x:t xml:space="preserve">Peer organic +14%</x:t>
  </x:si>
  <x:si>
    <x:t xml:space="preserve">S10</x:t>
  </x:si>
  <x:si>
    <x:t xml:space="preserve">Earnings Whispers</x:t>
  </x:si>
  <x:si>
    <x:t xml:space="preserve">https://beta.earningswhispers.com/article/AIR/20274</x:t>
  </x:si>
  <x:si>
    <x:t xml:space="preserve">USM spread / HAECO integration risks</x:t>
  </x:si>
  <x:si>
    <x:t xml:space="preserve">CapIQ as-of: 2026-09-24 (date only); do not label Sep 26 consensus</x:t>
  </x:si>
  <x:si>
    <x:t xml:space="preserve">CSV SHA256</x:t>
  </x:si>
  <x:si>
    <x:t xml:space="preserve">71d205b5e569e4900f6d76b9f473cce0be2a825c983a5b99114e11038c9f55a3</x:t>
  </x:si>
  <x:si>
    <x:t xml:space="preserve">JSON SHA256</x:t>
  </x:si>
  <x:si>
    <x:t xml:space="preserve">0429d38d6623a964c3618380fbf709d253dd2bcdbc1494178c56ecd36437a8ed</x:t>
  </x:si>
  <x:si>
    <x:t xml:space="preserve">No customer opening/closing balances disclosed: FY2026 10-K Note 15</x:t>
  </x:si>
  <x:si>
    <x:t xml:space="preserve">Quarterly geographic revenue unavailable: FY2026 10-K Note 15 only discloses fiscal-year split.</x:t>
  </x:si>
  <x:si>
    <x:t xml:space="preserve">S11</x:t>
  </x:si>
  <x:si>
    <x:t xml:space="preserve">AAR</x:t>
  </x:si>
  <x:si>
    <x:t xml:space="preserve">https://www.aarcorp.com/en/newsroom/press-releases/2026/aar-reports-third-quarter-fiscal-year-2026-results/</x:t>
  </x:si>
  <x:si>
    <x:t xml:space="preserve">4Q26 prior guidance/backtest</x:t>
  </x:si>
  <x:si>
    <x:t xml:space="preserve">S12</x:t>
  </x:si>
  <x:si>
    <x:t xml:space="preserve">https://www.sec.gov/Archives/edgar/data/1750/000110465925092548/tm2526233d1_ex99-1.htm</x:t>
  </x:si>
  <x:si>
    <x:t xml:space="preserve">1Q26 non-GAAP adjusted net-income/EPS bridge</x:t>
  </x:si>
  <x:si>
    <x:t xml:space="preserve">S13</x:t>
  </x:si>
  <x:si>
    <x:t xml:space="preserve">https://www.sec.gov/Archives/edgar/data/1750/000110465926001328/tm261729d1_ex99-1.htm</x:t>
  </x:si>
  <x:si>
    <x:t xml:space="preserve">2Q26 non-GAAP adjusted net-income/EPS bridge</x:t>
  </x:si>
  <x:si>
    <x:t xml:space="preserve">S14</x:t>
  </x:si>
  <x:si>
    <x:t xml:space="preserve">https://www.sec.gov/Archives/edgar/data/1750/000110465926033901/tm269282d1_ex99-1.htm</x:t>
  </x:si>
  <x:si>
    <x:t xml:space="preserve">3Q26 non-GAAP adjusted net-income/EPS bridge</x:t>
  </x:si>
  <x:si>
    <x:t xml:space="preserve">SEC source note: quarterly geographic customer splits not in 10-Q / 10-K; marked Unavailable on Geo rather than fabricated.</x:t>
  </x:si>
  <x:si>
    <x:t xml:space="preserve">Inputs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</x:si>
  <x:si>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</x:si>
  <x:si>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</x:si>
  <x:si>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</x:si>
  <x:si>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</x:si>
  <x:si>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</x:si>
  <x:si>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</x:si>
  <x:si>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</x:si>
  <x:si>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</x:si>
  <x:si>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CapIQ full summary row</x:t>
  </x:si>
  <x:si>
    <x:t xml:space="preserve">Value (as supplied, captured Sep 24)</x:t>
  </x:si>
  <x:si>
    <x:t xml:space="preserve">ticker</x:t>
  </x:si>
  <x:si>
    <x:t xml:space="preserve">AIR</x:t>
  </x:si>
  <x:si>
    <x:t xml:space="preserve">company</x:t>
  </x:si>
  <x:si>
    <x:t xml:space="preserve">AAR Corp.</x:t>
  </x:si>
  <x:si>
    <x:t xml:space="preserve">exchange_ticker</x:t>
  </x:si>
  <x:si>
    <x:t xml:space="preserve">capiq_company_id</x:t>
  </x:si>
  <x:si>
    <x:t xml:space="preserve">analyst_count</x:t>
  </x:si>
  <x:si>
    <x:t xml:space="preserve">fiscal_year_end</x:t>
  </x:si>
  <x:si>
    <x:t xml:space="preserve">forward_quarter_label</x:t>
  </x:si>
  <x:si>
    <x:t xml:space="preserve">FQ1 2027 - Aug 2026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</x:si>
  <x:si>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</x:si>
  <x:si>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</x:si>
  <x:si>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</x:si>
  <x:si>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</x:si>
  <x:si>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</x:si>
  <x:si>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</x:si>
  <x:si>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</x:si>
  <x:si>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</x:si>
  <x:si>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</x:si>
  <x:si>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</x:si>
  <x:si>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</x:si>
  <x:si>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</x:si>
  <x:si>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</x:si>
  <x:si>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</x:si>
  <x:si>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</x:si>
  <x:si>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</x:si>
  <x:si>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</x:si>
  <x:si>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</x:si>
  <x:si>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</x:si>
  <x:si>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</x:si>
  <x:si>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</x:si>
  <x:si>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</x:si>
  <x:si>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</x:si>
  <x:si>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</x:si>
  <x:si>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</x:si>
  <x:si>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</x:si>
  <x:si>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</x:si>
  <x:si>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</x:si>
  <x:si>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</x:si>
  <x:si>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</x:si>
  <x:si>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</x:si>
  <x:si>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</x:si>
  <x:si>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</x:si>
  <x:si>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</x:si>
  <x:si>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</x:si>
  <x:si>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</x:si>
  <x:si>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target_price_mean</x:t>
  </x:si>
  <x:si>
    <x:t xml:space="preserve">target_price_median</x:t>
  </x:si>
  <x:si>
    <x:t xml:space="preserve">target_price_high</x:t>
  </x:si>
  <x:si>
    <x:t xml:space="preserve">target_price_low</x:t>
  </x:si>
  <x:si>
    <x:t xml:space="preserve">target_price_std_dev</x:t>
  </x:si>
  <x:si>
    <x:t xml:space="preserve">target_price_n_est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</x:si>
  <x:si>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</x:si>
  <x:si>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</x:si>
  <x:si>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</x:si>
  <x:si>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</x:si>
  <x:si>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notes</x:t>
  </x:si>
  <x:si>
    <x:t xml:space="preserve">May-31 fiscal year end. AAR has beaten the normalized EPS consensus in all six reported quarters, by 3 to 16 percent.</x:t>
  </x:si>
  <x:si>
    <x:t xml:space="preserve">Summary SHA256</x:t>
  </x:si>
  <x:si>
    <x:t xml:space="preserve">466cfdf5041c003c2add1a43299d70d2554c3b222a3ada272df67c1f2d6d327a</x:t>
  </x:si>
  <x:si>
    <x:t xml:space="preserve">Consensus date</x:t>
  </x:si>
  <x:si>
    <x:t xml:space="preserve">History SHA256</x:t>
  </x:si>
  <x:si>
    <x:t xml:space="preserve">JSON file SHA256</x:t>
  </x:si>
  <x:si>
    <x:t xml:space="preserve">P(beat Sep 24 consensus EPS)</x:t>
  </x:si>
  <x:si>
    <x:t xml:space="preserve">Analyst probability judgment: issuer guidance in line with forecast and 6 supplied normalized EPS beats; preview warns of USM and integration risk.</x:t>
  </x:si>
  <x:si>
    <x:t xml:space="preserve">Forecast confidence</x:t>
  </x:si>
  <x:si>
    <x:t xml:space="preserve">medium</x:t>
  </x:si>
</x:sst>
</file>

<file path=xl/styles.xml><?xml version="1.0" encoding="utf-8"?>
<x:styleSheet xmlns:x="http://schemas.openxmlformats.org/spreadsheetml/2006/main">
  <x:numFmts count="6">
    <x:numFmt numFmtId="164" formatCode="#,##0.0_);(#,##0.0);–_)"/>
    <x:numFmt numFmtId="165" formatCode="yyyy-mm-dd"/>
    <x:numFmt numFmtId="166" formatCode="0.0%_);(0.0%);–_)"/>
    <x:numFmt numFmtId="167" formatCode="$0.00"/>
    <x:numFmt numFmtId="168" formatCode="d-mmm-yyyy"/>
    <x:numFmt numFmtId="169" formatCode="#,##0.0"/>
  </x:numFmts>
  <x:fonts count="15">
    <x:font>
      <x:sz val="11"/>
      <x:name val="Calibri"/>
    </x:font>
    <x:font>
      <x:sz val="10"/>
      <x:color rgb="FF000000"/>
      <x:name val="Arial"/>
    </x:font>
    <x:font>
      <x:sz val="11"/>
      <x:color rgb="FF000000"/>
      <x:name val="Calibri"/>
    </x:font>
    <x:font>
      <x:b/>
      <x:sz val="10"/>
      <x:color rgb="FF0000FF"/>
      <x:name val="Arial"/>
    </x:font>
    <x:font>
      <x:sz val="11"/>
      <x:color rgb="FF000000"/>
      <x:name val="Arial"/>
    </x:font>
    <x:font>
      <x:i/>
      <x:sz val="10"/>
      <x:color rgb="FF000000"/>
      <x:name val="Arial"/>
    </x:font>
    <x:font>
      <x:sz val="10"/>
      <x:color rgb="FF006100"/>
      <x:name val="Arial"/>
    </x:font>
    <x:font>
      <x:b/>
      <x:sz val="10"/>
      <x:color rgb="FF000000"/>
      <x:name val="Arial"/>
    </x:font>
    <x:font>
      <x:sz val="10"/>
      <x:color rgb="FF0000FF"/>
      <x:name val="Arial"/>
    </x:font>
    <x:font>
      <x:sz val="11"/>
      <x:color rgb="FF0000FF"/>
      <x:name val="Arial"/>
    </x:font>
    <x:font>
      <x:b/>
      <x:sz val="13"/>
      <x:color rgb="FF000000"/>
      <x:name val="Arial"/>
    </x:font>
    <x:font>
      <x:i/>
      <x:sz val="10"/>
      <x:color rgb="FF006100"/>
      <x:name val="Arial"/>
    </x:font>
    <x:font>
      <x:b/>
      <x:sz val="10"/>
      <x:color rgb="FF006100"/>
      <x:name val="Arial"/>
    </x:font>
    <x:font>
      <x:i/>
      <x:sz val="10"/>
      <x:color rgb="FF0000FF"/>
      <x:name val="Arial"/>
    </x:font>
    <x:font>
      <x:i/>
      <x:sz val="11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3F7FB"/>
      </x:patternFill>
    </x:fill>
    <x:fill>
      <x:patternFill patternType="solid">
        <x:fgColor rgb="FFE9EDF1"/>
      </x:patternFill>
    </x:fill>
  </x:fills>
  <x:borders count="4">
    <x:border/>
    <x:border>
      <x:top style="thin">
        <x:color rgb="FFAAB5BD"/>
      </x:top>
    </x:border>
    <x:border>
      <x:top style="thin">
        <x:color rgb="FFAAB5BD"/>
      </x:top>
      <x:bottom style="thin">
        <x:color rgb="FFAAB5BD"/>
      </x:bottom>
    </x:border>
    <x:border>
      <x:bottom style="thin">
        <x:color rgb="FFD7DEE4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1" fillId="0" borderId="0" xfId="0" applyFont="1" applyFill="1" applyAlignment="1">
      <x:alignment horizontal="general" vertical="bottom"/>
    </x:xf>
    <x:xf numFmtId="0" fontId="2" fillId="2" borderId="0" xfId="0" applyFont="1" applyFill="1" applyAlignment="1">
      <x:alignment horizontal="general" vertical="bottom"/>
    </x:xf>
    <x:xf numFmtId="164" fontId="1" fillId="2" borderId="0" xfId="0" applyNumberFormat="1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164" fontId="3" fillId="0" borderId="1" xfId="0" applyNumberFormat="1" applyFont="1" applyFill="1" applyBorder="1" applyAlignment="1">
      <x:alignment horizontal="general" vertical="bottom"/>
    </x:xf>
    <x:xf numFmtId="0" fontId="4" fillId="0" borderId="0" xfId="0" applyFont="1" applyFill="1" applyAlignment="1">
      <x:alignment horizontal="general" vertical="bottom"/>
    </x:xf>
    <x:xf numFmtId="165" fontId="1" fillId="3" borderId="2" xfId="0" applyNumberFormat="1" applyFont="1" applyFill="1" applyBorder="1" applyAlignment="1">
      <x:alignment horizontal="general" vertical="bottom"/>
    </x:xf>
    <x:xf numFmtId="166" fontId="5" fillId="0" borderId="0" xfId="0" applyNumberFormat="1" applyFont="1" applyFill="1" applyAlignment="1">
      <x:alignment horizontal="general" vertical="bottom"/>
    </x:xf>
    <x:xf numFmtId="167" fontId="6" fillId="0" borderId="3" xfId="0" applyNumberFormat="1" applyFont="1" applyFill="1" applyBorder="1" applyAlignment="1">
      <x:alignment horizontal="general" vertical="bottom"/>
    </x:xf>
    <x:xf numFmtId="0" fontId="1" fillId="3" borderId="2" xfId="0" applyFont="1" applyFill="1" applyBorder="1" applyAlignment="1">
      <x:alignment horizontal="general" vertical="bottom"/>
    </x:xf>
    <x:xf numFmtId="0" fontId="7" fillId="3" borderId="2" xfId="0" applyFont="1" applyFill="1" applyBorder="1" applyAlignment="1">
      <x:alignment horizontal="general" vertical="bottom" wrapText="1"/>
    </x:xf>
    <x:xf numFmtId="0" fontId="1" fillId="0" borderId="3" xfId="0" applyFont="1" applyFill="1" applyBorder="1" applyAlignment="1">
      <x:alignment horizontal="general" vertical="bottom"/>
    </x:xf>
    <x:xf numFmtId="0" fontId="4" fillId="2" borderId="0" xfId="0" applyFont="1" applyFill="1" applyAlignment="1">
      <x:alignment horizontal="general" vertical="bottom"/>
    </x:xf>
    <x:xf numFmtId="164" fontId="1" fillId="0" borderId="3" xfId="0" applyNumberFormat="1" applyFont="1" applyFill="1" applyBorder="1" applyAlignment="1">
      <x:alignment horizontal="general" vertical="bottom"/>
    </x:xf>
    <x:xf numFmtId="164" fontId="6" fillId="0" borderId="3" xfId="0" applyNumberFormat="1" applyFont="1" applyFill="1" applyBorder="1" applyAlignment="1">
      <x:alignment horizontal="general" vertical="bottom"/>
    </x:xf>
    <x:xf numFmtId="165" fontId="8" fillId="0" borderId="0" xfId="0" applyNumberFormat="1" applyFont="1" applyFill="1" applyAlignment="1">
      <x:alignment horizontal="general" vertical="bottom"/>
    </x:xf>
    <x:xf numFmtId="0" fontId="7" fillId="0" borderId="1" xfId="0" applyFont="1" applyFill="1" applyBorder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0" fontId="1" fillId="2" borderId="2" xfId="0" applyFont="1" applyFill="1" applyBorder="1" applyAlignment="1">
      <x:alignment horizontal="general" vertical="bottom"/>
    </x:xf>
    <x:xf numFmtId="164" fontId="7" fillId="0" borderId="1" xfId="0" applyNumberFormat="1" applyFont="1" applyFill="1" applyBorder="1" applyAlignment="1">
      <x:alignment horizontal="general" vertical="bottom"/>
    </x:xf>
    <x:xf numFmtId="164" fontId="7" fillId="2" borderId="1" xfId="0" applyNumberFormat="1" applyFont="1" applyFill="1" applyBorder="1" applyAlignment="1">
      <x:alignment horizontal="general" vertical="bottom"/>
    </x:xf>
    <x:xf numFmtId="0" fontId="7" fillId="3" borderId="0" xfId="0" applyFont="1" applyFill="1" applyAlignment="1">
      <x:alignment horizontal="general" vertical="bottom"/>
    </x:xf>
    <x:xf numFmtId="165" fontId="1" fillId="2" borderId="2" xfId="0" applyNumberFormat="1" applyFont="1" applyFill="1" applyBorder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165" fontId="9" fillId="0" borderId="0" xfId="0" applyNumberFormat="1" applyFont="1" applyFill="1" applyAlignment="1">
      <x:alignment horizontal="general" vertical="bottom"/>
    </x:xf>
    <x:xf numFmtId="0" fontId="10" fillId="0" borderId="0" xfId="0" applyFont="1" applyFill="1" applyAlignment="1">
      <x:alignment horizontal="general" vertical="bottom"/>
    </x:xf>
    <x:xf numFmtId="166" fontId="11" fillId="0" borderId="0" xfId="0" applyNumberFormat="1" applyFont="1" applyFill="1" applyAlignment="1">
      <x:alignment horizontal="general" vertical="bottom"/>
    </x:xf>
    <x:xf numFmtId="167" fontId="1" fillId="0" borderId="3" xfId="0" applyNumberFormat="1" applyFont="1" applyFill="1" applyBorder="1" applyAlignment="1">
      <x:alignment horizontal="general" vertical="bottom"/>
    </x:xf>
    <x:xf numFmtId="0" fontId="4" fillId="0" borderId="0" xfId="0" applyFont="1" applyFill="1" applyAlignment="1">
      <x:alignment horizontal="general" vertical="bottom" wrapText="1"/>
    </x:xf>
    <x:xf numFmtId="168" fontId="1" fillId="0" borderId="0" xfId="0" applyNumberFormat="1" applyFont="1" applyFill="1" applyAlignment="1">
      <x:alignment horizontal="general" vertical="bottom"/>
    </x:xf>
    <x:xf numFmtId="165" fontId="6" fillId="0" borderId="0" xfId="0" applyNumberFormat="1" applyFont="1" applyFill="1" applyAlignment="1">
      <x:alignment horizontal="general" vertical="bottom"/>
    </x:xf>
    <x:xf numFmtId="164" fontId="8" fillId="2" borderId="0" xfId="0" applyNumberFormat="1" applyFont="1" applyFill="1" applyAlignment="1">
      <x:alignment horizontal="general" vertical="bottom"/>
    </x:xf>
    <x:xf numFmtId="0" fontId="6" fillId="0" borderId="3" xfId="0" applyFont="1" applyFill="1" applyBorder="1" applyAlignment="1">
      <x:alignment horizontal="general" vertical="bottom"/>
    </x:xf>
    <x:xf numFmtId="0" fontId="8" fillId="0" borderId="0" xfId="0" applyFont="1" applyFill="1" applyAlignment="1">
      <x:alignment horizontal="general" vertical="bottom"/>
    </x:xf>
    <x:xf numFmtId="0" fontId="5" fillId="0" borderId="0" xfId="0" applyFont="1" applyFill="1" applyAlignment="1">
      <x:alignment horizontal="general" vertical="bottom"/>
    </x:xf>
    <x:xf numFmtId="0" fontId="1" fillId="2" borderId="0" xfId="0" applyFont="1" applyFill="1" applyAlignment="1">
      <x:alignment horizontal="general" vertical="bottom"/>
    </x:xf>
    <x:xf numFmtId="164" fontId="12" fillId="2" borderId="1" xfId="0" applyNumberFormat="1" applyFont="1" applyFill="1" applyBorder="1" applyAlignment="1">
      <x:alignment horizontal="general" vertical="bottom"/>
    </x:xf>
    <x:xf numFmtId="0" fontId="6" fillId="0" borderId="0" xfId="0" applyFont="1" applyFill="1" applyAlignment="1">
      <x:alignment horizontal="general" vertical="bottom"/>
    </x:xf>
    <x:xf numFmtId="164" fontId="6" fillId="2" borderId="0" xfId="0" applyNumberFormat="1" applyFont="1" applyFill="1" applyAlignment="1">
      <x:alignment horizontal="general" vertical="bottom"/>
    </x:xf>
    <x:xf numFmtId="0" fontId="12" fillId="0" borderId="1" xfId="0" applyFont="1" applyFill="1" applyBorder="1" applyAlignment="1">
      <x:alignment horizontal="general" vertical="bottom"/>
    </x:xf>
    <x:xf numFmtId="164" fontId="6" fillId="0" borderId="0" xfId="0" applyNumberFormat="1" applyFont="1" applyFill="1" applyAlignment="1">
      <x:alignment horizontal="general" vertical="bottom"/>
    </x:xf>
    <x:xf numFmtId="166" fontId="5" fillId="2" borderId="0" xfId="0" applyNumberFormat="1" applyFont="1" applyFill="1" applyAlignment="1">
      <x:alignment horizontal="general" vertical="bottom"/>
    </x:xf>
    <x:xf numFmtId="164" fontId="9" fillId="2" borderId="0" xfId="0" applyNumberFormat="1" applyFont="1" applyFill="1" applyAlignment="1">
      <x:alignment horizontal="general" vertical="bottom"/>
    </x:xf>
    <x:xf numFmtId="166" fontId="13" fillId="2" borderId="0" xfId="0" applyNumberFormat="1" applyFont="1" applyFill="1" applyAlignment="1">
      <x:alignment horizontal="general" vertical="bottom"/>
    </x:xf>
    <x:xf numFmtId="164" fontId="5" fillId="0" borderId="0" xfId="0" applyNumberFormat="1" applyFont="1" applyFill="1" applyAlignment="1">
      <x:alignment horizontal="general" vertical="bottom"/>
    </x:xf>
    <x:xf numFmtId="164" fontId="5" fillId="2" borderId="0" xfId="0" applyNumberFormat="1" applyFont="1" applyFill="1" applyAlignment="1">
      <x:alignment horizontal="general" vertical="bottom"/>
    </x:xf>
    <x:xf numFmtId="166" fontId="14" fillId="0" borderId="0" xfId="0" applyNumberFormat="1" applyFont="1" applyFill="1" applyAlignment="1">
      <x:alignment horizontal="general" vertical="bottom"/>
    </x:xf>
    <x:xf numFmtId="166" fontId="13" fillId="0" borderId="0" xfId="0" applyNumberFormat="1" applyFont="1" applyFill="1" applyAlignment="1">
      <x:alignment horizontal="general" vertical="bottom"/>
    </x:xf>
    <x:xf numFmtId="166" fontId="11" fillId="2" borderId="0" xfId="0" applyNumberFormat="1" applyFont="1" applyFill="1" applyAlignment="1">
      <x:alignment horizontal="general" vertical="bottom"/>
    </x:xf>
    <x:xf numFmtId="164" fontId="12" fillId="0" borderId="1" xfId="0" applyNumberFormat="1" applyFont="1" applyFill="1" applyBorder="1" applyAlignment="1">
      <x:alignment horizontal="general" vertical="bottom"/>
    </x:xf>
    <x:xf numFmtId="165" fontId="5" fillId="0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0" fontId="8" fillId="2" borderId="0" xfId="0" applyFont="1" applyFill="1" applyAlignment="1">
      <x:alignment horizontal="general" vertical="bottom"/>
    </x:xf>
    <x:xf numFmtId="164" fontId="3" fillId="2" borderId="1" xfId="0" applyNumberFormat="1" applyFont="1" applyFill="1" applyBorder="1" applyAlignment="1">
      <x:alignment horizontal="general" vertical="bottom"/>
    </x:xf>
    <x:xf numFmtId="169" fontId="6" fillId="0" borderId="0" xfId="0" applyNumberFormat="1" applyFont="1" applyFill="1" applyAlignment="1">
      <x:alignment horizontal="general" vertical="bottom"/>
    </x:xf>
    <x:xf numFmtId="167" fontId="1" fillId="2" borderId="0" xfId="0" applyNumberFormat="1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7" fontId="1" fillId="0" borderId="0" xfId="0" applyNumberFormat="1" applyFont="1" applyFill="1" applyAlignment="1">
      <x:alignment horizontal="general" vertical="bottom"/>
    </x:xf>
    <x:xf numFmtId="167" fontId="8" fillId="2" borderId="0" xfId="0" applyNumberFormat="1" applyFont="1" applyFill="1" applyAlignment="1">
      <x:alignment horizontal="general" vertical="bottom"/>
    </x:xf>
    <x:xf numFmtId="167" fontId="6" fillId="0" borderId="0" xfId="0" applyNumberFormat="1" applyFont="1" applyFill="1" applyAlignment="1">
      <x:alignment horizontal="general" vertical="bottom"/>
    </x:xf>
    <x:xf numFmtId="167" fontId="7" fillId="0" borderId="1" xfId="0" applyNumberFormat="1" applyFont="1" applyFill="1" applyBorder="1" applyAlignment="1">
      <x:alignment horizontal="general" vertical="bottom"/>
    </x:xf>
    <x:xf numFmtId="0" fontId="6" fillId="2" borderId="0" xfId="0" applyFont="1" applyFill="1" applyAlignment="1">
      <x:alignment horizontal="general" vertical="bottom"/>
    </x:xf>
    <x:xf numFmtId="167" fontId="7" fillId="2" borderId="1" xfId="0" applyNumberFormat="1" applyFont="1" applyFill="1" applyBorder="1" applyAlignment="1">
      <x:alignment horizontal="general" vertical="bottom"/>
    </x:xf>
    <x:xf numFmtId="0" fontId="1" fillId="3" borderId="2" xfId="0" applyNumberFormat="1" applyFont="1" applyFill="1" applyBorder="1" applyAlignment="1">
      <x:alignment horizontal="right" vertical="bottom"/>
    </x:xf>
    <x:xf numFmtId="0" fontId="1" fillId="2" borderId="2" xfId="0" applyNumberFormat="1" applyFont="1" applyFill="1" applyBorder="1" applyAlignment="1">
      <x:alignment horizontal="right" vertical="bottom"/>
    </x:xf>
    <x:xf numFmtId="0" fontId="7" fillId="3" borderId="2" xfId="0" applyNumberFormat="1" applyFont="1" applyFill="1" applyBorder="1" applyAlignment="1">
      <x:alignment horizontal="right" vertical="bottom" wrapText="1"/>
    </x:xf>
    <x:xf numFmtId="164" fontId="1" fillId="0" borderId="3" xfId="0" applyNumberFormat="1" applyFont="1" applyFill="1" applyBorder="1" applyAlignment="1">
      <x:alignment horizontal="right" vertical="bottom"/>
    </x:xf>
    <x:xf numFmtId="0" fontId="1" fillId="0" borderId="3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  <x:xf numFmtId="0" fontId="1" fillId="2" borderId="0" xfId="0" applyNumberFormat="1" applyFont="1" applyFill="1" applyBorder="1" applyAlignment="1">
      <x:alignment horizontal="right" vertical="bottom"/>
    </x:xf>
    <x:xf numFmtId="0" fontId="7" fillId="3" borderId="0" xfId="0" applyNumberFormat="1" applyFont="1" applyFill="1" applyBorder="1" applyAlignment="1">
      <x:alignment horizontal="right" vertical="bottom"/>
    </x:xf>
    <x:xf numFmtId="0" fontId="4" fillId="0" borderId="0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6" fontId="5" fillId="0" borderId="0" xfId="0" applyNumberFormat="1" applyFont="1" applyFill="1" applyBorder="1" applyAlignment="1">
      <x:alignment horizontal="right" vertical="bottom"/>
    </x:xf>
    <x:xf numFmtId="166" fontId="5" fillId="2" borderId="0" xfId="0" applyNumberFormat="1" applyFont="1" applyFill="1" applyBorder="1" applyAlignment="1">
      <x:alignment horizontal="right" vertical="bottom"/>
    </x:xf>
    <x:xf numFmtId="164" fontId="1" fillId="2" borderId="0" xfId="0" applyNumberFormat="1" applyFont="1" applyFill="1" applyBorder="1" applyAlignment="1">
      <x:alignment horizontal="right" vertical="bottom"/>
    </x:xf>
    <x:xf numFmtId="0" fontId="7" fillId="3" borderId="2" xfId="0" applyNumberFormat="1" applyFont="1" applyFill="1" applyBorder="1" applyAlignment="1">
      <x:alignment horizontal="general" vertical="bottom" wrapText="1"/>
    </x:xf>
    <x:xf numFmtId="0" fontId="7" fillId="3" borderId="2" xfId="0" applyNumberFormat="1" applyFont="1" applyFill="1" applyBorder="1" applyAlignment="1">
      <x:alignment horizontal="general" vertical="center" wrapText="1"/>
    </x:xf>
    <x:xf numFmtId="0" fontId="7" fillId="3" borderId="2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general" vertical="bottom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3886fbdc64a78" /><Relationship Type="http://schemas.openxmlformats.org/officeDocument/2006/relationships/theme" Target="/xl/theme/theme1.xml" Id="R9084c3a53a9c4bce" /><Relationship Type="http://schemas.openxmlformats.org/officeDocument/2006/relationships/sharedStrings" Target="/xl/sharedStrings.xml" Id="R291527bae26a4bfd" /><Relationship Type="http://schemas.openxmlformats.org/officeDocument/2006/relationships/worksheet" Target="/xl/worksheets/sheet1.xml" Id="R6cf35d079c4245b2" /><Relationship Type="http://schemas.openxmlformats.org/officeDocument/2006/relationships/worksheet" Target="/xl/worksheets/sheet2.xml" Id="R687fa79d70904119" /><Relationship Type="http://schemas.openxmlformats.org/officeDocument/2006/relationships/worksheet" Target="/xl/worksheets/sheet3.xml" Id="R62709903d2ed428e" /><Relationship Type="http://schemas.openxmlformats.org/officeDocument/2006/relationships/worksheet" Target="/xl/worksheets/sheet4.xml" Id="R7e39b870425f4cfc" /><Relationship Type="http://schemas.openxmlformats.org/officeDocument/2006/relationships/worksheet" Target="/xl/worksheets/sheet5.xml" Id="R8b329636cc884a51" /><Relationship Type="http://schemas.openxmlformats.org/officeDocument/2006/relationships/worksheet" Target="/xl/worksheets/sheet6.xml" Id="R29d052484e8d4484" /><Relationship Type="http://schemas.openxmlformats.org/officeDocument/2006/relationships/worksheet" Target="/xl/worksheets/sheet7.xml" Id="R97932fe111f2458f" /><Relationship Type="http://schemas.openxmlformats.org/officeDocument/2006/relationships/worksheet" Target="/xl/worksheets/sheet8.xml" Id="R0f4cc154d6f9431a" /><Relationship Type="http://schemas.openxmlformats.org/officeDocument/2006/relationships/worksheet" Target="/xl/worksheets/sheet9.xml" Id="Rc7fc4e17332c4e3b" /><Relationship Type="http://schemas.openxmlformats.org/officeDocument/2006/relationships/worksheet" Target="/xl/worksheets/sheet10.xml" Id="R5e3bd74279a34868" /><Relationship Type="http://schemas.openxmlformats.org/officeDocument/2006/relationships/worksheet" Target="/xl/worksheets/sheet11.xml" Id="Rbeb27077654544b5" /><Relationship Type="http://schemas.openxmlformats.org/officeDocument/2006/relationships/worksheet" Target="/xl/worksheets/sheet12.xml" Id="Raa8f97ea7f2d45aa" /><Relationship Type="http://schemas.openxmlformats.org/officeDocument/2006/relationships/worksheet" Target="/xl/worksheets/sheet13.xml" Id="Recf84526c043458e" /><Relationship Type="http://schemas.openxmlformats.org/officeDocument/2006/relationships/worksheet" Target="/xl/worksheets/sheet14.xml" Id="R6b166118d28748b7" /><Relationship Type="http://schemas.microsoft.com/office/2017/10/relationships/person" Target="/xl/persons/person.xml" Id="Rf9fa224af3d349a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4018cbb38e14d8c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57150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4018cbb38e14d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persons/person.xml><?xml version="1.0" encoding="utf-8"?>
<xltc:personList xmlns:xltc="http://schemas.microsoft.com/office/spreadsheetml/2018/threadedcomments">
  <xltc:person displayName="Shortcut" id="{D99E2A0B-8271-8354-2BB6-637CA0982F4A}"/>
  <xltc:person displayName="Shortcut" id="{C52E2C9B-53DF-0314-4C40-8E76E27BDB62}"/>
  <xltc:person displayName="Shortcut" id="{AB2F54E9-9357-7569-9C07-B342FCF9548A}"/>
  <xltc:person displayName="Shortcut" id="{60280F3F-986D-15C7-55DE-33B1631AA86F}"/>
  <xltc:person displayName="Shortcut" id="{9A9DC24A-7E04-1056-05DA-424FF9494970}"/>
  <xltc:person displayName="Shortcut" id="{97FD0D3E-16B5-0AA3-1FC2-5C315D30E1FB}"/>
  <xltc:person displayName="Shortcut" id="{556A46CE-7364-8ECD-26CC-568184CE9D77}"/>
  <xltc:person displayName="Shortcut" id="{DF375799-8ADB-B3D0-F582-F04CFE9D5B1D}"/>
  <xltc:person displayName="Shortcut" id="{0894574E-0A37-99CA-9D8F-D3356BBBF227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dfd2b3ddf854fb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cc9195f11eee4ae2" /><Relationship Type="http://schemas.openxmlformats.org/officeDocument/2006/relationships/vmlDrawing" Target="/xl/drawings/vmldrawing.vml" Id="Rf0430093148e413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c3832dd399354f48" /><Relationship Type="http://schemas.openxmlformats.org/officeDocument/2006/relationships/vmlDrawing" Target="/xl/drawings/vmldrawing2.vml" Id="R84534aa7704747a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a6b6d98283344297" /><Relationship Type="http://schemas.openxmlformats.org/officeDocument/2006/relationships/vmlDrawing" Target="/xl/drawings/vmldrawing3.vml" Id="R6e4906717ea540d6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4.xml" Id="Re762a80dae164948" /><Relationship Type="http://schemas.openxmlformats.org/officeDocument/2006/relationships/vmlDrawing" Target="/xl/drawings/vmldrawing4.vml" Id="R5db17437b4c2421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5.xml" Id="R7dae1c61dc5b46f2" /><Relationship Type="http://schemas.openxmlformats.org/officeDocument/2006/relationships/vmlDrawing" Target="/xl/drawings/vmldrawing5.vml" Id="Rc5b16a9341c4487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comments" Target="/xl/comments6.xml" Id="R9e48d9fa334a4c1f" /><Relationship Type="http://schemas.openxmlformats.org/officeDocument/2006/relationships/vmlDrawing" Target="/xl/drawings/vmldrawing6.vml" Id="R36adadc04eb44d8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comments" Target="/xl/comments7.xml" Id="Rbec8ff9fe97f4802" /><Relationship Type="http://schemas.openxmlformats.org/officeDocument/2006/relationships/vmlDrawing" Target="/xl/drawings/vmldrawing7.vml" Id="Rc05b9f776f3c4c5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comments" Target="/xl/comments8.xml" Id="R6a475f7edb884999" /><Relationship Type="http://schemas.openxmlformats.org/officeDocument/2006/relationships/vmlDrawing" Target="/xl/drawings/vmldrawing8.vml" Id="Rb7c1caa788cd4599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comments" Target="/xl/comments9.xml" Id="R0abe110f7e3d4f0d" /><Relationship Type="http://schemas.openxmlformats.org/officeDocument/2006/relationships/vmlDrawing" Target="/xl/drawings/vmldrawing9.vml" Id="Reeaf878829b2406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customWidth="1"/>
    <x:col min="2" max="2" width="36" customWidth="1"/>
    <x:col min="3" max="3" width="15" customWidth="1"/>
    <x:col min="4" max="4" width="17" customWidth="1"/>
    <x:col min="5" max="5" width="16" customWidth="1"/>
    <x:col min="6" max="6" width="17" customWidth="1"/>
    <x:col min="7" max="7" width="16" customWidth="1"/>
    <x:col min="8" max="8" width="14" customWidth="1"/>
    <x:col min="10" max="10" width="66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1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6"/>
      <x:c r="C8" s="6"/>
      <x:c r="D8" s="6"/>
      <x:c r="E8" s="6"/>
      <x:c r="F8" s="6"/>
      <x:c r="G8" s="6"/>
      <x:c r="H8" s="13"/>
      <x:c r="I8" s="6"/>
      <x:c r="J8" s="6"/>
      <x:c r="K8" s="6"/>
    </x:row>
    <x:row r="9">
      <x:c r="B9" s="1" t="s">
        <x:v>12</x:v>
      </x:c>
      <x:c r="C9" s="1" t="s">
        <x:v>0</x:v>
      </x:c>
      <x:c r="D9" s="1" t="s">
        <x:v>13</x:v>
      </x:c>
      <x:c r="E9" s="1"/>
      <x:c r="F9" s="1"/>
      <x:c r="G9" s="1"/>
      <x:c r="H9" s="13"/>
      <x:c r="I9" s="6"/>
      <x:c r="J9" s="6"/>
      <x:c r="K9" s="6"/>
    </x:row>
    <x:row r="10">
      <x:c r="B10" s="1" t="s">
        <x:v>14</x:v>
      </x:c>
      <x:c r="C10" s="1" t="s">
        <x:v>15</x:v>
      </x:c>
      <x:c r="D10" s="1" t="s">
        <x:v>16</x:v>
      </x:c>
      <x:c r="E10" s="1"/>
      <x:c r="F10" s="1"/>
      <x:c r="G10" s="1"/>
      <x:c r="H10" s="13"/>
      <x:c r="I10" s="6"/>
      <x:c r="J10" s="6"/>
      <x:c r="K10" s="6"/>
    </x:row>
    <x:row r="11">
      <x:c r="B11" s="1" t="s">
        <x:v>17</x:v>
      </x:c>
      <x:c r="C11" s="30" t="s">
        <x:v>18</x:v>
      </x:c>
      <x:c r="D11" s="1"/>
      <x:c r="E11" s="1"/>
      <x:c r="F11" s="1"/>
      <x:c r="G11" s="1"/>
      <x:c r="H11" s="13"/>
      <x:c r="I11" s="6"/>
      <x:c r="J11" s="6"/>
      <x:c r="K11" s="6"/>
    </x:row>
    <x:row r="12">
      <x:c r="B12" s="1" t="s">
        <x:v>19</x:v>
      </x:c>
      <x:c r="C12" s="1" t="s">
        <x:v>20</x:v>
      </x:c>
      <x:c r="D12" s="1" t="s">
        <x:v>21</x:v>
      </x:c>
      <x:c r="E12" s="1"/>
      <x:c r="F12" s="1"/>
      <x:c r="G12" s="1"/>
      <x:c r="H12" s="13"/>
      <x:c r="I12" s="6"/>
      <x:c r="J12" s="6"/>
      <x:c r="K12" s="6"/>
    </x:row>
    <x:row r="13">
      <x:c r="B13" s="1" t="s">
        <x:v>22</x:v>
      </x:c>
      <x:c r="C13" s="1" t="s">
        <x:v>23</x:v>
      </x:c>
      <x:c r="D13" s="1" t="s">
        <x:v>24</x:v>
      </x:c>
      <x:c r="E13" s="1"/>
      <x:c r="F13" s="1"/>
      <x:c r="G13" s="1"/>
      <x:c r="H13" s="13"/>
      <x:c r="I13" s="6"/>
      <x:c r="J13" s="6"/>
      <x:c r="K13" s="6"/>
    </x:row>
    <x:row r="14" ht="32" customHeight="1">
      <x:c r="B14" s="1" t="s">
        <x:v>25</x:v>
      </x:c>
      <x:c r="C14" s="80" t="s">
        <x:v>26</x:v>
      </x:c>
      <x:c r="D14" s="80" t="s">
        <x:v>27</x:v>
      </x:c>
      <x:c r="E14" s="1"/>
      <x:c r="F14" s="1"/>
      <x:c r="G14" s="1"/>
      <x:c r="H14" s="13"/>
      <x:c r="I14" s="6"/>
      <x:c r="J14" s="6"/>
      <x:c r="K14" s="6"/>
    </x:row>
    <x:row r="15">
      <x:c r="B15" s="1" t="s">
        <x:v>28</x:v>
      </x:c>
      <x:c r="C15" s="31" t="n">
        <x:f>Inputs!C28</x:f>
        <x:v>46294</x:v>
      </x:c>
      <x:c r="D15" s="1"/>
      <x:c r="E15" s="1"/>
      <x:c r="F15" s="1"/>
      <x:c r="G15" s="1"/>
      <x:c r="H15" s="13"/>
      <x:c r="I15" s="6"/>
      <x:c r="J15" s="6"/>
      <x:c r="K15" s="6"/>
    </x:row>
    <x:row r="16">
      <x:c r="B16" s="1"/>
      <x:c r="C16" s="1"/>
      <x:c r="D16" s="1"/>
      <x:c r="E16" s="1"/>
      <x:c r="F16" s="1"/>
      <x:c r="G16" s="1"/>
      <x:c r="H16" s="13"/>
      <x:c r="I16" s="6"/>
      <x:c r="J16" s="6"/>
      <x:c r="K16" s="6"/>
    </x:row>
    <x:row r="17" ht="32" customHeight="1">
      <x:c r="B17" s="78" t="s">
        <x:v>29</x:v>
      </x:c>
      <x:c r="C17" s="79" t="s">
        <x:v>30</x:v>
      </x:c>
      <x:c r="D17" s="79" t="s">
        <x:v>31</x:v>
      </x:c>
      <x:c r="E17" s="79" t="s">
        <x:v>32</x:v>
      </x:c>
      <x:c r="F17" s="79" t="s">
        <x:v>33</x:v>
      </x:c>
      <x:c r="G17" s="78" t="s">
        <x:v>34</x:v>
      </x:c>
      <x:c r="H17" s="13"/>
      <x:c r="I17" s="6"/>
      <x:c r="J17" s="6"/>
      <x:c r="K17" s="6"/>
    </x:row>
    <x:row r="18">
      <x:c r="B18" s="12" t="s">
        <x:v>35</x:v>
      </x:c>
      <x:c r="C18" s="15" t="n">
        <x:f>'Revenue summary'!H29</x:f>
        <x:v>884</x:v>
      </x:c>
      <x:c r="D18" s="15" t="n">
        <x:f>Inputs!C46</x:f>
        <x:v>880.35</x:v>
      </x:c>
      <x:c r="E18" s="14" t="n">
        <x:f>C18-D18</x:f>
        <x:v>3.6499999999999773</x:v>
      </x:c>
      <x:c r="F18" s="33" t="n">
        <x:f>Guidance!G16</x:f>
        <x:v>883.282</x:v>
      </x:c>
      <x:c r="G18" s="12" t="s">
        <x:v>36</x:v>
      </x:c>
      <x:c r="H18" s="13"/>
      <x:c r="I18" s="6"/>
      <x:c r="J18" s="6"/>
      <x:c r="K18" s="6"/>
    </x:row>
    <x:row r="19">
      <x:c r="B19" s="12" t="s">
        <x:v>37</x:v>
      </x:c>
      <x:c r="C19" s="15" t="n">
        <x:f>'Income Statement'!H39</x:f>
        <x:v>54.85497599999992</x:v>
      </x:c>
      <x:c r="D19" s="67" t="s">
        <x:v>38</x:v>
      </x:c>
      <x:c r="E19" s="14"/>
      <x:c r="F19" s="68" t="s">
        <x:v>38</x:v>
      </x:c>
      <x:c r="G19" s="12" t="s">
        <x:v>39</x:v>
      </x:c>
      <x:c r="H19" s="13"/>
      <x:c r="I19" s="6"/>
      <x:c r="J19" s="6"/>
      <x:c r="K19" s="6"/>
    </x:row>
    <x:row r="20">
      <x:c r="B20" s="12" t="s">
        <x:v>40</x:v>
      </x:c>
      <x:c r="C20" s="9" t="n">
        <x:f>'Income Statement'!H40</x:f>
        <x:v>1.3662509589041076</x:v>
      </x:c>
      <x:c r="D20" s="9" t="n">
        <x:f>Inputs!C29</x:f>
        <x:v>1.3</x:v>
      </x:c>
      <x:c r="E20" s="28" t="n">
        <x:f>C20-D20</x:f>
        <x:v>0.06625095890410759</x:v>
      </x:c>
      <x:c r="F20" s="68" t="s">
        <x:v>38</x:v>
      </x:c>
      <x:c r="G20" s="12" t="s">
        <x:v>41</x:v>
      </x:c>
      <x:c r="H20" s="13"/>
      <x:c r="I20" s="6"/>
      <x:c r="J20" s="6"/>
      <x:c r="K20" s="6"/>
    </x:row>
    <x:row r="21">
      <x:c r="B21" s="12" t="s">
        <x:v>42</x:v>
      </x:c>
      <x:c r="C21" s="15" t="n">
        <x:f>'Income Statement'!H30</x:f>
        <x:v>44.21497599999992</x:v>
      </x:c>
      <x:c r="D21" s="15" t="n">
        <x:f>Inputs!C57</x:f>
        <x:v>48.31</x:v>
      </x:c>
      <x:c r="E21" s="14" t="n">
        <x:f>C21-D21</x:f>
        <x:v>-4.09502400000008</x:v>
      </x:c>
      <x:c r="F21" s="68" t="s">
        <x:v>38</x:v>
      </x:c>
      <x:c r="G21" s="12" t="s">
        <x:v>39</x:v>
      </x:c>
      <x:c r="H21" s="13"/>
      <x:c r="I21" s="6"/>
      <x:c r="J21" s="6"/>
      <x:c r="K21" s="6"/>
    </x:row>
    <x:row r="22">
      <x:c r="B22" s="12" t="s">
        <x:v>43</x:v>
      </x:c>
      <x:c r="C22" s="9" t="n">
        <x:f>'Income Statement'!H32</x:f>
        <x:v>1.1012447322540455</x:v>
      </x:c>
      <x:c r="D22" s="9" t="n">
        <x:f>Inputs!C38</x:f>
        <x:v>1.23</x:v>
      </x:c>
      <x:c r="E22" s="28" t="n">
        <x:f>C22-D22</x:f>
        <x:v>-0.12875526774595447</x:v>
      </x:c>
      <x:c r="F22" s="68" t="s">
        <x:v>38</x:v>
      </x:c>
      <x:c r="G22" s="12" t="s">
        <x:v>41</x:v>
      </x:c>
      <x:c r="H22" s="13"/>
      <x:c r="I22" s="6"/>
      <x:c r="J22" s="6"/>
      <x:c r="K22" s="6"/>
    </x:row>
    <x:row r="23">
      <x:c r="B23" s="17" t="s">
        <x:v>44</x:v>
      </x:c>
      <x:c r="C23" s="40" t="str">
        <x:f>IF(AND('Balance Sheet'!H34=0,'Cash Flow Statement'!H28=0,Geo!H14=0,'Revenue summary'!H74=0,'Revenue summary'!H75,'Income Statement'!F42=0,'Income Statement'!G42=0,'Income Statement'!H74=0,'Segment - Parts Supply'!H63=0,'Segment - RE&amp;S'!H63=0,'Segment - Government Solutions'!H63=0,'Segment - Legacy Commercial'!H63=0,C18='Revenue summary'!H29,C19='Income Statement'!H39,C20='Income Statement'!H40),"PASS","FAIL")</x:f>
        <x:v>PASS</x:v>
      </x:c>
      <x:c r="D23" s="17"/>
      <x:c r="E23" s="17"/>
      <x:c r="F23" s="17"/>
      <x:c r="G23" s="17"/>
      <x:c r="H23" s="13"/>
      <x:c r="I23" s="6"/>
      <x:c r="J23" s="6"/>
      <x:c r="K23" s="6"/>
    </x:row>
    <x:row r="24">
      <x:c r="B24" s="35" t="s">
        <x:v>45</x:v>
      </x:c>
      <x:c r="C24" s="27" t="n">
        <x:f>Inputs!C80</x:f>
        <x:v>0.67</x:v>
      </x:c>
      <x:c r="D24" s="1"/>
      <x:c r="E24" s="1"/>
      <x:c r="F24" s="1"/>
      <x:c r="G24" s="1"/>
      <x:c r="H24" s="13"/>
      <x:c r="I24" s="6"/>
      <x:c r="J24" s="6"/>
      <x:c r="K24" s="6"/>
    </x:row>
    <x:row r="25">
      <x:c r="B25" s="1" t="s">
        <x:v>46</x:v>
      </x:c>
      <x:c r="C25" s="38" t="str">
        <x:f>Inputs!C81</x:f>
        <x:v>medium</x:v>
      </x:c>
      <x:c r="D25" s="1"/>
      <x:c r="E25" s="1"/>
      <x:c r="F25" s="1"/>
      <x:c r="G25" s="1"/>
      <x:c r="H25" s="13"/>
      <x:c r="I25" s="6"/>
      <x:c r="J25" s="6"/>
      <x:c r="K25" s="6"/>
    </x:row>
    <x:row r="26">
      <x:c r="B26" s="6"/>
      <x:c r="C26" s="6"/>
      <x:c r="D26" s="6"/>
      <x:c r="E26" s="6"/>
      <x:c r="F26" s="6"/>
      <x:c r="G26" s="6"/>
      <x:c r="H26" s="13"/>
      <x:c r="I26" s="6"/>
      <x:c r="J26" s="6"/>
      <x:c r="K26" s="6"/>
    </x:row>
    <x:row r="27">
      <x:c r="B27" s="6"/>
      <x:c r="C27" s="6"/>
      <x:c r="D27" s="6"/>
      <x:c r="E27" s="6"/>
      <x:c r="F27" s="6"/>
      <x:c r="G27" s="6"/>
      <x:c r="H27" s="13"/>
      <x:c r="I27" s="6"/>
      <x:c r="J27" s="6" t="s">
        <x:v>47</x:v>
      </x:c>
      <x:c r="K27" s="6"/>
    </x:row>
    <x:row r="28">
      <x:c r="B28" s="6"/>
      <x:c r="C28" s="6"/>
      <x:c r="D28" s="6"/>
      <x:c r="E28" s="6"/>
      <x:c r="F28" s="6"/>
      <x:c r="G28" s="6"/>
      <x:c r="H28" s="13"/>
      <x:c r="I28" s="6"/>
      <x:c r="J28" s="6" t="s">
        <x:v>48</x:v>
      </x:c>
      <x:c r="K28" s="6"/>
    </x:row>
    <x:row r="29">
      <x:c r="B29" s="6"/>
      <x:c r="C29" s="6"/>
      <x:c r="D29" s="6"/>
      <x:c r="E29" s="6"/>
      <x:c r="F29" s="6"/>
      <x:c r="G29" s="6"/>
      <x:c r="H29" s="13"/>
      <x:c r="I29" s="6"/>
      <x:c r="J29" s="6" t="s">
        <x:v>49</x:v>
      </x:c>
      <x:c r="K29" s="6"/>
    </x:row>
    <x:row r="30">
      <x:c r="B30" s="6"/>
      <x:c r="C30" s="6"/>
      <x:c r="D30" s="6"/>
      <x:c r="E30" s="6"/>
      <x:c r="F30" s="6"/>
      <x:c r="G30" s="6"/>
      <x:c r="H30" s="13"/>
      <x:c r="I30" s="6"/>
      <x:c r="J30" s="6"/>
      <x:c r="K30" s="6"/>
    </x:row>
    <x:row r="31">
      <x:c r="B31" s="6"/>
      <x:c r="C31" s="6"/>
      <x:c r="D31" s="6"/>
      <x:c r="E31" s="6"/>
      <x:c r="F31" s="6"/>
      <x:c r="G31" s="6"/>
      <x:c r="H31" s="13"/>
      <x:c r="I31" s="6"/>
      <x:c r="J31" s="6" t="s">
        <x:v>50</x:v>
      </x:c>
      <x:c r="K31" s="6"/>
    </x:row>
    <x:row r="32">
      <x:c r="B32" s="6"/>
      <x:c r="C32" s="6"/>
      <x:c r="D32" s="6"/>
      <x:c r="E32" s="6"/>
      <x:c r="F32" s="6"/>
      <x:c r="G32" s="6"/>
      <x:c r="H32" s="13"/>
      <x:c r="I32" s="6"/>
      <x:c r="J32" s="6" t="s">
        <x:v>51</x:v>
      </x:c>
      <x:c r="K32" s="6"/>
    </x:row>
    <x:row r="33">
      <x:c r="H33" s="2"/>
    </x:row>
    <x:row r="34">
      <x:c r="H34" s="2"/>
    </x:row>
    <x:row r="35">
      <x:c r="H35" s="2"/>
    </x:row>
    <x:row r="36">
      <x:c r="H36" s="2"/>
    </x:row>
    <x:row r="37">
      <x:c r="H37" s="2"/>
    </x:row>
    <x:row r="38">
      <x:c r="H38" s="2"/>
    </x:row>
    <x:row r="39">
      <x:c r="H39" s="2"/>
    </x:row>
    <x:row r="40">
      <x:c r="H40" s="2"/>
    </x:row>
    <x:row r="41">
      <x:c r="H41" s="2"/>
    </x:row>
    <x:row r="42">
      <x:c r="H42" s="2"/>
    </x:row>
    <x:row r="43">
      <x:c r="H43" s="2"/>
    </x:row>
    <x:row r="44">
      <x:c r="H44" s="2"/>
    </x:row>
    <x:row r="45">
      <x:c r="H45" s="2"/>
    </x:row>
    <x:row r="46">
      <x:c r="H46" s="2"/>
    </x:row>
    <x:row r="47">
      <x:c r="H47" s="2"/>
    </x:row>
    <x:row r="48">
      <x:c r="H48" s="2"/>
    </x:row>
    <x:row r="49">
      <x:c r="H49" s="2"/>
    </x:row>
    <x:row r="50">
      <x:c r="H50" s="2"/>
    </x:row>
    <x:row r="51">
      <x:c r="H51" s="2"/>
    </x:row>
    <x:row r="52">
      <x:c r="H52" s="2"/>
    </x:row>
    <x:row r="53">
      <x:c r="H53" s="2"/>
    </x:row>
    <x:row r="54">
      <x:c r="H54" s="2"/>
    </x:row>
    <x:row r="55">
      <x:c r="H55" s="2"/>
    </x:row>
    <x:row r="56">
      <x:c r="H56" s="2"/>
    </x:row>
    <x:row r="57">
      <x:c r="H57" s="2"/>
    </x:row>
    <x:row r="58">
      <x:c r="H58" s="2"/>
    </x:row>
    <x:row r="59">
      <x:c r="H59" s="2"/>
    </x:row>
    <x:row r="60">
      <x:c r="H60" s="2"/>
    </x:row>
    <x:row r="61">
      <x:c r="H61" s="2"/>
    </x:row>
    <x:row r="62">
      <x:c r="H62" s="2"/>
    </x:row>
    <x:row r="63">
      <x:c r="H63" s="2"/>
    </x:row>
    <x:row r="64">
      <x:c r="H64" s="2"/>
    </x:row>
    <x:row r="65">
      <x:c r="H65" s="2"/>
    </x:row>
    <x:row r="66">
      <x:c r="H66" s="2"/>
    </x:row>
    <x:row r="67">
      <x:c r="H67" s="2"/>
    </x:row>
    <x:row r="68">
      <x:c r="H68" s="2"/>
    </x:row>
    <x:row r="69">
      <x:c r="H69" s="2"/>
    </x:row>
    <x:row r="70">
      <x:c r="H70" s="2"/>
    </x:row>
    <x:row r="71">
      <x:c r="H71" s="2"/>
    </x:row>
    <x:row r="72">
      <x:c r="H72" s="2"/>
    </x:row>
    <x:row r="73">
      <x:c r="H73" s="2"/>
    </x:row>
    <x:row r="74">
      <x:c r="H74" s="2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drawing xmlns:r="http://schemas.openxmlformats.org/officeDocument/2006/relationships" r:id="Rcdfd2b3ddf854fba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52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6"/>
    </x:row>
    <x:row r="9">
      <x:c r="B9" s="1" t="s">
        <x:v>53</x:v>
      </x:c>
      <x:c r="C9" s="41" t="n">
        <x:f>'Segment - Parts Supply'!C29</x:f>
        <x:v>317.8</x:v>
      </x:c>
      <x:c r="D9" s="41" t="n">
        <x:f>'Segment - Parts Supply'!D29</x:f>
        <x:v>353.6</x:v>
      </x:c>
      <x:c r="E9" s="41" t="n">
        <x:f>'Segment - Parts Supply'!E29</x:f>
        <x:v>392.5</x:v>
      </x:c>
      <x:c r="F9" s="41" t="n">
        <x:f>'Segment - Parts Supply'!F29</x:f>
        <x:v>423.80000000000007</x:v>
      </x:c>
      <x:c r="G9" s="41" t="n">
        <x:f>'Segment - Parts Supply'!G29</x:f>
        <x:v>1487.7</x:v>
      </x:c>
      <x:c r="H9" s="39" t="n">
        <x:f>'Segment - Parts Supply'!H29</x:f>
        <x:v>410</x:v>
      </x:c>
      <x:c r="I9" s="1"/>
      <x:c r="J9" s="1"/>
      <x:c r="K9" s="6"/>
    </x:row>
    <x:row r="10">
      <x:c r="B10" s="35" t="s">
        <x:v>54</x:v>
      </x:c>
      <x:c r="C10" s="8"/>
      <x:c r="D10" s="8"/>
      <x:c r="E10" s="8"/>
      <x:c r="F10" s="8"/>
      <x:c r="G10" s="8"/>
      <x:c r="H10" s="42" t="n">
        <x:f>IFERROR(H9/C9-1,0)</x:f>
        <x:v>0.29011957205789796</x:v>
      </x:c>
      <x:c r="I10" s="1"/>
      <x:c r="J10" s="1"/>
      <x:c r="K10" s="6"/>
    </x:row>
    <x:row r="11">
      <x:c r="B11" s="35" t="s">
        <x:v>55</x:v>
      </x:c>
      <x:c r="C11" s="8"/>
      <x:c r="D11" s="8" t="n">
        <x:f>IFERROR(D9/C9-1,0)</x:f>
        <x:v>0.11264946507237261</x:v>
      </x:c>
      <x:c r="E11" s="8" t="n">
        <x:f>IFERROR(E9/D9-1,0)</x:f>
        <x:v>0.1100113122171944</x:v>
      </x:c>
      <x:c r="F11" s="8" t="n">
        <x:f>IFERROR(F9/E9-1,0)</x:f>
        <x:v>0.07974522292993647</x:v>
      </x:c>
      <x:c r="G11" s="8"/>
      <x:c r="H11" s="42" t="n">
        <x:f>IFERROR(H9/F9-1,0)</x:f>
        <x:v>-0.03256252949504501</x:v>
      </x:c>
      <x:c r="I11" s="1"/>
      <x:c r="J11" s="1"/>
      <x:c r="K11" s="6"/>
    </x:row>
    <x:row r="12">
      <x:c r="B12" s="35" t="s">
        <x:v>56</x:v>
      </x:c>
      <x:c r="C12" s="8" t="n">
        <x:f>IFERROR(C9/C29,0)</x:f>
        <x:v>0.42969172525689564</x:v>
      </x:c>
      <x:c r="D12" s="8" t="n">
        <x:f>IFERROR(D9/D29,0)</x:f>
        <x:v>0.4446120960643783</x:v>
      </x:c>
      <x:c r="E12" s="8" t="n">
        <x:f>IFERROR(E9/E29,0)</x:f>
        <x:v>0.4644420778606082</x:v>
      </x:c>
      <x:c r="F12" s="8" t="n">
        <x:f>IFERROR(F9/F29,0)</x:f>
        <x:v>0.4566810344827586</x:v>
      </x:c>
      <x:c r="G12" s="8" t="n">
        <x:f>IFERROR(G9/G29,0)</x:f>
        <x:v>0.44972793228536884</x:v>
      </x:c>
      <x:c r="H12" s="42" t="n">
        <x:f>IFERROR(H9/H29,0)</x:f>
        <x:v>0.4638009049773756</x:v>
      </x:c>
      <x:c r="I12" s="1"/>
      <x:c r="J12" s="1"/>
      <x:c r="K12" s="6"/>
    </x:row>
    <x:row r="13">
      <x:c r="B13" s="1" t="s">
        <x:v>57</x:v>
      </x:c>
      <x:c r="C13" s="4"/>
      <x:c r="D13" s="4"/>
      <x:c r="E13" s="4"/>
      <x:c r="F13" s="4"/>
      <x:c r="G13" s="4"/>
      <x:c r="H13" s="3" t="n">
        <x:f>(H12-C12)*10000</x:f>
        <x:v>341.09179720479943</x:v>
      </x:c>
      <x:c r="I13" s="1"/>
      <x:c r="J13" s="1"/>
      <x:c r="K13" s="6"/>
    </x:row>
    <x:row r="14">
      <x:c r="B14" s="1" t="s">
        <x:v>58</x:v>
      </x:c>
      <x:c r="C14" s="41" t="n">
        <x:f>'Segment - RE&amp;S'!C29</x:f>
        <x:v>226.4</x:v>
      </x:c>
      <x:c r="D14" s="41" t="n">
        <x:f>'Segment - RE&amp;S'!D29</x:f>
        <x:v>257.7</x:v>
      </x:c>
      <x:c r="E14" s="41" t="n">
        <x:f>'Segment - RE&amp;S'!E29</x:f>
        <x:v>282.29999999999995</x:v>
      </x:c>
      <x:c r="F14" s="41" t="n">
        <x:f>'Segment - RE&amp;S'!F29</x:f>
        <x:v>314.4000000000001</x:v>
      </x:c>
      <x:c r="G14" s="41" t="n">
        <x:f>'Segment - RE&amp;S'!G29</x:f>
        <x:v>1080.8</x:v>
      </x:c>
      <x:c r="H14" s="39" t="n">
        <x:f>'Segment - RE&amp;S'!H29</x:f>
        <x:v>282</x:v>
      </x:c>
      <x:c r="I14" s="1"/>
      <x:c r="J14" s="1"/>
      <x:c r="K14" s="6"/>
    </x:row>
    <x:row r="15">
      <x:c r="B15" s="35" t="s">
        <x:v>54</x:v>
      </x:c>
      <x:c r="C15" s="8"/>
      <x:c r="D15" s="8"/>
      <x:c r="E15" s="8"/>
      <x:c r="F15" s="8"/>
      <x:c r="G15" s="8"/>
      <x:c r="H15" s="42" t="n">
        <x:f>IFERROR(H14/C14-1,0)</x:f>
        <x:v>0.24558303886925792</x:v>
      </x:c>
      <x:c r="I15" s="1"/>
      <x:c r="J15" s="1"/>
      <x:c r="K15" s="6"/>
    </x:row>
    <x:row r="16">
      <x:c r="B16" s="35" t="s">
        <x:v>55</x:v>
      </x:c>
      <x:c r="C16" s="8"/>
      <x:c r="D16" s="8" t="n">
        <x:f>IFERROR(D14/C14-1,0)</x:f>
        <x:v>0.13825088339222602</x:v>
      </x:c>
      <x:c r="E16" s="8" t="n">
        <x:f>IFERROR(E14/D14-1,0)</x:f>
        <x:v>0.09545983701979033</x:v>
      </x:c>
      <x:c r="F16" s="8" t="n">
        <x:f>IFERROR(F14/E14-1,0)</x:f>
        <x:v>0.11370882040382613</x:v>
      </x:c>
      <x:c r="G16" s="8"/>
      <x:c r="H16" s="42" t="n">
        <x:f>IFERROR(H14/F14-1,0)</x:f>
        <x:v>-0.10305343511450404</x:v>
      </x:c>
      <x:c r="I16" s="1"/>
      <x:c r="J16" s="1"/>
      <x:c r="K16" s="6"/>
    </x:row>
    <x:row r="17">
      <x:c r="B17" s="35" t="s">
        <x:v>56</x:v>
      </x:c>
      <x:c r="C17" s="8" t="n">
        <x:f>IFERROR(C14/C29,0)</x:f>
        <x:v>0.3061114115738237</x:v>
      </x:c>
      <x:c r="D17" s="8" t="n">
        <x:f>IFERROR(D14/D29,0)</x:f>
        <x:v>0.32402866842700867</x:v>
      </x:c>
      <x:c r="E17" s="8" t="n">
        <x:f>IFERROR(E14/E29,0)</x:f>
        <x:v>0.334043308484203</x:v>
      </x:c>
      <x:c r="F17" s="8" t="n">
        <x:f>IFERROR(F14/F29,0)</x:f>
        <x:v>0.3387931034482759</x:v>
      </x:c>
      <x:c r="G17" s="8" t="n">
        <x:f>IFERROR(G14/G29,0)</x:f>
        <x:v>0.32672309552599754</x:v>
      </x:c>
      <x:c r="H17" s="42" t="n">
        <x:f>IFERROR(H14/H29,0)</x:f>
        <x:v>0.3190045248868778</x:v>
      </x:c>
      <x:c r="I17" s="1"/>
      <x:c r="J17" s="1"/>
      <x:c r="K17" s="6"/>
    </x:row>
    <x:row r="18">
      <x:c r="B18" s="1" t="s">
        <x:v>57</x:v>
      </x:c>
      <x:c r="C18" s="4"/>
      <x:c r="D18" s="4"/>
      <x:c r="E18" s="4"/>
      <x:c r="F18" s="4"/>
      <x:c r="G18" s="4"/>
      <x:c r="H18" s="3" t="n">
        <x:f>(H17-C17)*10000</x:f>
        <x:v>128.93113313054096</x:v>
      </x:c>
      <x:c r="I18" s="1"/>
      <x:c r="J18" s="1"/>
      <x:c r="K18" s="6"/>
    </x:row>
    <x:row r="19">
      <x:c r="B19" s="1" t="s">
        <x:v>59</x:v>
      </x:c>
      <x:c r="C19" s="41" t="n">
        <x:f>'Segment - Government Solutions'!C29</x:f>
        <x:v>133.89999999999998</x:v>
      </x:c>
      <x:c r="D19" s="41" t="n">
        <x:f>'Segment - Government Solutions'!D29</x:f>
        <x:v>123.5</x:v>
      </x:c>
      <x:c r="E19" s="41" t="n">
        <x:f>'Segment - Government Solutions'!E29</x:f>
        <x:v>114.7</x:v>
      </x:c>
      <x:c r="F19" s="41" t="n">
        <x:f>'Segment - Government Solutions'!F29</x:f>
        <x:v>130.20000000000002</x:v>
      </x:c>
      <x:c r="G19" s="41" t="n">
        <x:f>'Segment - Government Solutions'!G29</x:f>
        <x:v>502.3</x:v>
      </x:c>
      <x:c r="H19" s="39" t="n">
        <x:f>'Segment - Government Solutions'!H29</x:f>
        <x:v>136</x:v>
      </x:c>
      <x:c r="I19" s="1"/>
      <x:c r="J19" s="1"/>
      <x:c r="K19" s="6"/>
    </x:row>
    <x:row r="20">
      <x:c r="B20" s="35" t="s">
        <x:v>54</x:v>
      </x:c>
      <x:c r="C20" s="8"/>
      <x:c r="D20" s="8"/>
      <x:c r="E20" s="8"/>
      <x:c r="F20" s="8"/>
      <x:c r="G20" s="8"/>
      <x:c r="H20" s="42" t="n">
        <x:f>IFERROR(H19/C19-1,0)</x:f>
        <x:v>0.01568334578043329</x:v>
      </x:c>
      <x:c r="I20" s="1"/>
      <x:c r="J20" s="1"/>
      <x:c r="K20" s="6"/>
    </x:row>
    <x:row r="21">
      <x:c r="B21" s="35" t="s">
        <x:v>55</x:v>
      </x:c>
      <x:c r="C21" s="8"/>
      <x:c r="D21" s="8" t="n">
        <x:f>IFERROR(D19/C19-1,0)</x:f>
        <x:v>-0.07766990291262121</x:v>
      </x:c>
      <x:c r="E21" s="8" t="n">
        <x:f>IFERROR(E19/D19-1,0)</x:f>
        <x:v>-0.07125506072874488</x:v>
      </x:c>
      <x:c r="F21" s="8" t="n">
        <x:f>IFERROR(F19/E19-1,0)</x:f>
        <x:v>0.1351351351351353</x:v>
      </x:c>
      <x:c r="G21" s="8"/>
      <x:c r="H21" s="42" t="n">
        <x:f>IFERROR(H19/F19-1,0)</x:f>
        <x:v>0.04454685099846367</x:v>
      </x:c>
      <x:c r="I21" s="1"/>
      <x:c r="J21" s="1"/>
      <x:c r="K21" s="6"/>
    </x:row>
    <x:row r="22">
      <x:c r="B22" s="35" t="s">
        <x:v>56</x:v>
      </x:c>
      <x:c r="C22" s="8" t="n">
        <x:f>IFERROR(C19/C29,0)</x:f>
        <x:v>0.18104380746349374</x:v>
      </x:c>
      <x:c r="D22" s="8" t="n">
        <x:f>IFERROR(D19/D29,0)</x:f>
        <x:v>0.15528731296366152</x:v>
      </x:c>
      <x:c r="E22" s="8" t="n">
        <x:f>IFERROR(E19/E29,0)</x:f>
        <x:v>0.13572358300792806</x:v>
      </x:c>
      <x:c r="F22" s="8" t="n">
        <x:f>IFERROR(F19/F29,0)</x:f>
        <x:v>0.14030172413793102</x:v>
      </x:c>
      <x:c r="G22" s="8" t="n">
        <x:f>IFERROR(G19/G29,0)</x:f>
        <x:v>0.15184401451027812</x:v>
      </x:c>
      <x:c r="H22" s="42" t="n">
        <x:f>IFERROR(H19/H29,0)</x:f>
        <x:v>0.15384615384615385</x:v>
      </x:c>
      <x:c r="I22" s="1"/>
      <x:c r="J22" s="1"/>
      <x:c r="K22" s="6"/>
    </x:row>
    <x:row r="23">
      <x:c r="B23" s="1" t="s">
        <x:v>57</x:v>
      </x:c>
      <x:c r="C23" s="4"/>
      <x:c r="D23" s="4"/>
      <x:c r="E23" s="4"/>
      <x:c r="F23" s="4"/>
      <x:c r="G23" s="4"/>
      <x:c r="H23" s="3" t="n">
        <x:f>(H22-C22)*10000</x:f>
        <x:v>-271.97653617339887</x:v>
      </x:c>
      <x:c r="I23" s="1"/>
      <x:c r="J23" s="1"/>
      <x:c r="K23" s="6"/>
    </x:row>
    <x:row r="24">
      <x:c r="B24" s="1" t="s">
        <x:v>60</x:v>
      </x:c>
      <x:c r="C24" s="41" t="n">
        <x:f>'Segment - Legacy Commercial'!C29</x:f>
        <x:v>61.5</x:v>
      </x:c>
      <x:c r="D24" s="41" t="n">
        <x:f>'Segment - Legacy Commercial'!D29</x:f>
        <x:v>60.5</x:v>
      </x:c>
      <x:c r="E24" s="41" t="n">
        <x:f>'Segment - Legacy Commercial'!E29</x:f>
        <x:v>55.6</x:v>
      </x:c>
      <x:c r="F24" s="41" t="n">
        <x:f>'Segment - Legacy Commercial'!F29</x:f>
        <x:v>59.599999999999994</x:v>
      </x:c>
      <x:c r="G24" s="41" t="n">
        <x:f>'Segment - Legacy Commercial'!G29</x:f>
        <x:v>237.2</x:v>
      </x:c>
      <x:c r="H24" s="39" t="n">
        <x:f>'Segment - Legacy Commercial'!H29</x:f>
        <x:v>56</x:v>
      </x:c>
      <x:c r="I24" s="1"/>
      <x:c r="J24" s="1"/>
      <x:c r="K24" s="6"/>
    </x:row>
    <x:row r="25">
      <x:c r="B25" s="35" t="s">
        <x:v>54</x:v>
      </x:c>
      <x:c r="C25" s="8"/>
      <x:c r="D25" s="8"/>
      <x:c r="E25" s="8"/>
      <x:c r="F25" s="8"/>
      <x:c r="G25" s="8"/>
      <x:c r="H25" s="42" t="n">
        <x:f>IFERROR(H24/C24-1,0)</x:f>
        <x:v>-0.08943089430894313</x:v>
      </x:c>
      <x:c r="I25" s="1"/>
      <x:c r="J25" s="1"/>
      <x:c r="K25" s="6"/>
    </x:row>
    <x:row r="26">
      <x:c r="B26" s="35" t="s">
        <x:v>55</x:v>
      </x:c>
      <x:c r="C26" s="8"/>
      <x:c r="D26" s="8" t="n">
        <x:f>IFERROR(D24/C24-1,0)</x:f>
        <x:v>-0.016260162601625994</x:v>
      </x:c>
      <x:c r="E26" s="8" t="n">
        <x:f>IFERROR(E24/D24-1,0)</x:f>
        <x:v>-0.08099173553719008</x:v>
      </x:c>
      <x:c r="F26" s="8" t="n">
        <x:f>IFERROR(F24/E24-1,0)</x:f>
        <x:v>0.07194244604316524</x:v>
      </x:c>
      <x:c r="G26" s="8"/>
      <x:c r="H26" s="42" t="n">
        <x:f>IFERROR(H24/F24-1,0)</x:f>
        <x:v>-0.0604026845637583</x:v>
      </x:c>
      <x:c r="I26" s="1"/>
      <x:c r="J26" s="1"/>
      <x:c r="K26" s="6"/>
    </x:row>
    <x:row r="27">
      <x:c r="B27" s="35" t="s">
        <x:v>56</x:v>
      </x:c>
      <x:c r="C27" s="8" t="n">
        <x:f>IFERROR(C24/C29,0)</x:f>
        <x:v>0.0831530557057869</x:v>
      </x:c>
      <x:c r="D27" s="8" t="n">
        <x:f>IFERROR(D24/D29,0)</x:f>
        <x:v>0.0760719225449516</x:v>
      </x:c>
      <x:c r="E27" s="8" t="n">
        <x:f>IFERROR(E24/E29,0)</x:f>
        <x:v>0.06579103064726068</x:v>
      </x:c>
      <x:c r="F27" s="8" t="n">
        <x:f>IFERROR(F24/F29,0)</x:f>
        <x:v>0.06422413793103446</x:v>
      </x:c>
      <x:c r="G27" s="8" t="n">
        <x:f>IFERROR(G24/G29,0)</x:f>
        <x:v>0.0717049576783555</x:v>
      </x:c>
      <x:c r="H27" s="42" t="n">
        <x:f>IFERROR(H24/H29,0)</x:f>
        <x:v>0.06334841628959276</x:v>
      </x:c>
      <x:c r="I27" s="1"/>
      <x:c r="J27" s="1"/>
      <x:c r="K27" s="6"/>
    </x:row>
    <x:row r="28">
      <x:c r="B28" s="1" t="s">
        <x:v>57</x:v>
      </x:c>
      <x:c r="C28" s="4"/>
      <x:c r="D28" s="4"/>
      <x:c r="E28" s="4"/>
      <x:c r="F28" s="4"/>
      <x:c r="G28" s="4"/>
      <x:c r="H28" s="3" t="n">
        <x:f>(H27-C27)*10000</x:f>
        <x:v>-198.04639416194146</x:v>
      </x:c>
      <x:c r="I28" s="1"/>
      <x:c r="J28" s="1"/>
      <x:c r="K28" s="6"/>
    </x:row>
    <x:row r="29">
      <x:c r="B29" s="17" t="s">
        <x:v>61</x:v>
      </x:c>
      <x:c r="C29" s="20" t="n">
        <x:f>SUM(C9,C14,C19,C24)</x:f>
        <x:v>739.6</x:v>
      </x:c>
      <x:c r="D29" s="20" t="n">
        <x:f>SUM(D9,D14,D19,D24)</x:f>
        <x:v>795.3</x:v>
      </x:c>
      <x:c r="E29" s="20" t="n">
        <x:f>SUM(E9,E14,E19,E24)</x:f>
        <x:v>845.1</x:v>
      </x:c>
      <x:c r="F29" s="20" t="n">
        <x:f>SUM(F9,F14,F19,F24)</x:f>
        <x:v>928.0000000000002</x:v>
      </x:c>
      <x:c r="G29" s="20" t="n">
        <x:f>SUM(G9,G14,G19,G24)</x:f>
        <x:v>3308</x:v>
      </x:c>
      <x:c r="H29" s="21" t="n">
        <x:f>SUM(H9,H14,H19,H24)</x:f>
        <x:v>884</x:v>
      </x:c>
      <x:c r="I29" s="1"/>
      <x:c r="J29" s="1"/>
      <x:c r="K29" s="6"/>
    </x:row>
    <x:row r="30">
      <x:c r="B30" s="35" t="s">
        <x:v>54</x:v>
      </x:c>
      <x:c r="C30" s="8"/>
      <x:c r="D30" s="8"/>
      <x:c r="E30" s="8"/>
      <x:c r="F30" s="8"/>
      <x:c r="G30" s="8"/>
      <x:c r="H30" s="42" t="n">
        <x:f>H29/C29-1</x:f>
        <x:v>0.1952406706327745</x:v>
      </x:c>
      <x:c r="I30" s="1"/>
      <x:c r="J30" s="1"/>
      <x:c r="K30" s="6"/>
    </x:row>
    <x:row r="31">
      <x:c r="B31" s="35" t="s">
        <x:v>55</x:v>
      </x:c>
      <x:c r="C31" s="8"/>
      <x:c r="D31" s="8" t="n">
        <x:f>D29/C29-1</x:f>
        <x:v>0.07531097890751748</x:v>
      </x:c>
      <x:c r="E31" s="8" t="n">
        <x:f>E29/D29-1</x:f>
        <x:v>0.06261788004526592</x:v>
      </x:c>
      <x:c r="F31" s="8" t="n">
        <x:f>F29/E29-1</x:f>
        <x:v>0.09809490001183319</x:v>
      </x:c>
      <x:c r="G31" s="8"/>
      <x:c r="H31" s="42" t="n">
        <x:f>H29/F29-1</x:f>
        <x:v>-0.04741379310344851</x:v>
      </x:c>
      <x:c r="I31" s="1"/>
      <x:c r="J31" s="1"/>
      <x:c r="K31" s="6"/>
    </x:row>
    <x:row r="32">
      <x:c r="B32" s="35" t="s">
        <x:v>62</x:v>
      </x:c>
      <x:c r="C32" s="8"/>
      <x:c r="D32" s="8"/>
      <x:c r="E32" s="8"/>
      <x:c r="F32" s="8"/>
      <x:c r="G32" s="8"/>
      <x:c r="H32" s="42" t="n">
        <x:f>(1+H35)/((1+H33)*(1+H34))-1</x:f>
        <x:v>0.08519518782224411</x:v>
      </x:c>
      <x:c r="I32" s="1"/>
      <x:c r="J32" s="1"/>
      <x:c r="K32" s="6"/>
    </x:row>
    <x:row r="33">
      <x:c r="B33" s="35" t="s">
        <x:v>63</x:v>
      </x:c>
      <x:c r="C33" s="8"/>
      <x:c r="D33" s="8"/>
      <x:c r="E33" s="8"/>
      <x:c r="F33" s="8"/>
      <x:c r="G33" s="8"/>
      <x:c r="H33" s="49" t="n">
        <x:f>SUM('Segment - Parts Supply'!H51,'Segment - RE&amp;S'!H51,'Segment - Government Solutions'!H51,'Segment - Legacy Commercial'!H51)/C29</x:f>
        <x:v>0.10140616549486209</x:v>
      </x:c>
      <x:c r="I33" s="1"/>
      <x:c r="J33" s="1" t="s">
        <x:v>64</x:v>
      </x:c>
      <x:c r="K33" s="6"/>
    </x:row>
    <x:row r="34">
      <x:c r="B34" s="35" t="s">
        <x:v>65</x:v>
      </x:c>
      <x:c r="C34" s="8"/>
      <x:c r="D34" s="8"/>
      <x:c r="E34" s="8"/>
      <x:c r="F34" s="8"/>
      <x:c r="G34" s="8"/>
      <x:c r="H34" s="44">
        <x:v>0</x:v>
      </x:c>
      <x:c r="I34" s="1"/>
      <x:c r="J34" s="1"/>
      <x:c r="K34" s="6"/>
    </x:row>
    <x:row r="35">
      <x:c r="B35" s="35" t="s">
        <x:v>66</x:v>
      </x:c>
      <x:c r="C35" s="8"/>
      <x:c r="D35" s="8"/>
      <x:c r="E35" s="8"/>
      <x:c r="F35" s="8"/>
      <x:c r="G35" s="8"/>
      <x:c r="H35" s="42" t="n">
        <x:f>H30</x:f>
        <x:v>0.1952406706327745</x:v>
      </x:c>
      <x:c r="I35" s="1"/>
      <x:c r="J35" s="1"/>
      <x:c r="K35" s="6"/>
    </x:row>
    <x:row r="36">
      <x:c r="B36" s="1"/>
      <x:c r="C36" s="4"/>
      <x:c r="D36" s="4"/>
      <x:c r="E36" s="4"/>
      <x:c r="F36" s="4"/>
      <x:c r="G36" s="4"/>
      <x:c r="H36" s="3"/>
      <x:c r="I36" s="1"/>
      <x:c r="J36" s="1"/>
      <x:c r="K36" s="6"/>
    </x:row>
    <x:row r="37">
      <x:c r="B37" s="17" t="s">
        <x:v>67</x:v>
      </x:c>
      <x:c r="C37" s="20" t="n">
        <x:f>C29-C24</x:f>
        <x:v>678.1</x:v>
      </x:c>
      <x:c r="D37" s="20" t="n">
        <x:f>D29-D24</x:f>
        <x:v>734.8</x:v>
      </x:c>
      <x:c r="E37" s="20" t="n">
        <x:f>E29-E24</x:f>
        <x:v>789.5</x:v>
      </x:c>
      <x:c r="F37" s="20" t="n">
        <x:f>F29-F24</x:f>
        <x:v>868.4000000000002</x:v>
      </x:c>
      <x:c r="G37" s="20" t="n">
        <x:f>G29-G24</x:f>
        <x:v>3070.8</x:v>
      </x:c>
      <x:c r="H37" s="21" t="n">
        <x:f>H29-H24</x:f>
        <x:v>828</x:v>
      </x:c>
      <x:c r="I37" s="1"/>
      <x:c r="J37" s="1" t="s">
        <x:v>68</x:v>
      </x:c>
      <x:c r="K37" s="6"/>
    </x:row>
    <x:row r="38">
      <x:c r="B38" s="35" t="s">
        <x:v>69</x:v>
      </x:c>
      <x:c r="C38" s="8"/>
      <x:c r="D38" s="8"/>
      <x:c r="E38" s="8"/>
      <x:c r="F38" s="8"/>
      <x:c r="G38" s="8"/>
      <x:c r="H38" s="42" t="n">
        <x:f>H37/C37-1</x:f>
        <x:v>0.22105884087892647</x:v>
      </x:c>
      <x:c r="I38" s="1"/>
      <x:c r="J38" s="1"/>
      <x:c r="K38" s="6"/>
    </x:row>
    <x:row r="39">
      <x:c r="B39" s="1"/>
      <x:c r="C39" s="4"/>
      <x:c r="D39" s="4"/>
      <x:c r="E39" s="4"/>
      <x:c r="F39" s="4"/>
      <x:c r="G39" s="4"/>
      <x:c r="H39" s="3"/>
      <x:c r="I39" s="1"/>
      <x:c r="J39" s="1"/>
      <x:c r="K39" s="6"/>
    </x:row>
    <x:row r="40">
      <x:c r="B40" s="1" t="s">
        <x:v>70</x:v>
      </x:c>
      <x:c r="C40" s="41" t="n">
        <x:f>C29-Inputs!H12</x:f>
        <x:v>0</x:v>
      </x:c>
      <x:c r="D40" s="41" t="n">
        <x:f>D29-Inputs!H13</x:f>
        <x:v>0</x:v>
      </x:c>
      <x:c r="E40" s="41" t="n">
        <x:f>E29-Inputs!H14</x:f>
        <x:v>0</x:v>
      </x:c>
      <x:c r="F40" s="41" t="n">
        <x:f>F29-Inputs!H15</x:f>
        <x:v>2.2737367544323206e-13</x:v>
      </x:c>
      <x:c r="G40" s="4"/>
      <x:c r="H40" s="3"/>
      <x:c r="I40" s="1"/>
      <x:c r="J40" s="1" t="s">
        <x:v>71</x:v>
      </x:c>
      <x:c r="K40" s="6"/>
    </x:row>
    <x:row r="41">
      <x:c r="B41" s="1"/>
      <x:c r="C41" s="4"/>
      <x:c r="D41" s="4"/>
      <x:c r="E41" s="4"/>
      <x:c r="F41" s="4"/>
      <x:c r="G41" s="4"/>
      <x:c r="H41" s="3"/>
      <x:c r="I41" s="1"/>
      <x:c r="J41" s="1"/>
      <x:c r="K41" s="6"/>
    </x:row>
    <x:row r="42">
      <x:c r="B42" s="17" t="s">
        <x:v>72</x:v>
      </x:c>
      <x:c r="C42" s="50" t="n">
        <x:f>SUM('Segment - Parts Supply'!C9,'Segment - RE&amp;S'!C9,'Segment - Government Solutions'!C9,'Segment - Legacy Commercial'!C9)</x:f>
        <x:v>523.3</x:v>
      </x:c>
      <x:c r="D42" s="50" t="n">
        <x:f>SUM('Segment - Parts Supply'!D9,'Segment - RE&amp;S'!D9,'Segment - Government Solutions'!D9,'Segment - Legacy Commercial'!D9)</x:f>
        <x:v>566.4000000000001</x:v>
      </x:c>
      <x:c r="E42" s="50" t="n">
        <x:f>SUM('Segment - Parts Supply'!E9,'Segment - RE&amp;S'!E9,'Segment - Government Solutions'!E9,'Segment - Legacy Commercial'!E9)</x:f>
        <x:v>615.8</x:v>
      </x:c>
      <x:c r="F42" s="50" t="n">
        <x:f>SUM('Segment - Parts Supply'!F9,'Segment - RE&amp;S'!F9,'Segment - Government Solutions'!F9,'Segment - Legacy Commercial'!F9)</x:f>
        <x:v>678.6000000000003</x:v>
      </x:c>
      <x:c r="G42" s="50" t="n">
        <x:f>SUM('Segment - Parts Supply'!G9,'Segment - RE&amp;S'!G9,'Segment - Government Solutions'!G9,'Segment - Legacy Commercial'!G9)</x:f>
        <x:v>2384.1000000000004</x:v>
      </x:c>
      <x:c r="H42" s="37" t="n">
        <x:f>SUM('Segment - Parts Supply'!H9,'Segment - RE&amp;S'!H9,'Segment - Government Solutions'!H9,'Segment - Legacy Commercial'!H9)</x:f>
        <x:v>638</x:v>
      </x:c>
      <x:c r="I42" s="1"/>
      <x:c r="J42" s="1" t="s">
        <x:v>73</x:v>
      </x:c>
      <x:c r="K42" s="41" t="n">
        <x:f>SUM('Segment - Parts Supply'!K9,'Segment - RE&amp;S'!K9,'Segment - Government Solutions'!K9,'Segment - Legacy Commercial'!K9)</x:f>
        <x:v>1976.1</x:v>
      </x:c>
      <x:c r="L42" s="41" t="n">
        <x:f>SUM('Segment - Parts Supply'!L9,'Segment - RE&amp;S'!L9,'Segment - Government Solutions'!L9,'Segment - Legacy Commercial'!L9)</x:f>
        <x:v>472.90000000000003</x:v>
      </x:c>
      <x:c r="M42" s="41" t="n">
        <x:f>SUM('Segment - Parts Supply'!M9,'Segment - RE&amp;S'!M9,'Segment - Government Solutions'!M9,'Segment - Legacy Commercial'!M9)</x:f>
        <x:v>500.2</x:v>
      </x:c>
      <x:c r="N42" s="41" t="n">
        <x:f>SUM('Segment - Parts Supply'!N9,'Segment - RE&amp;S'!N9,'Segment - Government Solutions'!N9,'Segment - Legacy Commercial'!N9)</x:f>
        <x:v>485.50000000000006</x:v>
      </x:c>
      <x:c r="O42" s="41" t="n">
        <x:f>SUM('Segment - Parts Supply'!O9,'Segment - RE&amp;S'!O9,'Segment - Government Solutions'!O9,'Segment - Legacy Commercial'!O9)</x:f>
        <x:v>517.4999999999999</x:v>
      </x:c>
    </x:row>
    <x:row r="43">
      <x:c r="B43" s="17" t="s">
        <x:v>74</x:v>
      </x:c>
      <x:c r="C43" s="50" t="n">
        <x:f>SUM('Segment - Parts Supply'!C19,'Segment - RE&amp;S'!C19,'Segment - Government Solutions'!C19,'Segment - Legacy Commercial'!C19)</x:f>
        <x:v>216.29999999999998</x:v>
      </x:c>
      <x:c r="D43" s="50" t="n">
        <x:f>SUM('Segment - Parts Supply'!D19,'Segment - RE&amp;S'!D19,'Segment - Government Solutions'!D19,'Segment - Legacy Commercial'!D19)</x:f>
        <x:v>228.89999999999998</x:v>
      </x:c>
      <x:c r="E43" s="50" t="n">
        <x:f>SUM('Segment - Parts Supply'!E19,'Segment - RE&amp;S'!E19,'Segment - Government Solutions'!E19,'Segment - Legacy Commercial'!E19)</x:f>
        <x:v>229.3</x:v>
      </x:c>
      <x:c r="F43" s="50" t="n">
        <x:f>SUM('Segment - Parts Supply'!F19,'Segment - RE&amp;S'!F19,'Segment - Government Solutions'!F19,'Segment - Legacy Commercial'!F19)</x:f>
        <x:v>249.4</x:v>
      </x:c>
      <x:c r="G43" s="50" t="n">
        <x:f>SUM('Segment - Parts Supply'!G19,'Segment - RE&amp;S'!G19,'Segment - Government Solutions'!G19,'Segment - Legacy Commercial'!G19)</x:f>
        <x:v>923.9</x:v>
      </x:c>
      <x:c r="H43" s="37" t="n">
        <x:f>SUM('Segment - Parts Supply'!H19,'Segment - RE&amp;S'!H19,'Segment - Government Solutions'!H19,'Segment - Legacy Commercial'!H19)</x:f>
        <x:v>246</x:v>
      </x:c>
      <x:c r="I43" s="1"/>
      <x:c r="J43" s="1" t="s">
        <x:v>75</x:v>
      </x:c>
      <x:c r="K43" s="41" t="n">
        <x:f>SUM('Segment - Parts Supply'!K19,'Segment - RE&amp;S'!K19,'Segment - Government Solutions'!K19,'Segment - Legacy Commercial'!K19)</x:f>
        <x:v>804.4</x:v>
      </x:c>
      <x:c r="L43" s="41" t="n">
        <x:f>SUM('Segment - Parts Supply'!L19,'Segment - RE&amp;S'!L19,'Segment - Government Solutions'!L19,'Segment - Legacy Commercial'!L19)</x:f>
        <x:v>188.79999999999998</x:v>
      </x:c>
      <x:c r="M43" s="41" t="n">
        <x:f>SUM('Segment - Parts Supply'!M19,'Segment - RE&amp;S'!M19,'Segment - Government Solutions'!M19,'Segment - Legacy Commercial'!M19)</x:f>
        <x:v>185.9</x:v>
      </x:c>
      <x:c r="N43" s="41" t="n">
        <x:f>SUM('Segment - Parts Supply'!N19,'Segment - RE&amp;S'!N19,'Segment - Government Solutions'!N19,'Segment - Legacy Commercial'!N19)</x:f>
        <x:v>192.7</x:v>
      </x:c>
      <x:c r="O43" s="41" t="n">
        <x:f>SUM('Segment - Parts Supply'!O19,'Segment - RE&amp;S'!O19,'Segment - Government Solutions'!O19,'Segment - Legacy Commercial'!O19)</x:f>
        <x:v>237</x:v>
      </x:c>
    </x:row>
    <x:row r="44">
      <x:c r="B44" s="35" t="s">
        <x:v>76</x:v>
      </x:c>
      <x:c r="C44" s="8" t="n">
        <x:f>C42/C29</x:f>
        <x:v>0.7075446187128177</x:v>
      </x:c>
      <x:c r="D44" s="8" t="n">
        <x:f>D42/D29</x:f>
        <x:v>0.7121840814786874</x:v>
      </x:c>
      <x:c r="E44" s="8" t="n">
        <x:f>E42/E29</x:f>
        <x:v>0.7286711631759555</x:v>
      </x:c>
      <x:c r="F44" s="8" t="n">
        <x:f>F42/F29</x:f>
        <x:v>0.7312500000000001</x:v>
      </x:c>
      <x:c r="G44" s="8" t="n">
        <x:f>G42/G29</x:f>
        <x:v>0.7207073760580412</x:v>
      </x:c>
      <x:c r="H44" s="42" t="n">
        <x:f>H42/H29</x:f>
        <x:v>0.7217194570135747</x:v>
      </x:c>
      <x:c r="I44" s="1"/>
      <x:c r="J44" s="1"/>
      <x:c r="K44" s="6"/>
    </x:row>
    <x:row r="45">
      <x:c r="B45" s="1" t="s">
        <x:v>77</x:v>
      </x:c>
      <x:c r="C45" s="4"/>
      <x:c r="D45" s="4"/>
      <x:c r="E45" s="4"/>
      <x:c r="F45" s="4"/>
      <x:c r="G45" s="4"/>
      <x:c r="H45" s="3" t="n">
        <x:f>(H44-C44)*10000</x:f>
        <x:v>141.74838300756943</x:v>
      </x:c>
      <x:c r="I45" s="1"/>
      <x:c r="J45" s="1"/>
      <x:c r="K45" s="6"/>
    </x:row>
    <x:row r="46">
      <x:c r="B46" s="1"/>
      <x:c r="C46" s="4"/>
      <x:c r="D46" s="4"/>
      <x:c r="E46" s="4"/>
      <x:c r="F46" s="4"/>
      <x:c r="G46" s="4"/>
      <x:c r="H46" s="3"/>
      <x:c r="I46" s="1"/>
      <x:c r="J46" s="1"/>
      <x:c r="K46" s="6"/>
    </x:row>
    <x:row r="47">
      <x:c r="B47" s="35" t="s">
        <x:v>78</x:v>
      </x:c>
      <x:c r="C47" s="8"/>
      <x:c r="D47" s="8"/>
      <x:c r="E47" s="8"/>
      <x:c r="F47" s="8"/>
      <x:c r="G47" s="27" t="n">
        <x:f>Geo!G15</x:f>
        <x:v>0.714087061668682</x:v>
      </x:c>
      <x:c r="H47" s="49" t="n">
        <x:f>Geo!H15</x:f>
        <x:v>0.712785597048593</x:v>
      </x:c>
      <x:c r="I47" s="1"/>
      <x:c r="J47" s="1"/>
      <x:c r="K47" s="6"/>
    </x:row>
    <x:row r="48">
      <x:c r="B48" s="1" t="s">
        <x:v>79</x:v>
      </x:c>
      <x:c r="C48" s="4"/>
      <x:c r="D48" s="4"/>
      <x:c r="E48" s="4"/>
      <x:c r="F48" s="4"/>
      <x:c r="G48" s="4"/>
      <x:c r="H48" s="3"/>
      <x:c r="I48" s="1"/>
      <x:c r="J48" s="1"/>
      <x:c r="K48" s="6"/>
    </x:row>
    <x:row r="49">
      <x:c r="B49" s="6"/>
      <x:c r="C49" s="6"/>
      <x:c r="D49" s="6"/>
      <x:c r="E49" s="6"/>
      <x:c r="F49" s="6"/>
      <x:c r="G49" s="6"/>
      <x:c r="H49" s="13"/>
      <x:c r="I49" s="6"/>
      <x:c r="J49" s="6"/>
      <x:c r="K49" s="6"/>
    </x:row>
    <x:row r="50">
      <x:c r="B50" s="6"/>
      <x:c r="C50" s="6"/>
      <x:c r="D50" s="6"/>
      <x:c r="E50" s="6"/>
      <x:c r="F50" s="6"/>
      <x:c r="G50" s="6"/>
      <x:c r="H50" s="13"/>
      <x:c r="I50" s="6"/>
      <x:c r="J50" s="6"/>
      <x:c r="K50" s="6"/>
    </x:row>
    <x:row r="51">
      <x:c r="B51" s="1" t="s">
        <x:v>80</x:v>
      </x:c>
      <x:c r="C51" s="1"/>
      <x:c r="D51" s="1"/>
      <x:c r="E51" s="1"/>
      <x:c r="F51" s="1"/>
      <x:c r="G51" s="1"/>
      <x:c r="H51" s="36"/>
      <x:c r="I51" s="6"/>
      <x:c r="J51" s="6"/>
      <x:c r="K51" s="6"/>
    </x:row>
    <x:row r="52">
      <x:c r="B52" s="35" t="s">
        <x:v>81</x:v>
      </x:c>
      <x:c r="C52" s="1"/>
      <x:c r="D52" s="1"/>
      <x:c r="E52" s="1"/>
      <x:c r="F52" s="1"/>
      <x:c r="G52" s="27" t="n">
        <x:f>'Segment - Parts Supply'!G34</x:f>
        <x:v>0.2245452300600872</x:v>
      </x:c>
      <x:c r="H52" s="49" t="n">
        <x:f>'Segment - Parts Supply'!H34</x:f>
        <x:v>0.1621315192743764</x:v>
      </x:c>
      <x:c r="I52" s="6"/>
      <x:c r="J52" s="6"/>
      <x:c r="K52" s="6"/>
    </x:row>
    <x:row r="53">
      <x:c r="B53" s="35" t="s">
        <x:v>82</x:v>
      </x:c>
      <x:c r="C53" s="1"/>
      <x:c r="D53" s="1"/>
      <x:c r="E53" s="1"/>
      <x:c r="F53" s="1"/>
      <x:c r="G53" s="27" t="n">
        <x:f>'Segment - Parts Supply'!G35</x:f>
        <x:v>0.10485631138595851</x:v>
      </x:c>
      <x:c r="H53" s="49" t="n">
        <x:f>'Segment - Parts Supply'!H35</x:f>
        <x:v>0.11013215859030837</x:v>
      </x:c>
      <x:c r="I53" s="6"/>
      <x:c r="J53" s="6"/>
      <x:c r="K53" s="6"/>
    </x:row>
    <x:row r="54">
      <x:c r="B54" s="35" t="s">
        <x:v>83</x:v>
      </x:c>
      <x:c r="C54" s="1"/>
      <x:c r="D54" s="1"/>
      <x:c r="E54" s="1"/>
      <x:c r="F54" s="1"/>
      <x:c r="G54" s="27" t="n">
        <x:f>'Segment - Parts Supply'!G36</x:f>
        <x:v>0</x:v>
      </x:c>
      <x:c r="H54" s="49" t="n">
        <x:f>'Segment - Parts Supply'!H36</x:f>
        <x:v>0</x:v>
      </x:c>
      <x:c r="I54" s="6"/>
      <x:c r="J54" s="6"/>
      <x:c r="K54" s="6"/>
    </x:row>
    <x:row r="55">
      <x:c r="B55" s="35" t="s">
        <x:v>84</x:v>
      </x:c>
      <x:c r="C55" s="1"/>
      <x:c r="D55" s="1"/>
      <x:c r="E55" s="1"/>
      <x:c r="F55" s="1"/>
      <x:c r="G55" s="27" t="n">
        <x:f>'Segment - Parts Supply'!G37</x:f>
        <x:v>0.35294652600945775</x:v>
      </x:c>
      <x:c r="H55" s="49" t="n">
        <x:f>'Segment - Parts Supply'!H37</x:f>
        <x:v>0.29011957205789796</x:v>
      </x:c>
      <x:c r="I55" s="6"/>
      <x:c r="J55" s="6"/>
      <x:c r="K55" s="6"/>
    </x:row>
    <x:row r="56">
      <x:c r="B56" s="1"/>
      <x:c r="C56" s="1"/>
      <x:c r="D56" s="1"/>
      <x:c r="E56" s="1"/>
      <x:c r="F56" s="1"/>
      <x:c r="G56" s="1"/>
      <x:c r="H56" s="36"/>
      <x:c r="I56" s="6"/>
      <x:c r="J56" s="6"/>
      <x:c r="K56" s="6"/>
    </x:row>
    <x:row r="57">
      <x:c r="B57" s="1" t="s">
        <x:v>85</x:v>
      </x:c>
      <x:c r="C57" s="1"/>
      <x:c r="D57" s="1"/>
      <x:c r="E57" s="1"/>
      <x:c r="F57" s="1"/>
      <x:c r="G57" s="1"/>
      <x:c r="H57" s="36"/>
      <x:c r="I57" s="6"/>
      <x:c r="J57" s="6"/>
      <x:c r="K57" s="6"/>
    </x:row>
    <x:row r="58">
      <x:c r="B58" s="35" t="s">
        <x:v>81</x:v>
      </x:c>
      <x:c r="C58" s="1"/>
      <x:c r="D58" s="1"/>
      <x:c r="E58" s="1"/>
      <x:c r="F58" s="1"/>
      <x:c r="G58" s="27" t="n">
        <x:f>'Segment - RE&amp;S'!G34</x:f>
        <x:v>0.017606628377742295</x:v>
      </x:c>
      <x:c r="H58" s="49" t="n">
        <x:f>'Segment - RE&amp;S'!H34</x:f>
        <x:v>0.05855855855855863</x:v>
      </x:c>
      <x:c r="I58" s="6"/>
      <x:c r="J58" s="6"/>
      <x:c r="K58" s="6"/>
    </x:row>
    <x:row r="59">
      <x:c r="B59" s="35" t="s">
        <x:v>82</x:v>
      </x:c>
      <x:c r="C59" s="1"/>
      <x:c r="D59" s="1"/>
      <x:c r="E59" s="1"/>
      <x:c r="F59" s="1"/>
      <x:c r="G59" s="27" t="n">
        <x:f>'Segment - RE&amp;S'!G35</x:f>
        <x:v>0.14081632653061224</x:v>
      </x:c>
      <x:c r="H59" s="49" t="n">
        <x:f>'Segment - RE&amp;S'!H35</x:f>
        <x:v>0.17667844522968199</x:v>
      </x:c>
      <x:c r="I59" s="6"/>
      <x:c r="J59" s="6"/>
      <x:c r="K59" s="6"/>
    </x:row>
    <x:row r="60">
      <x:c r="B60" s="35" t="s">
        <x:v>83</x:v>
      </x:c>
      <x:c r="C60" s="1"/>
      <x:c r="D60" s="1"/>
      <x:c r="E60" s="1"/>
      <x:c r="F60" s="1"/>
      <x:c r="G60" s="27" t="n">
        <x:f>'Segment - RE&amp;S'!G36</x:f>
        <x:v>0</x:v>
      </x:c>
      <x:c r="H60" s="49" t="n">
        <x:f>'Segment - RE&amp;S'!H36</x:f>
        <x:v>0</x:v>
      </x:c>
      <x:c r="I60" s="6"/>
      <x:c r="J60" s="6"/>
      <x:c r="K60" s="6"/>
    </x:row>
    <x:row r="61">
      <x:c r="B61" s="35" t="s">
        <x:v>84</x:v>
      </x:c>
      <x:c r="C61" s="1"/>
      <x:c r="D61" s="1"/>
      <x:c r="E61" s="1"/>
      <x:c r="F61" s="1"/>
      <x:c r="G61" s="27" t="n">
        <x:f>'Segment - RE&amp;S'!G37</x:f>
        <x:v>0.16090225563909777</x:v>
      </x:c>
      <x:c r="H61" s="49" t="n">
        <x:f>'Segment - RE&amp;S'!H37</x:f>
        <x:v>0.24558303886925792</x:v>
      </x:c>
      <x:c r="I61" s="6"/>
      <x:c r="J61" s="6"/>
      <x:c r="K61" s="6"/>
    </x:row>
    <x:row r="62">
      <x:c r="B62" s="1"/>
      <x:c r="C62" s="1"/>
      <x:c r="D62" s="1"/>
      <x:c r="E62" s="1"/>
      <x:c r="F62" s="1"/>
      <x:c r="G62" s="1"/>
      <x:c r="H62" s="36"/>
      <x:c r="I62" s="6"/>
      <x:c r="J62" s="6"/>
      <x:c r="K62" s="6"/>
    </x:row>
    <x:row r="63">
      <x:c r="B63" s="1" t="s">
        <x:v>86</x:v>
      </x:c>
      <x:c r="C63" s="1"/>
      <x:c r="D63" s="1"/>
      <x:c r="E63" s="1"/>
      <x:c r="F63" s="1"/>
      <x:c r="G63" s="1"/>
      <x:c r="H63" s="36"/>
      <x:c r="I63" s="6"/>
      <x:c r="J63" s="6"/>
      <x:c r="K63" s="6"/>
    </x:row>
    <x:row r="64">
      <x:c r="B64" s="35" t="s">
        <x:v>81</x:v>
      </x:c>
      <x:c r="C64" s="1"/>
      <x:c r="D64" s="1"/>
      <x:c r="E64" s="1"/>
      <x:c r="F64" s="1"/>
      <x:c r="G64" s="27" t="n">
        <x:f>'Segment - Government Solutions'!G34</x:f>
        <x:v>0.013928138877674634</x:v>
      </x:c>
      <x:c r="H64" s="49" t="n">
        <x:f>'Segment - Government Solutions'!H34</x:f>
        <x:v>0.01568334578043329</x:v>
      </x:c>
      <x:c r="I64" s="6"/>
      <x:c r="J64" s="6"/>
      <x:c r="K64" s="6"/>
    </x:row>
    <x:row r="65">
      <x:c r="B65" s="35" t="s">
        <x:v>82</x:v>
      </x:c>
      <x:c r="C65" s="1"/>
      <x:c r="D65" s="1"/>
      <x:c r="E65" s="1"/>
      <x:c r="F65" s="1"/>
      <x:c r="G65" s="27" t="n">
        <x:f>'Segment - Government Solutions'!G35</x:f>
        <x:v>0</x:v>
      </x:c>
      <x:c r="H65" s="49" t="n">
        <x:f>'Segment - Government Solutions'!H35</x:f>
        <x:v>0</x:v>
      </x:c>
      <x:c r="I65" s="6"/>
      <x:c r="J65" s="6"/>
      <x:c r="K65" s="6"/>
    </x:row>
    <x:row r="66">
      <x:c r="B66" s="35" t="s">
        <x:v>83</x:v>
      </x:c>
      <x:c r="C66" s="1"/>
      <x:c r="D66" s="1"/>
      <x:c r="E66" s="1"/>
      <x:c r="F66" s="1"/>
      <x:c r="G66" s="27" t="n">
        <x:f>'Segment - Government Solutions'!G36</x:f>
        <x:v>0</x:v>
      </x:c>
      <x:c r="H66" s="49" t="n">
        <x:f>'Segment - Government Solutions'!H36</x:f>
        <x:v>0</x:v>
      </x:c>
      <x:c r="I66" s="6"/>
      <x:c r="J66" s="6"/>
      <x:c r="K66" s="6"/>
    </x:row>
    <x:row r="67">
      <x:c r="B67" s="35" t="s">
        <x:v>84</x:v>
      </x:c>
      <x:c r="C67" s="1"/>
      <x:c r="D67" s="1"/>
      <x:c r="E67" s="1"/>
      <x:c r="F67" s="1"/>
      <x:c r="G67" s="27" t="n">
        <x:f>'Segment - Government Solutions'!G37</x:f>
        <x:v>0.013928138877674634</x:v>
      </x:c>
      <x:c r="H67" s="49" t="n">
        <x:f>'Segment - Government Solutions'!H37</x:f>
        <x:v>0.01568334578043329</x:v>
      </x:c>
      <x:c r="I67" s="6"/>
      <x:c r="J67" s="6"/>
      <x:c r="K67" s="6"/>
    </x:row>
    <x:row r="68">
      <x:c r="B68" s="1"/>
      <x:c r="C68" s="1"/>
      <x:c r="D68" s="1"/>
      <x:c r="E68" s="1"/>
      <x:c r="F68" s="1"/>
      <x:c r="G68" s="1"/>
      <x:c r="H68" s="36"/>
      <x:c r="I68" s="6"/>
      <x:c r="J68" s="6"/>
      <x:c r="K68" s="6"/>
    </x:row>
    <x:row r="69">
      <x:c r="B69" s="1" t="s">
        <x:v>87</x:v>
      </x:c>
      <x:c r="C69" s="1"/>
      <x:c r="D69" s="1"/>
      <x:c r="E69" s="1"/>
      <x:c r="F69" s="1"/>
      <x:c r="G69" s="1"/>
      <x:c r="H69" s="36"/>
      <x:c r="I69" s="6"/>
      <x:c r="J69" s="6"/>
      <x:c r="K69" s="6"/>
    </x:row>
    <x:row r="70">
      <x:c r="B70" s="35" t="s">
        <x:v>81</x:v>
      </x:c>
      <x:c r="C70" s="1"/>
      <x:c r="D70" s="1"/>
      <x:c r="E70" s="1"/>
      <x:c r="F70" s="1"/>
      <x:c r="G70" s="27" t="n">
        <x:f>'Segment - Legacy Commercial'!G34</x:f>
        <x:v>-0.0679764243614932</x:v>
      </x:c>
      <x:c r="H70" s="49" t="n">
        <x:f>'Segment - Legacy Commercial'!H34</x:f>
        <x:v>-0.08943089430894313</x:v>
      </x:c>
      <x:c r="I70" s="6"/>
      <x:c r="J70" s="6"/>
      <x:c r="K70" s="6"/>
    </x:row>
    <x:row r="71">
      <x:c r="B71" s="35" t="s">
        <x:v>82</x:v>
      </x:c>
      <x:c r="C71" s="1"/>
      <x:c r="D71" s="1"/>
      <x:c r="E71" s="1"/>
      <x:c r="F71" s="1"/>
      <x:c r="G71" s="27" t="n">
        <x:f>'Segment - Legacy Commercial'!G35</x:f>
        <x:v>0</x:v>
      </x:c>
      <x:c r="H71" s="49" t="n">
        <x:f>'Segment - Legacy Commercial'!H35</x:f>
        <x:v>0</x:v>
      </x:c>
      <x:c r="I71" s="6"/>
      <x:c r="J71" s="6"/>
      <x:c r="K71" s="6"/>
    </x:row>
    <x:row r="72">
      <x:c r="B72" s="35" t="s">
        <x:v>83</x:v>
      </x:c>
      <x:c r="C72" s="1"/>
      <x:c r="D72" s="1"/>
      <x:c r="E72" s="1"/>
      <x:c r="F72" s="1"/>
      <x:c r="G72" s="27" t="n">
        <x:f>'Segment - Legacy Commercial'!G36</x:f>
        <x:v>0</x:v>
      </x:c>
      <x:c r="H72" s="49" t="n">
        <x:f>'Segment - Legacy Commercial'!H36</x:f>
        <x:v>0</x:v>
      </x:c>
      <x:c r="I72" s="6"/>
      <x:c r="J72" s="6"/>
      <x:c r="K72" s="6"/>
    </x:row>
    <x:row r="73">
      <x:c r="B73" s="35" t="s">
        <x:v>84</x:v>
      </x:c>
      <x:c r="C73" s="1"/>
      <x:c r="D73" s="1"/>
      <x:c r="E73" s="1"/>
      <x:c r="F73" s="1"/>
      <x:c r="G73" s="27" t="n">
        <x:f>'Segment - Legacy Commercial'!G37</x:f>
        <x:v>-0.0679764243614932</x:v>
      </x:c>
      <x:c r="H73" s="49" t="n">
        <x:f>'Segment - Legacy Commercial'!H37</x:f>
        <x:v>-0.08943089430894313</x:v>
      </x:c>
      <x:c r="I73" s="6"/>
      <x:c r="J73" s="6"/>
      <x:c r="K73" s="6"/>
    </x:row>
    <x:row r="74">
      <x:c r="B74" s="1" t="s">
        <x:v>88</x:v>
      </x:c>
      <x:c r="C74" s="1"/>
      <x:c r="D74" s="1"/>
      <x:c r="E74" s="1"/>
      <x:c r="F74" s="1"/>
      <x:c r="G74" s="4" t="n">
        <x:f>G29-SUM(G9,G14,G19,G24)</x:f>
        <x:v>0</x:v>
      </x:c>
      <x:c r="H74" s="3" t="n">
        <x:f>H29-SUM(H9,H14,H19,H24)</x:f>
        <x:v>0</x:v>
      </x:c>
      <x:c r="I74" s="6"/>
      <x:c r="J74" s="6"/>
      <x:c r="K74" s="6"/>
    </x:row>
    <x:row r="75">
      <x:c r="B75" s="1" t="s">
        <x:v>89</x:v>
      </x:c>
      <x:c r="C75" s="1"/>
      <x:c r="D75" s="1"/>
      <x:c r="E75" s="1"/>
      <x:c r="F75" s="1"/>
      <x:c r="G75" s="1"/>
      <x:c r="H75" s="62" t="b">
        <x:f>AND(H38&gt;=Guidance!E13,H38&lt;=Guidance!F13)</x:f>
        <x:v>1</x:v>
      </x:c>
      <x:c r="I75" s="6"/>
      <x:c r="J75" s="6"/>
      <x:c r="K75" s="6"/>
    </x:row>
    <x:row r="76">
      <x:c r="H76" s="2"/>
    </x:row>
    <x:row r="77">
      <x:c r="B77" s="1" t="s">
        <x:v>90</x:v>
      </x:c>
      <x:c r="C77" s="1"/>
      <x:c r="D77" s="1"/>
      <x:c r="E77" s="1"/>
      <x:c r="F77" s="1"/>
      <x:c r="G77" s="1"/>
      <x:c r="H77" s="36"/>
      <x:c r="I77" s="1"/>
      <x:c r="J77" s="1"/>
      <x:c r="K77" s="1"/>
      <x:c r="L77" s="1"/>
      <x:c r="M77" s="1"/>
      <x:c r="N77" s="1"/>
      <x:c r="O77" s="1"/>
    </x:row>
    <x:row r="78">
      <x:c r="B78" s="35" t="s">
        <x:v>81</x:v>
      </x:c>
      <x:c r="C78" s="74" t="s">
        <x:v>38</x:v>
      </x:c>
      <x:c r="D78" s="74" t="s">
        <x:v>38</x:v>
      </x:c>
      <x:c r="E78" s="74" t="s">
        <x:v>38</x:v>
      </x:c>
      <x:c r="F78" s="74" t="s">
        <x:v>38</x:v>
      </x:c>
      <x:c r="G78" s="8" t="n">
        <x:f>(1+G81)/((1+G79)*(1+G80))-1</x:f>
        <x:v>0.0889284735543987</x:v>
      </x:c>
      <x:c r="H78" s="42" t="n">
        <x:f>(1+H81)/((1+H79)*(1+H80))-1</x:f>
        <x:v>0.08448070712221667</x:v>
      </x:c>
      <x:c r="I78" s="1"/>
      <x:c r="J78" s="1"/>
      <x:c r="K78" s="1"/>
      <x:c r="L78" s="1"/>
      <x:c r="M78" s="1"/>
      <x:c r="N78" s="1"/>
      <x:c r="O78" s="1"/>
    </x:row>
    <x:row r="79">
      <x:c r="B79" s="35" t="s">
        <x:v>91</x:v>
      </x:c>
      <x:c r="C79" s="74" t="s">
        <x:v>38</x:v>
      </x:c>
      <x:c r="D79" s="74" t="s">
        <x:v>38</x:v>
      </x:c>
      <x:c r="E79" s="74" t="s">
        <x:v>38</x:v>
      </x:c>
      <x:c r="F79" s="74" t="s">
        <x:v>38</x:v>
      </x:c>
      <x:c r="G79" s="48" t="n">
        <x:f>('Segment - Parts Supply'!K54+'Segment - RE&amp;S'!K53)/K42</x:f>
        <x:v>0.10793988158494004</x:v>
      </x:c>
      <x:c r="H79" s="44" t="n">
        <x:f>SUM('Segment - Parts Supply'!H51-'Segment - Parts Supply'!H52,'Segment - RE&amp;S'!H51-'Segment - RE&amp;S'!H52)/C42</x:f>
        <x:v>0.12421173323141603</x:v>
      </x:c>
      <x:c r="I79" s="1"/>
      <x:c r="J79" s="1"/>
      <x:c r="K79" s="1"/>
      <x:c r="L79" s="1"/>
      <x:c r="M79" s="1"/>
      <x:c r="N79" s="1"/>
      <x:c r="O79" s="1"/>
    </x:row>
    <x:row r="80">
      <x:c r="B80" s="35" t="s">
        <x:v>92</x:v>
      </x:c>
      <x:c r="C80" s="74" t="s">
        <x:v>38</x:v>
      </x:c>
      <x:c r="D80" s="74" t="s">
        <x:v>38</x:v>
      </x:c>
      <x:c r="E80" s="74" t="s">
        <x:v>38</x:v>
      </x:c>
      <x:c r="F80" s="74" t="s">
        <x:v>38</x:v>
      </x:c>
      <x:c r="G80" s="48">
        <x:v>0</x:v>
      </x:c>
      <x:c r="H80" s="44">
        <x:v>0</x:v>
      </x:c>
      <x:c r="I80" s="1"/>
      <x:c r="J80" s="1" t="s">
        <x:v>93</x:v>
      </x:c>
      <x:c r="K80" s="1"/>
      <x:c r="L80" s="1"/>
      <x:c r="M80" s="1"/>
      <x:c r="N80" s="1"/>
      <x:c r="O80" s="1"/>
    </x:row>
    <x:row r="81">
      <x:c r="B81" s="35" t="s">
        <x:v>66</x:v>
      </x:c>
      <x:c r="C81" s="8" t="n">
        <x:f>C42/L42-1</x:f>
        <x:v>0.10657644322266857</x:v>
      </x:c>
      <x:c r="D81" s="8" t="n">
        <x:f>D42/M42-1</x:f>
        <x:v>0.13234706117552997</x:v>
      </x:c>
      <x:c r="E81" s="8" t="n">
        <x:f>E42/N42-1</x:f>
        <x:v>0.2683831101956744</x:v>
      </x:c>
      <x:c r="F81" s="8" t="n">
        <x:f>F42/O42-1</x:f>
        <x:v>0.31130434782608774</x:v>
      </x:c>
      <x:c r="G81" s="48" t="n">
        <x:f>G42/K42-1</x:f>
        <x:v>0.20646728404433</x:v>
      </x:c>
      <x:c r="H81" s="44" t="n">
        <x:f>H42/C42-1</x:f>
        <x:v>0.21918593540989884</x:v>
      </x:c>
      <x:c r="I81" s="1"/>
      <x:c r="J81" s="1"/>
      <x:c r="K81" s="1"/>
      <x:c r="L81" s="1"/>
      <x:c r="M81" s="1"/>
      <x:c r="N81" s="1"/>
      <x:c r="O81" s="1"/>
    </x:row>
    <x:row r="82">
      <x:c r="B82" s="1" t="s">
        <x:v>94</x:v>
      </x:c>
      <x:c r="C82" s="1"/>
      <x:c r="D82" s="4" t="n">
        <x:f>D42-C42</x:f>
        <x:v>43.100000000000136</x:v>
      </x:c>
      <x:c r="E82" s="4" t="n">
        <x:f>E42-D42</x:f>
        <x:v>49.399999999999864</x:v>
      </x:c>
      <x:c r="F82" s="4" t="n">
        <x:f>F42-E42</x:f>
        <x:v>62.800000000000296</x:v>
      </x:c>
      <x:c r="G82" s="1"/>
      <x:c r="H82" s="3" t="n">
        <x:f>H42-F42</x:f>
        <x:v>-40.60000000000025</x:v>
      </x:c>
      <x:c r="I82" s="1"/>
      <x:c r="J82" s="1"/>
      <x:c r="K82" s="1"/>
      <x:c r="L82" s="1"/>
      <x:c r="M82" s="1"/>
      <x:c r="N82" s="1"/>
      <x:c r="O82" s="1"/>
    </x:row>
    <x:row r="83">
      <x:c r="B83" s="1"/>
      <x:c r="C83" s="1"/>
      <x:c r="D83" s="1"/>
      <x:c r="E83" s="1"/>
      <x:c r="F83" s="1"/>
      <x:c r="G83" s="1"/>
      <x:c r="H83" s="36"/>
      <x:c r="I83" s="1"/>
      <x:c r="J83" s="1"/>
      <x:c r="K83" s="1"/>
      <x:c r="L83" s="1"/>
      <x:c r="M83" s="1"/>
      <x:c r="N83" s="1"/>
      <x:c r="O83" s="1"/>
    </x:row>
    <x:row r="84">
      <x:c r="B84" s="1"/>
      <x:c r="C84" s="1"/>
      <x:c r="D84" s="1"/>
      <x:c r="E84" s="1"/>
      <x:c r="F84" s="1"/>
      <x:c r="G84" s="1"/>
      <x:c r="H84" s="36"/>
      <x:c r="I84" s="1"/>
      <x:c r="J84" s="1"/>
      <x:c r="K84" s="1"/>
      <x:c r="L84" s="1"/>
      <x:c r="M84" s="1"/>
      <x:c r="N84" s="1"/>
      <x:c r="O84" s="1"/>
    </x:row>
    <x:row r="85">
      <x:c r="B85" s="1" t="s">
        <x:v>95</x:v>
      </x:c>
      <x:c r="C85" s="1"/>
      <x:c r="D85" s="1"/>
      <x:c r="E85" s="1"/>
      <x:c r="F85" s="1"/>
      <x:c r="G85" s="1"/>
      <x:c r="H85" s="36"/>
      <x:c r="I85" s="1"/>
      <x:c r="J85" s="1"/>
      <x:c r="K85" s="1"/>
      <x:c r="L85" s="1"/>
      <x:c r="M85" s="1"/>
      <x:c r="N85" s="1"/>
      <x:c r="O85" s="1"/>
    </x:row>
    <x:row r="86">
      <x:c r="B86" s="35" t="s">
        <x:v>81</x:v>
      </x:c>
      <x:c r="C86" s="74" t="s">
        <x:v>38</x:v>
      </x:c>
      <x:c r="D86" s="74" t="s">
        <x:v>38</x:v>
      </x:c>
      <x:c r="E86" s="74" t="s">
        <x:v>38</x:v>
      </x:c>
      <x:c r="F86" s="74" t="s">
        <x:v>38</x:v>
      </x:c>
      <x:c r="G86" s="8" t="n">
        <x:f>(1+G89)/((1+G87)*(1+G88))-1</x:f>
        <x:v>0.10303247373447921</x:v>
      </x:c>
      <x:c r="H86" s="42" t="n">
        <x:f>(1+H89)/((1+H87)*(1+H88))-1</x:f>
        <x:v>0.08705258506407443</x:v>
      </x:c>
      <x:c r="I86" s="1"/>
      <x:c r="J86" s="1"/>
      <x:c r="K86" s="1"/>
      <x:c r="L86" s="1"/>
      <x:c r="M86" s="1"/>
      <x:c r="N86" s="1"/>
      <x:c r="O86" s="1"/>
    </x:row>
    <x:row r="87">
      <x:c r="B87" s="35" t="s">
        <x:v>91</x:v>
      </x:c>
      <x:c r="C87" s="74" t="s">
        <x:v>38</x:v>
      </x:c>
      <x:c r="D87" s="74" t="s">
        <x:v>38</x:v>
      </x:c>
      <x:c r="E87" s="74" t="s">
        <x:v>38</x:v>
      </x:c>
      <x:c r="F87" s="74" t="s">
        <x:v>38</x:v>
      </x:c>
      <x:c r="G87" s="48" t="n">
        <x:f>'Segment - Parts Supply'!K55/K43</x:f>
        <x:v>0.04127299850820488</x:v>
      </x:c>
      <x:c r="H87" s="44" t="n">
        <x:f>'Segment - Parts Supply'!H52/C43</x:f>
        <x:v>0.04623208506703653</x:v>
      </x:c>
      <x:c r="I87" s="1"/>
      <x:c r="J87" s="1"/>
      <x:c r="K87" s="1"/>
      <x:c r="L87" s="1"/>
      <x:c r="M87" s="1"/>
      <x:c r="N87" s="1"/>
      <x:c r="O87" s="1"/>
    </x:row>
    <x:row r="88">
      <x:c r="B88" s="35" t="s">
        <x:v>92</x:v>
      </x:c>
      <x:c r="C88" s="74" t="s">
        <x:v>38</x:v>
      </x:c>
      <x:c r="D88" s="74" t="s">
        <x:v>38</x:v>
      </x:c>
      <x:c r="E88" s="74" t="s">
        <x:v>38</x:v>
      </x:c>
      <x:c r="F88" s="74" t="s">
        <x:v>38</x:v>
      </x:c>
      <x:c r="G88" s="48">
        <x:v>0</x:v>
      </x:c>
      <x:c r="H88" s="44">
        <x:v>0</x:v>
      </x:c>
      <x:c r="I88" s="1"/>
      <x:c r="J88" s="1"/>
      <x:c r="K88" s="1"/>
      <x:c r="L88" s="1"/>
      <x:c r="M88" s="1"/>
      <x:c r="N88" s="1"/>
      <x:c r="O88" s="1"/>
    </x:row>
    <x:row r="89">
      <x:c r="B89" s="35" t="s">
        <x:v>66</x:v>
      </x:c>
      <x:c r="C89" s="8" t="n">
        <x:f>C43/L43-1</x:f>
        <x:v>0.14565677966101687</x:v>
      </x:c>
      <x:c r="D89" s="8" t="n">
        <x:f>D43/M43-1</x:f>
        <x:v>0.23130715438407723</x:v>
      </x:c>
      <x:c r="E89" s="8" t="n">
        <x:f>E43/N43-1</x:f>
        <x:v>0.1899325376232488</x:v>
      </x:c>
      <x:c r="F89" s="8" t="n">
        <x:f>F43/O43-1</x:f>
        <x:v>0.052320675105485215</x:v>
      </x:c>
      <x:c r="G89" s="48" t="n">
        <x:f>G43/K43-1</x:f>
        <x:v>0.14855793137742412</x:v>
      </x:c>
      <x:c r="H89" s="44" t="n">
        <x:f>H43/C43-1</x:f>
        <x:v>0.13730929264909864</x:v>
      </x:c>
      <x:c r="I89" s="1"/>
      <x:c r="J89" s="1"/>
      <x:c r="K89" s="1"/>
      <x:c r="L89" s="1"/>
      <x:c r="M89" s="1"/>
      <x:c r="N89" s="1"/>
      <x:c r="O89" s="1"/>
    </x:row>
    <x:row r="90">
      <x:c r="B90" s="1" t="s">
        <x:v>94</x:v>
      </x:c>
      <x:c r="C90" s="1"/>
      <x:c r="D90" s="4" t="n">
        <x:f>D43-C43</x:f>
        <x:v>12.599999999999994</x:v>
      </x:c>
      <x:c r="E90" s="4" t="n">
        <x:f>E43-D43</x:f>
        <x:v>0.4000000000000341</x:v>
      </x:c>
      <x:c r="F90" s="4" t="n">
        <x:f>F43-E43</x:f>
        <x:v>20.099999999999994</x:v>
      </x:c>
      <x:c r="G90" s="1"/>
      <x:c r="H90" s="3" t="n">
        <x:f>H43-F43</x:f>
        <x:v>-3.4000000000000057</x:v>
      </x:c>
      <x:c r="I90" s="1"/>
      <x:c r="J90" s="1"/>
      <x:c r="K90" s="1"/>
      <x:c r="L90" s="1"/>
      <x:c r="M90" s="1"/>
      <x:c r="N90" s="1"/>
      <x:c r="O90" s="1"/>
    </x:row>
    <x:row r="91">
      <x:c r="B91" s="1"/>
      <x:c r="C91" s="1"/>
      <x:c r="D91" s="1"/>
      <x:c r="E91" s="1"/>
      <x:c r="F91" s="1"/>
      <x:c r="G91" s="1"/>
      <x:c r="H91" s="36"/>
      <x:c r="I91" s="1"/>
      <x:c r="J91" s="1"/>
      <x:c r="K91" s="1"/>
      <x:c r="L91" s="1"/>
      <x:c r="M91" s="1"/>
      <x:c r="N91" s="1"/>
      <x:c r="O91" s="1"/>
    </x:row>
    <x:row r="92">
      <x:c r="B92" s="1" t="s">
        <x:v>96</x:v>
      </x:c>
      <x:c r="C92" s="4" t="n">
        <x:f>C29-SUM(C42:C43)</x:f>
        <x:v>1.1368683772161603e-13</x:v>
      </x:c>
      <x:c r="D92" s="4" t="n">
        <x:f>D29-SUM(D42:D43)</x:f>
        <x:v>-1.1368683772161603e-13</x:v>
      </x:c>
      <x:c r="E92" s="4" t="n">
        <x:f>E29-SUM(E42:E43)</x:f>
        <x:v>1.1368683772161603e-13</x:v>
      </x:c>
      <x:c r="F92" s="4" t="n">
        <x:f>F29-SUM(F42:F43)</x:f>
        <x:v>0</x:v>
      </x:c>
      <x:c r="G92" s="4" t="n">
        <x:f>G29-SUM(G42:G43)</x:f>
        <x:v>-4.547473508864641e-13</x:v>
      </x:c>
      <x:c r="H92" s="3" t="n">
        <x:f>H29-SUM(H42:H43)</x:f>
        <x:v>0</x:v>
      </x:c>
      <x:c r="I92" s="1"/>
      <x:c r="J92" s="1"/>
      <x:c r="K92" s="1"/>
      <x:c r="L92" s="1"/>
      <x:c r="M92" s="1"/>
      <x:c r="N92" s="1"/>
      <x:c r="O92" s="1"/>
    </x:row>
    <x:row r="93">
      <x:c r="B93" s="1"/>
      <x:c r="C93" s="1"/>
      <x:c r="D93" s="1"/>
      <x:c r="E93" s="1"/>
      <x:c r="F93" s="1"/>
      <x:c r="G93" s="1"/>
      <x:c r="H93" s="36"/>
      <x:c r="I93" s="1"/>
      <x:c r="J93" s="1"/>
      <x:c r="K93" s="1"/>
      <x:c r="L93" s="1"/>
      <x:c r="M93" s="1"/>
      <x:c r="N93" s="1"/>
      <x:c r="O93" s="1"/>
    </x:row>
    <x:row r="94">
      <x:c r="B94" s="1"/>
      <x:c r="C94" s="1"/>
      <x:c r="D94" s="1"/>
      <x:c r="E94" s="1"/>
      <x:c r="F94" s="1"/>
      <x:c r="G94" s="1"/>
      <x:c r="H94" s="36"/>
      <x:c r="I94" s="1"/>
      <x:c r="J94" s="1"/>
      <x:c r="K94" s="1"/>
      <x:c r="L94" s="1"/>
      <x:c r="M94" s="1"/>
      <x:c r="N94" s="1"/>
      <x:c r="O94" s="1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  <x:col min="11" max="11" width="25" customWidth="1"/>
    <x:col min="12" max="15" width="1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97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72" t="s">
        <x:v>98</x:v>
      </x:c>
      <x:c r="L8" s="69" t="s">
        <x:v>99</x:v>
      </x:c>
      <x:c r="M8" s="69" t="s">
        <x:v>100</x:v>
      </x:c>
      <x:c r="N8" s="69" t="s">
        <x:v>101</x:v>
      </x:c>
      <x:c r="O8" s="69" t="s">
        <x:v>102</x:v>
      </x:c>
    </x:row>
    <x:row r="9">
      <x:c r="B9" s="1" t="s">
        <x:v>103</x:v>
      </x:c>
      <x:c r="C9" s="18">
        <x:v>254.5</x:v>
      </x:c>
      <x:c r="D9" s="18">
        <x:v>268.1</x:v>
      </x:c>
      <x:c r="E9" s="18">
        <x:v>300</x:v>
      </x:c>
      <x:c r="F9" s="4" t="n">
        <x:f>G9-SUM(C9:E9)</x:f>
        <x:v>330.80000000000007</x:v>
      </x:c>
      <x:c r="G9" s="18">
        <x:v>1153.4</x:v>
      </x:c>
      <x:c r="H9" s="3" t="n">
        <x:f>(C9+H51-H52)*(1+H61)</x:f>
        <x:v>325</x:v>
      </x:c>
      <x:c r="I9" s="1"/>
      <x:c r="J9" s="1" t="s">
        <x:v>104</x:v>
      </x:c>
      <x:c r="K9" s="34">
        <x:v>879.2</x:v>
      </x:c>
      <x:c r="L9" s="34">
        <x:v>210.4</x:v>
      </x:c>
      <x:c r="M9" s="34">
        <x:v>220.8</x:v>
      </x:c>
      <x:c r="N9" s="34">
        <x:v>220.9</x:v>
      </x:c>
      <x:c r="O9" s="34">
        <x:v>227.1</x:v>
      </x:c>
    </x:row>
    <x:row r="10">
      <x:c r="B10" s="35" t="s">
        <x:v>105</x:v>
      </x:c>
      <x:c r="C10" s="8"/>
      <x:c r="D10" s="8"/>
      <x:c r="E10" s="8"/>
      <x:c r="F10" s="8"/>
      <x:c r="G10" s="8" t="n">
        <x:f>IFERROR(G9/K9-1,0)</x:f>
        <x:v>0.311874431301183</x:v>
      </x:c>
      <x:c r="H10" s="42" t="n">
        <x:f>IFERROR(H9/C9-1,0)</x:f>
        <x:v>0.2770137524557956</x:v>
      </x:c>
      <x:c r="I10" s="1"/>
      <x:c r="J10" s="1"/>
      <x:c r="K10" s="1"/>
      <x:c r="L10" s="34"/>
      <x:c r="M10" s="34"/>
      <x:c r="N10" s="34"/>
      <x:c r="O10" s="34"/>
    </x:row>
    <x:row r="11">
      <x:c r="B11" s="1" t="s">
        <x:v>106</x:v>
      </x:c>
      <x:c r="C11" s="4"/>
      <x:c r="D11" s="4" t="n">
        <x:f>D9-C9</x:f>
        <x:v>13.600000000000023</x:v>
      </x:c>
      <x:c r="E11" s="4" t="n">
        <x:f>E9-D9</x:f>
        <x:v>31.899999999999977</x:v>
      </x:c>
      <x:c r="F11" s="4" t="n">
        <x:f>F9-E9</x:f>
        <x:v>30.800000000000068</x:v>
      </x:c>
      <x:c r="G11" s="4"/>
      <x:c r="H11" s="3" t="n">
        <x:f>H9-F9</x:f>
        <x:v>-5.800000000000068</x:v>
      </x:c>
      <x:c r="I11" s="1"/>
      <x:c r="J11" s="1"/>
      <x:c r="K11" s="1"/>
      <x:c r="L11" s="34"/>
      <x:c r="M11" s="34"/>
      <x:c r="N11" s="34"/>
      <x:c r="O11" s="34"/>
    </x:row>
    <x:row r="12">
      <x:c r="B12" s="35" t="s">
        <x:v>107</x:v>
      </x:c>
      <x:c r="C12" s="47" t="n">
        <x:f>IFERROR(C9/C29,0)</x:f>
        <x:v>0.8008181246066708</x:v>
      </x:c>
      <x:c r="D12" s="47" t="n">
        <x:f>IFERROR(D9/D29,0)</x:f>
        <x:v>0.7582013574660633</x:v>
      </x:c>
      <x:c r="E12" s="47" t="n">
        <x:f>IFERROR(E9/E29,0)</x:f>
        <x:v>0.7643312101910829</x:v>
      </x:c>
      <x:c r="F12" s="47" t="n">
        <x:f>IFERROR(F9/F29,0)</x:f>
        <x:v>0.7805568664464371</x:v>
      </x:c>
      <x:c r="G12" s="8" t="n">
        <x:f>IFERROR(G9/G29,0)</x:f>
        <x:v>0.7752907172144922</x:v>
      </x:c>
      <x:c r="H12" s="42" t="n">
        <x:f>IFERROR(H9/H29,0)</x:f>
        <x:v>0.7926829268292683</x:v>
      </x:c>
      <x:c r="I12" s="1"/>
      <x:c r="J12" s="1"/>
      <x:c r="K12" s="1"/>
      <x:c r="L12" s="34"/>
      <x:c r="M12" s="34"/>
      <x:c r="N12" s="34"/>
      <x:c r="O12" s="34"/>
    </x:row>
    <x:row r="13">
      <x:c r="B13" s="35" t="s">
        <x:v>108</x:v>
      </x:c>
      <x:c r="C13" s="4"/>
      <x:c r="D13" s="4" t="n">
        <x:f>(D12-C12)*10000</x:f>
        <x:v>-426.1676714060747</x:v>
      </x:c>
      <x:c r="E13" s="4" t="n">
        <x:f>(E12-D12)*10000</x:f>
        <x:v>61.298527250195356</x:v>
      </x:c>
      <x:c r="F13" s="4" t="n">
        <x:f>(F12-E12)*10000</x:f>
        <x:v>162.25656255354215</x:v>
      </x:c>
      <x:c r="G13" s="45" t="n">
        <x:f>(G12-K9/K29)*10000</x:f>
        <x:v>-242.72760413736273</x:v>
      </x:c>
      <x:c r="H13" s="46" t="n">
        <x:f>(H12-C12)*10000</x:f>
        <x:v>-81.35197777402459</x:v>
      </x:c>
      <x:c r="I13" s="1"/>
      <x:c r="J13" s="1"/>
      <x:c r="K13" s="1"/>
      <x:c r="L13" s="34"/>
      <x:c r="M13" s="34"/>
      <x:c r="N13" s="34"/>
      <x:c r="O13" s="34"/>
    </x:row>
    <x:row r="14">
      <x:c r="B14" s="35" t="s">
        <x:v>62</x:v>
      </x:c>
      <x:c r="C14" s="8"/>
      <x:c r="D14" s="8"/>
      <x:c r="E14" s="8"/>
      <x:c r="F14" s="8"/>
      <x:c r="G14" s="8" t="n">
        <x:f>(1+G17)/((1+G15)*(1+G16))-1</x:f>
        <x:v>0.19970875806116095</x:v>
      </x:c>
      <x:c r="H14" s="42" t="n">
        <x:f>(1+H17)/((1+H15)*(1+H16))-1</x:f>
        <x:v>0.16279069767441867</x:v>
      </x:c>
      <x:c r="I14" s="1"/>
      <x:c r="J14" s="1"/>
      <x:c r="K14" s="1"/>
      <x:c r="L14" s="34"/>
      <x:c r="M14" s="34"/>
      <x:c r="N14" s="34"/>
      <x:c r="O14" s="34"/>
    </x:row>
    <x:row r="15">
      <x:c r="B15" s="35" t="s">
        <x:v>63</x:v>
      </x:c>
      <x:c r="C15" s="8"/>
      <x:c r="D15" s="8"/>
      <x:c r="E15" s="8"/>
      <x:c r="F15" s="8"/>
      <x:c r="G15" s="8" t="n">
        <x:f>K54/K9</x:f>
        <x:v>0.0934940855323021</x:v>
      </x:c>
      <x:c r="H15" s="42" t="n">
        <x:f>(H51-H52)/C9</x:f>
        <x:v>0.09823182711198428</x:v>
      </x:c>
      <x:c r="I15" s="1"/>
      <x:c r="J15" s="1"/>
      <x:c r="K15" s="1"/>
      <x:c r="L15" s="34"/>
      <x:c r="M15" s="34"/>
      <x:c r="N15" s="34"/>
      <x:c r="O15" s="34"/>
    </x:row>
    <x:row r="16">
      <x:c r="B16" s="35" t="s">
        <x:v>109</x:v>
      </x:c>
      <x:c r="C16" s="8"/>
      <x:c r="D16" s="8"/>
      <x:c r="E16" s="8"/>
      <x:c r="F16" s="8"/>
      <x:c r="G16" s="48">
        <x:v>0</x:v>
      </x:c>
      <x:c r="H16" s="44">
        <x:v>0</x:v>
      </x:c>
      <x:c r="I16" s="1"/>
      <x:c r="J16" s="1"/>
      <x:c r="K16" s="1"/>
      <x:c r="L16" s="34"/>
      <x:c r="M16" s="34"/>
      <x:c r="N16" s="34"/>
      <x:c r="O16" s="34"/>
    </x:row>
    <x:row r="17">
      <x:c r="B17" s="35" t="s">
        <x:v>84</x:v>
      </x:c>
      <x:c r="C17" s="8"/>
      <x:c r="D17" s="8"/>
      <x:c r="E17" s="8"/>
      <x:c r="F17" s="8"/>
      <x:c r="G17" s="8" t="n">
        <x:f>G10</x:f>
        <x:v>0.311874431301183</x:v>
      </x:c>
      <x:c r="H17" s="42" t="n">
        <x:f>H10</x:f>
        <x:v>0.2770137524557956</x:v>
      </x:c>
      <x:c r="I17" s="1"/>
      <x:c r="J17" s="1"/>
      <x:c r="K17" s="1"/>
      <x:c r="L17" s="34"/>
      <x:c r="M17" s="34"/>
      <x:c r="N17" s="34"/>
      <x:c r="O17" s="34"/>
    </x:row>
    <x:row r="18">
      <x:c r="B18" s="1"/>
      <x:c r="C18" s="4"/>
      <x:c r="D18" s="4"/>
      <x:c r="E18" s="4"/>
      <x:c r="F18" s="4"/>
      <x:c r="G18" s="4"/>
      <x:c r="H18" s="3"/>
      <x:c r="I18" s="1"/>
      <x:c r="J18" s="1"/>
      <x:c r="K18" s="1"/>
      <x:c r="L18" s="34"/>
      <x:c r="M18" s="34"/>
      <x:c r="N18" s="34"/>
      <x:c r="O18" s="34"/>
    </x:row>
    <x:row r="19">
      <x:c r="B19" s="1" t="s">
        <x:v>110</x:v>
      </x:c>
      <x:c r="C19" s="18">
        <x:v>63.3</x:v>
      </x:c>
      <x:c r="D19" s="18">
        <x:v>85.5</x:v>
      </x:c>
      <x:c r="E19" s="18">
        <x:v>92.5</x:v>
      </x:c>
      <x:c r="F19" s="4" t="n">
        <x:f>G19-SUM(C19:E19)</x:f>
        <x:v>93</x:v>
      </x:c>
      <x:c r="G19" s="18">
        <x:v>334.3</x:v>
      </x:c>
      <x:c r="H19" s="3" t="n">
        <x:f>(C19+H52)*(1+H62)</x:f>
        <x:v>85</x:v>
      </x:c>
      <x:c r="I19" s="1"/>
      <x:c r="J19" s="1"/>
      <x:c r="K19" s="34">
        <x:v>220.4</x:v>
      </x:c>
      <x:c r="L19" s="34">
        <x:v>39.3</x:v>
      </x:c>
      <x:c r="M19" s="34">
        <x:v>52.9</x:v>
      </x:c>
      <x:c r="N19" s="34">
        <x:v>49.8</x:v>
      </x:c>
      <x:c r="O19" s="34">
        <x:v>78.4</x:v>
      </x:c>
    </x:row>
    <x:row r="20">
      <x:c r="B20" s="35" t="s">
        <x:v>105</x:v>
      </x:c>
      <x:c r="C20" s="8"/>
      <x:c r="D20" s="8"/>
      <x:c r="E20" s="8"/>
      <x:c r="F20" s="8"/>
      <x:c r="G20" s="8" t="n">
        <x:f>IFERROR(G19/K19-1,0)</x:f>
        <x:v>0.5167876588021778</x:v>
      </x:c>
      <x:c r="H20" s="42" t="n">
        <x:f>IFERROR(H19/C19-1,0)</x:f>
        <x:v>0.34281200631911535</x:v>
      </x:c>
      <x:c r="I20" s="1"/>
      <x:c r="J20" s="1"/>
      <x:c r="K20" s="1"/>
    </x:row>
    <x:row r="21">
      <x:c r="B21" s="1" t="s">
        <x:v>106</x:v>
      </x:c>
      <x:c r="C21" s="4"/>
      <x:c r="D21" s="4" t="n">
        <x:f>D19-C19</x:f>
        <x:v>22.200000000000003</x:v>
      </x:c>
      <x:c r="E21" s="4" t="n">
        <x:f>E19-D19</x:f>
        <x:v>7</x:v>
      </x:c>
      <x:c r="F21" s="4" t="n">
        <x:f>F19-E19</x:f>
        <x:v>0.5</x:v>
      </x:c>
      <x:c r="G21" s="4"/>
      <x:c r="H21" s="3" t="n">
        <x:f>H19-F19</x:f>
        <x:v>-8</x:v>
      </x:c>
      <x:c r="I21" s="1"/>
      <x:c r="J21" s="1"/>
      <x:c r="K21" s="1"/>
    </x:row>
    <x:row r="22">
      <x:c r="B22" s="35" t="s">
        <x:v>111</x:v>
      </x:c>
      <x:c r="C22" s="47" t="n">
        <x:f>IFERROR(C19/C29,0)</x:f>
        <x:v>0.19918187539332913</x:v>
      </x:c>
      <x:c r="D22" s="47" t="n">
        <x:f>IFERROR(D19/D29,0)</x:f>
        <x:v>0.24179864253393663</x:v>
      </x:c>
      <x:c r="E22" s="47" t="n">
        <x:f>IFERROR(E19/E29,0)</x:f>
        <x:v>0.2356687898089172</x:v>
      </x:c>
      <x:c r="F22" s="47" t="n">
        <x:f>IFERROR(F19/F29,0)</x:f>
        <x:v>0.21944313355356296</x:v>
      </x:c>
      <x:c r="G22" s="8" t="n">
        <x:f>IFERROR(G19/G29,0)</x:f>
        <x:v>0.22470928278550784</x:v>
      </x:c>
      <x:c r="H22" s="42" t="n">
        <x:f>IFERROR(H19/H29,0)</x:f>
        <x:v>0.2073170731707317</x:v>
      </x:c>
      <x:c r="I22" s="1"/>
      <x:c r="J22" s="1"/>
      <x:c r="K22" s="1"/>
    </x:row>
    <x:row r="23">
      <x:c r="B23" s="35" t="s">
        <x:v>108</x:v>
      </x:c>
      <x:c r="C23" s="4"/>
      <x:c r="D23" s="4" t="n">
        <x:f>(D22-C22)*10000</x:f>
        <x:v>426.167671406075</x:v>
      </x:c>
      <x:c r="E23" s="4" t="n">
        <x:f>(E22-D22)*10000</x:f>
        <x:v>-61.29852725019425</x:v>
      </x:c>
      <x:c r="F23" s="4" t="n">
        <x:f>(F22-E22)*10000</x:f>
        <x:v>-162.25656255354244</x:v>
      </x:c>
      <x:c r="G23" s="45" t="n">
        <x:f>(G22-K19/K29)*10000</x:f>
        <x:v>242.727604137363</x:v>
      </x:c>
      <x:c r="H23" s="46" t="n">
        <x:f>(H22-C22)*10000</x:f>
        <x:v>81.3519777740257</x:v>
      </x:c>
      <x:c r="I23" s="1"/>
      <x:c r="J23" s="1"/>
      <x:c r="K23" s="1"/>
    </x:row>
    <x:row r="24">
      <x:c r="B24" s="35" t="s">
        <x:v>62</x:v>
      </x:c>
      <x:c r="C24" s="8"/>
      <x:c r="D24" s="8"/>
      <x:c r="E24" s="8"/>
      <x:c r="F24" s="8"/>
      <x:c r="G24" s="8" t="n">
        <x:f>(1+G27)/((1+G25)*(1+G26))-1</x:f>
        <x:v>0.31821766561514186</x:v>
      </x:c>
      <x:c r="H24" s="42" t="n">
        <x:f>(1+H27)/((1+H25)*(1+H26))-1</x:f>
        <x:v>0.15961800818553895</x:v>
      </x:c>
      <x:c r="I24" s="1"/>
      <x:c r="J24" s="1"/>
      <x:c r="K24" s="1"/>
    </x:row>
    <x:row r="25">
      <x:c r="B25" s="35" t="s">
        <x:v>63</x:v>
      </x:c>
      <x:c r="C25" s="8"/>
      <x:c r="D25" s="8"/>
      <x:c r="E25" s="8"/>
      <x:c r="F25" s="8"/>
      <x:c r="G25" s="8" t="n">
        <x:f>K55/K19</x:f>
        <x:v>0.15063520871143377</x:v>
      </x:c>
      <x:c r="H25" s="42" t="n">
        <x:f>IFERROR(H52/C19,0)</x:f>
        <x:v>0.1579778830963665</x:v>
      </x:c>
      <x:c r="I25" s="1"/>
      <x:c r="J25" s="1"/>
      <x:c r="K25" s="1"/>
    </x:row>
    <x:row r="26">
      <x:c r="B26" s="35" t="s">
        <x:v>109</x:v>
      </x:c>
      <x:c r="C26" s="8"/>
      <x:c r="D26" s="8"/>
      <x:c r="E26" s="8"/>
      <x:c r="F26" s="8"/>
      <x:c r="G26" s="48">
        <x:v>0</x:v>
      </x:c>
      <x:c r="H26" s="44">
        <x:v>0</x:v>
      </x:c>
      <x:c r="I26" s="1"/>
      <x:c r="J26" s="1"/>
      <x:c r="K26" s="1"/>
    </x:row>
    <x:row r="27">
      <x:c r="B27" s="35" t="s">
        <x:v>84</x:v>
      </x:c>
      <x:c r="C27" s="8"/>
      <x:c r="D27" s="8"/>
      <x:c r="E27" s="8"/>
      <x:c r="F27" s="8"/>
      <x:c r="G27" s="8" t="n">
        <x:f>G20</x:f>
        <x:v>0.5167876588021778</x:v>
      </x:c>
      <x:c r="H27" s="42" t="n">
        <x:f>H20</x:f>
        <x:v>0.34281200631911535</x:v>
      </x:c>
      <x:c r="I27" s="1"/>
      <x:c r="J27" s="1"/>
      <x:c r="K27" s="1"/>
    </x:row>
    <x:row r="28">
      <x:c r="B28" s="1"/>
      <x:c r="C28" s="4"/>
      <x:c r="D28" s="4"/>
      <x:c r="E28" s="4"/>
      <x:c r="F28" s="4"/>
      <x:c r="G28" s="4"/>
      <x:c r="H28" s="3"/>
      <x:c r="I28" s="1"/>
      <x:c r="J28" s="1"/>
      <x:c r="K28" s="1"/>
    </x:row>
    <x:row r="29">
      <x:c r="B29" s="17" t="s">
        <x:v>112</x:v>
      </x:c>
      <x:c r="C29" s="20" t="n">
        <x:f>SUM(C9,C19)</x:f>
        <x:v>317.8</x:v>
      </x:c>
      <x:c r="D29" s="20" t="n">
        <x:f>SUM(D9,D19)</x:f>
        <x:v>353.6</x:v>
      </x:c>
      <x:c r="E29" s="20" t="n">
        <x:f>SUM(E9,E19)</x:f>
        <x:v>392.5</x:v>
      </x:c>
      <x:c r="F29" s="20" t="n">
        <x:f>SUM(F9,F19)</x:f>
        <x:v>423.80000000000007</x:v>
      </x:c>
      <x:c r="G29" s="20" t="n">
        <x:f>SUM(G9,G19)</x:f>
        <x:v>1487.7</x:v>
      </x:c>
      <x:c r="H29" s="21" t="n">
        <x:f>SUM(H9,H19)</x:f>
        <x:v>410</x:v>
      </x:c>
      <x:c r="I29" s="1"/>
      <x:c r="J29" s="1"/>
      <x:c r="K29" s="1" t="n">
        <x:f>SUM(K9,K19)</x:f>
        <x:v>1099.6000000000001</x:v>
      </x:c>
    </x:row>
    <x:row r="30">
      <x:c r="B30" s="35" t="s">
        <x:v>105</x:v>
      </x:c>
      <x:c r="C30" s="8"/>
      <x:c r="D30" s="8"/>
      <x:c r="E30" s="8"/>
      <x:c r="F30" s="8"/>
      <x:c r="G30" s="8" t="n">
        <x:f>G29/K29-1</x:f>
        <x:v>0.35294652600945775</x:v>
      </x:c>
      <x:c r="H30" s="42" t="n">
        <x:f>IFERROR(H29/C29-1,0)</x:f>
        <x:v>0.29011957205789796</x:v>
      </x:c>
      <x:c r="I30" s="1"/>
      <x:c r="J30" s="1"/>
      <x:c r="K30" s="1"/>
    </x:row>
    <x:row r="31">
      <x:c r="B31" s="1" t="s">
        <x:v>106</x:v>
      </x:c>
      <x:c r="C31" s="4"/>
      <x:c r="D31" s="4" t="n">
        <x:f>D29-C29</x:f>
        <x:v>35.80000000000001</x:v>
      </x:c>
      <x:c r="E31" s="4" t="n">
        <x:f>E29-D29</x:f>
        <x:v>38.89999999999998</x:v>
      </x:c>
      <x:c r="F31" s="4" t="n">
        <x:f>F29-E29</x:f>
        <x:v>31.300000000000068</x:v>
      </x:c>
      <x:c r="G31" s="4"/>
      <x:c r="H31" s="3" t="n">
        <x:f>H29-F29</x:f>
        <x:v>-13.800000000000068</x:v>
      </x:c>
      <x:c r="I31" s="1"/>
      <x:c r="J31" s="1"/>
      <x:c r="K31" s="1"/>
    </x:row>
    <x:row r="32">
      <x:c r="B32" s="35" t="s">
        <x:v>113</x:v>
      </x:c>
      <x:c r="C32" s="27" t="n">
        <x:f>IFERROR(C29/'Revenue summary'!C29,0)</x:f>
        <x:v>0.42969172525689564</x:v>
      </x:c>
      <x:c r="D32" s="27" t="n">
        <x:f>IFERROR(D29/'Revenue summary'!D29,0)</x:f>
        <x:v>0.4446120960643783</x:v>
      </x:c>
      <x:c r="E32" s="27" t="n">
        <x:f>IFERROR(E29/'Revenue summary'!E29,0)</x:f>
        <x:v>0.4644420778606082</x:v>
      </x:c>
      <x:c r="F32" s="27" t="n">
        <x:f>IFERROR(F29/'Revenue summary'!F29,0)</x:f>
        <x:v>0.4566810344827586</x:v>
      </x:c>
      <x:c r="G32" s="27" t="n">
        <x:f>IFERROR(G29/'Revenue summary'!G29,0)</x:f>
        <x:v>0.44972793228536884</x:v>
      </x:c>
      <x:c r="H32" s="49" t="n">
        <x:f>IFERROR(H29/'Revenue summary'!H29,0)</x:f>
        <x:v>0.4638009049773756</x:v>
      </x:c>
      <x:c r="I32" s="1"/>
      <x:c r="J32" s="1"/>
      <x:c r="K32" s="1"/>
    </x:row>
    <x:row r="33">
      <x:c r="B33" s="35" t="s">
        <x:v>108</x:v>
      </x:c>
      <x:c r="C33" s="4"/>
      <x:c r="D33" s="4" t="n">
        <x:f>(D32-C32)*10000</x:f>
        <x:v>149.20370807482652</x:v>
      </x:c>
      <x:c r="E33" s="4" t="n">
        <x:f>(E32-D32)*10000</x:f>
        <x:v>198.29981796229913</x:v>
      </x:c>
      <x:c r="F33" s="4" t="n">
        <x:f>(F32-E32)*10000</x:f>
        <x:v>-77.61043377849607</x:v>
      </x:c>
      <x:c r="G33" s="4"/>
      <x:c r="H33" s="3" t="n">
        <x:f>(H32-C32)*10000</x:f>
        <x:v>341.09179720479943</x:v>
      </x:c>
      <x:c r="I33" s="1"/>
      <x:c r="J33" s="1"/>
      <x:c r="K33" s="1"/>
    </x:row>
    <x:row r="34">
      <x:c r="B34" s="35" t="s">
        <x:v>62</x:v>
      </x:c>
      <x:c r="C34" s="8"/>
      <x:c r="D34" s="8"/>
      <x:c r="E34" s="8"/>
      <x:c r="F34" s="8"/>
      <x:c r="G34" s="8" t="n">
        <x:f>(1+G37)/((1+G35)*(1+G36))-1</x:f>
        <x:v>0.2245452300600872</x:v>
      </x:c>
      <x:c r="H34" s="42" t="n">
        <x:f>(1+H37)/((1+H35)*(1+H36))-1</x:f>
        <x:v>0.1621315192743764</x:v>
      </x:c>
      <x:c r="I34" s="1"/>
      <x:c r="J34" s="1"/>
      <x:c r="K34" s="1"/>
    </x:row>
    <x:row r="35">
      <x:c r="B35" s="35" t="s">
        <x:v>63</x:v>
      </x:c>
      <x:c r="C35" s="8"/>
      <x:c r="D35" s="8"/>
      <x:c r="E35" s="8"/>
      <x:c r="F35" s="8"/>
      <x:c r="G35" s="8" t="n">
        <x:f>K53/K29</x:f>
        <x:v>0.10485631138595851</x:v>
      </x:c>
      <x:c r="H35" s="42" t="n">
        <x:f>H51/C29</x:f>
        <x:v>0.11013215859030837</x:v>
      </x:c>
      <x:c r="I35" s="1"/>
      <x:c r="J35" s="1"/>
      <x:c r="K35" s="1"/>
    </x:row>
    <x:row r="36">
      <x:c r="B36" s="35" t="s">
        <x:v>109</x:v>
      </x:c>
      <x:c r="C36" s="8"/>
      <x:c r="D36" s="8"/>
      <x:c r="E36" s="8"/>
      <x:c r="F36" s="8"/>
      <x:c r="G36" s="48">
        <x:v>0</x:v>
      </x:c>
      <x:c r="H36" s="44">
        <x:v>0</x:v>
      </x:c>
      <x:c r="I36" s="1"/>
      <x:c r="J36" s="1"/>
      <x:c r="K36" s="1"/>
    </x:row>
    <x:row r="37">
      <x:c r="B37" s="35" t="s">
        <x:v>84</x:v>
      </x:c>
      <x:c r="C37" s="8"/>
      <x:c r="D37" s="8"/>
      <x:c r="E37" s="8"/>
      <x:c r="F37" s="8"/>
      <x:c r="G37" s="8" t="n">
        <x:f>G30</x:f>
        <x:v>0.35294652600945775</x:v>
      </x:c>
      <x:c r="H37" s="42" t="n">
        <x:f>H30</x:f>
        <x:v>0.29011957205789796</x:v>
      </x:c>
      <x:c r="I37" s="1"/>
      <x:c r="J37" s="1"/>
      <x:c r="K37" s="1"/>
    </x:row>
    <x:row r="38">
      <x:c r="B38" s="1"/>
      <x:c r="C38" s="4"/>
      <x:c r="D38" s="4"/>
      <x:c r="E38" s="4"/>
      <x:c r="F38" s="4"/>
      <x:c r="G38" s="4"/>
      <x:c r="H38" s="3"/>
      <x:c r="I38" s="1"/>
      <x:c r="J38" s="1"/>
      <x:c r="K38" s="1"/>
    </x:row>
    <x:row r="39">
      <x:c r="B39" s="17" t="s">
        <x:v>114</x:v>
      </x:c>
      <x:c r="C39" s="5">
        <x:v>40.9</x:v>
      </x:c>
      <x:c r="D39" s="5">
        <x:v>40.9</x:v>
      </x:c>
      <x:c r="E39" s="5">
        <x:v>50.7</x:v>
      </x:c>
      <x:c r="F39" s="5">
        <x:v>53.7</x:v>
      </x:c>
      <x:c r="G39" s="5">
        <x:v>186.2</x:v>
      </x:c>
      <x:c r="H39" s="21" t="n">
        <x:f>H29*H42</x:f>
        <x:v>52.07</x:v>
      </x:c>
      <x:c r="I39" s="1"/>
      <x:c r="J39" s="1"/>
      <x:c r="K39" s="1">
        <x:v>156.8</x:v>
      </x:c>
    </x:row>
    <x:row r="40">
      <x:c r="B40" s="35" t="s">
        <x:v>115</x:v>
      </x:c>
      <x:c r="C40" s="8" t="n">
        <x:f>IFERROR(C39/C29,0)</x:f>
        <x:v>0.12869729389553178</x:v>
      </x:c>
      <x:c r="D40" s="8" t="n">
        <x:f>IFERROR(D39/D29,0)</x:f>
        <x:v>0.11566742081447963</x:v>
      </x:c>
      <x:c r="E40" s="8" t="n">
        <x:f>IFERROR(E39/E29,0)</x:f>
        <x:v>0.129171974522293</x:v>
      </x:c>
      <x:c r="F40" s="8" t="n">
        <x:f>IFERROR(F39/F29,0)</x:f>
        <x:v>0.12671071260028313</x:v>
      </x:c>
      <x:c r="G40" s="8" t="n">
        <x:f>IFERROR(G39/G29,0)</x:f>
        <x:v>0.1251596424010217</x:v>
      </x:c>
      <x:c r="H40" s="42" t="n">
        <x:f>IFERROR(H39/H29,0)</x:f>
        <x:v>0.127</x:v>
      </x:c>
      <x:c r="I40" s="1"/>
      <x:c r="J40" s="1"/>
      <x:c r="K40" s="1"/>
    </x:row>
    <x:row r="41">
      <x:c r="B41" s="35" t="s">
        <x:v>116</x:v>
      </x:c>
      <x:c r="C41" s="4"/>
      <x:c r="D41" s="4" t="n">
        <x:f>(D40-C40)*10000</x:f>
        <x:v>-130.29873081052148</x:v>
      </x:c>
      <x:c r="E41" s="4" t="n">
        <x:f>(E40-D40)*10000</x:f>
        <x:v>135.0455370781338</x:v>
      </x:c>
      <x:c r="F41" s="4" t="n">
        <x:f>(F40-E40)*10000</x:f>
        <x:v>-24.612619220098775</x:v>
      </x:c>
      <x:c r="G41" s="4" t="n">
        <x:f>(G40-K39/K29)*10000</x:f>
        <x:v>-174.3766571101904</x:v>
      </x:c>
      <x:c r="H41" s="3" t="n">
        <x:f>(H40-C40)*10000</x:f>
        <x:v>-16.972938955317762</x:v>
      </x:c>
      <x:c r="I41" s="1"/>
      <x:c r="J41" s="1"/>
      <x:c r="K41" s="1"/>
    </x:row>
    <x:row r="42">
      <x:c r="B42" s="35" t="s">
        <x:v>117</x:v>
      </x:c>
      <x:c r="C42" s="8"/>
      <x:c r="D42" s="8"/>
      <x:c r="E42" s="8"/>
      <x:c r="F42" s="8"/>
      <x:c r="G42" s="8"/>
      <x:c r="H42" s="44">
        <x:v>0.127</x:v>
      </x:c>
      <x:c r="I42" s="1"/>
      <x:c r="J42" s="1"/>
      <x:c r="K42" s="1"/>
    </x:row>
    <x:row r="43">
      <x:c r="B43" s="1" t="s">
        <x:v>118</x:v>
      </x:c>
      <x:c r="C43" s="4"/>
      <x:c r="D43" s="4"/>
      <x:c r="E43" s="4"/>
      <x:c r="F43" s="4"/>
      <x:c r="G43" s="4"/>
      <x:c r="H43" s="3"/>
      <x:c r="I43" s="1"/>
      <x:c r="J43" s="1" t="s">
        <x:v>119</x:v>
      </x:c>
      <x:c r="K43" s="1"/>
    </x:row>
    <x:row r="44">
      <x:c r="B44" s="1" t="s">
        <x:v>120</x:v>
      </x:c>
      <x:c r="C44" s="73" t="s">
        <x:v>38</x:v>
      </x:c>
      <x:c r="D44" s="73" t="s">
        <x:v>38</x:v>
      </x:c>
      <x:c r="E44" s="73" t="s">
        <x:v>38</x:v>
      </x:c>
      <x:c r="F44" s="73" t="s">
        <x:v>38</x:v>
      </x:c>
      <x:c r="G44" s="73" t="s">
        <x:v>38</x:v>
      </x:c>
      <x:c r="H44" s="76" t="s">
        <x:v>38</x:v>
      </x:c>
      <x:c r="I44" s="1"/>
      <x:c r="J44" s="1" t="s">
        <x:v>121</x:v>
      </x:c>
      <x:c r="K44" s="1"/>
    </x:row>
    <x:row r="45">
      <x:c r="B45" s="1" t="s">
        <x:v>122</x:v>
      </x:c>
      <x:c r="C45" s="73" t="s">
        <x:v>38</x:v>
      </x:c>
      <x:c r="D45" s="73" t="s">
        <x:v>38</x:v>
      </x:c>
      <x:c r="E45" s="73" t="s">
        <x:v>38</x:v>
      </x:c>
      <x:c r="F45" s="73" t="s">
        <x:v>38</x:v>
      </x:c>
      <x:c r="G45" s="73" t="s">
        <x:v>38</x:v>
      </x:c>
      <x:c r="H45" s="76" t="s">
        <x:v>38</x:v>
      </x:c>
      <x:c r="I45" s="1"/>
      <x:c r="J45" s="1"/>
      <x:c r="K45" s="1"/>
    </x:row>
    <x:row r="46">
      <x:c r="B46" s="17" t="s">
        <x:v>123</x:v>
      </x:c>
      <x:c r="C46" s="20"/>
      <x:c r="D46" s="20"/>
      <x:c r="E46" s="20"/>
      <x:c r="F46" s="20"/>
      <x:c r="G46" s="20"/>
      <x:c r="H46" s="21"/>
      <x:c r="I46" s="1"/>
      <x:c r="J46" s="1"/>
      <x:c r="K46" s="1"/>
    </x:row>
    <x:row r="47">
      <x:c r="B47" s="1"/>
      <x:c r="C47" s="4"/>
      <x:c r="D47" s="4"/>
      <x:c r="E47" s="4"/>
      <x:c r="F47" s="4"/>
      <x:c r="G47" s="4"/>
      <x:c r="H47" s="3"/>
      <x:c r="I47" s="1"/>
      <x:c r="J47" s="1"/>
      <x:c r="K47" s="1"/>
    </x:row>
    <x:row r="48">
      <x:c r="B48" s="35" t="s">
        <x:v>124</x:v>
      </x:c>
      <x:c r="C48" s="8" t="n">
        <x:f>IFERROR(C9/C29,0)</x:f>
        <x:v>0.8008181246066708</x:v>
      </x:c>
      <x:c r="D48" s="8" t="n">
        <x:f>IFERROR(D9/D29,0)</x:f>
        <x:v>0.7582013574660633</x:v>
      </x:c>
      <x:c r="E48" s="8" t="n">
        <x:f>IFERROR(E9/E29,0)</x:f>
        <x:v>0.7643312101910829</x:v>
      </x:c>
      <x:c r="F48" s="8" t="n">
        <x:f>IFERROR(F9/F29,0)</x:f>
        <x:v>0.7805568664464371</x:v>
      </x:c>
      <x:c r="G48" s="8" t="n">
        <x:f>IFERROR(G9/G29,0)</x:f>
        <x:v>0.7752907172144922</x:v>
      </x:c>
      <x:c r="H48" s="42" t="n">
        <x:f>IFERROR(H9/H29,0)</x:f>
        <x:v>0.7926829268292683</x:v>
      </x:c>
      <x:c r="I48" s="1"/>
      <x:c r="J48" s="1"/>
      <x:c r="K48" s="1"/>
    </x:row>
    <x:row r="49">
      <x:c r="B49" s="35" t="s">
        <x:v>125</x:v>
      </x:c>
      <x:c r="C49" s="45"/>
      <x:c r="D49" s="45"/>
      <x:c r="E49" s="45"/>
      <x:c r="F49" s="45"/>
      <x:c r="G49" s="45"/>
      <x:c r="H49" s="46" t="n">
        <x:f>(H48-C48)*10000</x:f>
        <x:v>-81.35197777402459</x:v>
      </x:c>
      <x:c r="I49" s="1"/>
      <x:c r="J49" s="1"/>
      <x:c r="K49" s="1"/>
    </x:row>
    <x:row r="50">
      <x:c r="B50" s="35" t="s">
        <x:v>126</x:v>
      </x:c>
      <x:c r="C50" s="4"/>
      <x:c r="D50" s="4" t="n">
        <x:f>(D48-C48)*10000</x:f>
        <x:v>-426.1676714060747</x:v>
      </x:c>
      <x:c r="E50" s="4" t="n">
        <x:f>(E48-D48)*10000</x:f>
        <x:v>61.298527250195356</x:v>
      </x:c>
      <x:c r="F50" s="4" t="n">
        <x:f>(F48-E48)*10000</x:f>
        <x:v>162.25656255354215</x:v>
      </x:c>
      <x:c r="G50" s="4"/>
      <x:c r="H50" s="3" t="n">
        <x:f>(H48-F48)*10000</x:f>
        <x:v>121.26060382831261</x:v>
      </x:c>
      <x:c r="I50" s="1"/>
      <x:c r="J50" s="1"/>
      <x:c r="K50" s="1"/>
    </x:row>
    <x:row r="51">
      <x:c r="B51" s="6" t="s">
        <x:v>127</x:v>
      </x:c>
      <x:c r="C51" s="6"/>
      <x:c r="D51" s="6"/>
      <x:c r="E51" s="6"/>
      <x:c r="F51" s="6"/>
      <x:c r="G51" s="6"/>
      <x:c r="H51" s="43">
        <x:v>35</x:v>
      </x:c>
      <x:c r="I51" s="6"/>
      <x:c r="J51" s="6" t="s">
        <x:v>128</x:v>
      </x:c>
      <x:c r="K51" s="34"/>
    </x:row>
    <x:row r="52">
      <x:c r="B52" s="6" t="s">
        <x:v>129</x:v>
      </x:c>
      <x:c r="C52" s="6"/>
      <x:c r="D52" s="6"/>
      <x:c r="E52" s="6"/>
      <x:c r="F52" s="6"/>
      <x:c r="G52" s="6"/>
      <x:c r="H52" s="43">
        <x:v>10</x:v>
      </x:c>
      <x:c r="I52" s="6"/>
      <x:c r="J52" s="6"/>
      <x:c r="K52" s="34"/>
    </x:row>
    <x:row r="53">
      <x:c r="B53" s="6" t="s">
        <x:v>130</x:v>
      </x:c>
      <x:c r="C53" s="6"/>
      <x:c r="D53" s="6"/>
      <x:c r="E53" s="6"/>
      <x:c r="F53" s="6"/>
      <x:c r="G53" s="6"/>
      <x:c r="H53" s="13"/>
      <x:c r="I53" s="6"/>
      <x:c r="J53" s="6"/>
      <x:c r="K53" s="34">
        <x:v>115.3</x:v>
      </x:c>
    </x:row>
    <x:row r="54">
      <x:c r="B54" s="6"/>
      <x:c r="C54" s="6"/>
      <x:c r="D54" s="6"/>
      <x:c r="E54" s="6"/>
      <x:c r="F54" s="6"/>
      <x:c r="G54" s="6"/>
      <x:c r="H54" s="13"/>
      <x:c r="I54" s="6"/>
      <x:c r="J54" s="6"/>
      <x:c r="K54" s="6">
        <x:v>82.2</x:v>
      </x:c>
    </x:row>
    <x:row r="55">
      <x:c r="B55" s="6"/>
      <x:c r="C55" s="6"/>
      <x:c r="D55" s="6"/>
      <x:c r="E55" s="6"/>
      <x:c r="F55" s="6"/>
      <x:c r="G55" s="6"/>
      <x:c r="H55" s="13"/>
      <x:c r="I55" s="6"/>
      <x:c r="J55" s="6"/>
      <x:c r="K55" s="6">
        <x:v>33.2</x:v>
      </x:c>
    </x:row>
    <x:row r="56">
      <x:c r="B56" s="6"/>
      <x:c r="C56" s="6"/>
      <x:c r="D56" s="6"/>
      <x:c r="E56" s="6"/>
      <x:c r="F56" s="6"/>
      <x:c r="G56" s="6"/>
      <x:c r="H56" s="13"/>
      <x:c r="I56" s="6"/>
      <x:c r="J56" s="6"/>
      <x:c r="K56" s="6"/>
    </x:row>
    <x:row r="57">
      <x:c r="B57" s="1" t="s">
        <x:v>131</x:v>
      </x:c>
      <x:c r="C57" s="1"/>
      <x:c r="D57" s="1"/>
      <x:c r="E57" s="1"/>
      <x:c r="F57" s="1"/>
      <x:c r="G57" s="1"/>
      <x:c r="H57" s="36"/>
      <x:c r="I57" s="1"/>
      <x:c r="J57" s="1"/>
      <x:c r="K57" s="1"/>
    </x:row>
    <x:row r="58">
      <x:c r="B58" s="1" t="s">
        <x:v>132</x:v>
      </x:c>
      <x:c r="C58" s="4" t="n">
        <x:f>C29</x:f>
        <x:v>317.8</x:v>
      </x:c>
      <x:c r="D58" s="1"/>
      <x:c r="E58" s="1"/>
      <x:c r="F58" s="1"/>
      <x:c r="G58" s="1"/>
      <x:c r="H58" s="3" t="n">
        <x:f>C29</x:f>
        <x:v>317.8</x:v>
      </x:c>
      <x:c r="I58" s="1"/>
      <x:c r="J58" s="1"/>
      <x:c r="K58" s="1"/>
    </x:row>
    <x:row r="59">
      <x:c r="B59" s="1" t="s">
        <x:v>133</x:v>
      </x:c>
      <x:c r="C59" s="1"/>
      <x:c r="D59" s="1"/>
      <x:c r="E59" s="1"/>
      <x:c r="F59" s="1"/>
      <x:c r="G59" s="1"/>
      <x:c r="H59" s="36" t="n">
        <x:f>SUM((C9+H51-H52)*H61,(C19+H52)*H62)</x:f>
        <x:v>57.200000000000024</x:v>
      </x:c>
      <x:c r="I59" s="1"/>
      <x:c r="J59" s="1"/>
      <x:c r="K59" s="1"/>
    </x:row>
    <x:row r="60">
      <x:c r="B60" s="1" t="s">
        <x:v>134</x:v>
      </x:c>
      <x:c r="C60" s="1"/>
      <x:c r="D60" s="1"/>
      <x:c r="E60" s="1"/>
      <x:c r="F60" s="1"/>
      <x:c r="G60" s="1"/>
      <x:c r="H60" s="3" t="n">
        <x:f>H51</x:f>
        <x:v>35</x:v>
      </x:c>
      <x:c r="I60" s="1"/>
      <x:c r="J60" s="1"/>
      <x:c r="K60" s="1"/>
    </x:row>
    <x:row r="61">
      <x:c r="B61" s="35" t="s">
        <x:v>135</x:v>
      </x:c>
      <x:c r="C61" s="8"/>
      <x:c r="D61" s="8"/>
      <x:c r="E61" s="8"/>
      <x:c r="F61" s="8"/>
      <x:c r="G61" s="8"/>
      <x:c r="H61" s="44">
        <x:v>0.16279069767441867</x:v>
      </x:c>
      <x:c r="I61" s="1"/>
      <x:c r="J61" s="1" t="s">
        <x:v>136</x:v>
      </x:c>
      <x:c r="K61" s="1"/>
    </x:row>
    <x:row r="62">
      <x:c r="B62" s="35" t="s">
        <x:v>137</x:v>
      </x:c>
      <x:c r="C62" s="8"/>
      <x:c r="D62" s="8"/>
      <x:c r="E62" s="8"/>
      <x:c r="F62" s="8"/>
      <x:c r="G62" s="8"/>
      <x:c r="H62" s="44">
        <x:v>0.15961800818553895</x:v>
      </x:c>
      <x:c r="I62" s="1"/>
      <x:c r="J62" s="1"/>
      <x:c r="K62" s="1"/>
    </x:row>
    <x:row r="63">
      <x:c r="B63" s="1" t="s">
        <x:v>138</x:v>
      </x:c>
      <x:c r="C63" s="1"/>
      <x:c r="D63" s="1"/>
      <x:c r="E63" s="1"/>
      <x:c r="F63" s="1"/>
      <x:c r="G63" s="1"/>
      <x:c r="H63" s="3" t="n">
        <x:f>H29-SUM(H58:H60)</x:f>
        <x:v>-5.684341886080802e-14</x:v>
      </x:c>
      <x:c r="I63" s="1"/>
      <x:c r="J63" s="1"/>
      <x:c r="K63" s="1"/>
    </x:row>
    <x:row r="64">
      <x:c r="B64" s="1"/>
      <x:c r="C64" s="1"/>
      <x:c r="D64" s="1"/>
      <x:c r="E64" s="1"/>
      <x:c r="F64" s="1"/>
      <x:c r="G64" s="1"/>
      <x:c r="H64" s="36"/>
      <x:c r="I64" s="1"/>
      <x:c r="J64" s="1"/>
      <x:c r="K64" s="1"/>
    </x:row>
    <x:row r="65">
      <x:c r="B65" s="1" t="s">
        <x:v>139</x:v>
      </x:c>
      <x:c r="C65" s="1"/>
      <x:c r="D65" s="1"/>
      <x:c r="E65" s="1"/>
      <x:c r="F65" s="1"/>
      <x:c r="G65" s="1"/>
      <x:c r="H65" s="36"/>
      <x:c r="I65" s="1"/>
      <x:c r="J65" s="1"/>
      <x:c r="K65" s="1"/>
    </x:row>
    <x:row r="66">
      <x:c r="B66" s="1"/>
      <x:c r="C66" s="1"/>
      <x:c r="D66" s="1"/>
      <x:c r="E66" s="1"/>
      <x:c r="F66" s="1"/>
      <x:c r="G66" s="1"/>
      <x:c r="H66" s="36"/>
      <x:c r="I66" s="1"/>
      <x:c r="J66" s="1"/>
      <x:c r="K66" s="1"/>
    </x:row>
    <x:row r="67">
      <x:c r="B67" s="1" t="s">
        <x:v>140</x:v>
      </x:c>
      <x:c r="C67" s="69" t="s">
        <x:v>38</x:v>
      </x:c>
      <x:c r="D67" s="69" t="s">
        <x:v>38</x:v>
      </x:c>
      <x:c r="E67" s="69" t="s">
        <x:v>38</x:v>
      </x:c>
      <x:c r="F67" s="69" t="s">
        <x:v>38</x:v>
      </x:c>
      <x:c r="G67" s="69" t="s">
        <x:v>38</x:v>
      </x:c>
      <x:c r="H67" s="70" t="s">
        <x:v>38</x:v>
      </x:c>
      <x:c r="I67" s="1"/>
      <x:c r="J67" s="1" t="s">
        <x:v>141</x:v>
      </x:c>
      <x:c r="K67" s="1"/>
    </x:row>
    <x:row r="68">
      <x:c r="B68" s="1" t="s">
        <x:v>142</x:v>
      </x:c>
      <x:c r="C68" s="69" t="s">
        <x:v>38</x:v>
      </x:c>
      <x:c r="D68" s="69" t="s">
        <x:v>38</x:v>
      </x:c>
      <x:c r="E68" s="69" t="s">
        <x:v>38</x:v>
      </x:c>
      <x:c r="F68" s="69" t="s">
        <x:v>38</x:v>
      </x:c>
      <x:c r="G68" s="69" t="s">
        <x:v>38</x:v>
      </x:c>
      <x:c r="H68" s="70" t="s">
        <x:v>38</x:v>
      </x:c>
      <x:c r="I68" s="1"/>
      <x:c r="J68" s="1"/>
      <x:c r="K68" s="1"/>
    </x:row>
    <x:row r="69">
      <x:c r="B69" s="1" t="s">
        <x:v>143</x:v>
      </x:c>
      <x:c r="C69" s="69" t="s">
        <x:v>38</x:v>
      </x:c>
      <x:c r="D69" s="69" t="s">
        <x:v>38</x:v>
      </x:c>
      <x:c r="E69" s="69" t="s">
        <x:v>38</x:v>
      </x:c>
      <x:c r="F69" s="69" t="s">
        <x:v>38</x:v>
      </x:c>
      <x:c r="G69" s="69" t="s">
        <x:v>38</x:v>
      </x:c>
      <x:c r="H69" s="70" t="s">
        <x:v>38</x:v>
      </x:c>
      <x:c r="I69" s="1"/>
      <x:c r="J69" s="1"/>
      <x:c r="K69" s="1"/>
    </x:row>
    <x:row r="70">
      <x:c r="B70" s="1" t="s">
        <x:v>144</x:v>
      </x:c>
      <x:c r="C70" s="69" t="s">
        <x:v>38</x:v>
      </x:c>
      <x:c r="D70" s="69" t="s">
        <x:v>38</x:v>
      </x:c>
      <x:c r="E70" s="69" t="s">
        <x:v>38</x:v>
      </x:c>
      <x:c r="F70" s="69" t="s">
        <x:v>38</x:v>
      </x:c>
      <x:c r="G70" s="69" t="s">
        <x:v>38</x:v>
      </x:c>
      <x:c r="H70" s="70" t="s">
        <x:v>38</x:v>
      </x:c>
      <x:c r="I70" s="1"/>
      <x:c r="J70" s="1"/>
      <x:c r="K70" s="1"/>
    </x:row>
    <x:row r="71">
      <x:c r="B71" s="1" t="s">
        <x:v>145</x:v>
      </x:c>
      <x:c r="C71" s="69" t="s">
        <x:v>38</x:v>
      </x:c>
      <x:c r="D71" s="69" t="s">
        <x:v>38</x:v>
      </x:c>
      <x:c r="E71" s="69" t="s">
        <x:v>38</x:v>
      </x:c>
      <x:c r="F71" s="69" t="s">
        <x:v>38</x:v>
      </x:c>
      <x:c r="G71" s="69" t="s">
        <x:v>38</x:v>
      </x:c>
      <x:c r="H71" s="70" t="s">
        <x:v>38</x:v>
      </x:c>
      <x:c r="I71" s="1"/>
      <x:c r="J71" s="1"/>
      <x:c r="K71" s="1"/>
    </x:row>
    <x:row r="72">
      <x:c r="B72" s="1" t="s">
        <x:v>146</x:v>
      </x:c>
      <x:c r="C72" s="69" t="s">
        <x:v>38</x:v>
      </x:c>
      <x:c r="D72" s="69" t="s">
        <x:v>38</x:v>
      </x:c>
      <x:c r="E72" s="69" t="s">
        <x:v>38</x:v>
      </x:c>
      <x:c r="F72" s="69" t="s">
        <x:v>38</x:v>
      </x:c>
      <x:c r="G72" s="69" t="s">
        <x:v>38</x:v>
      </x:c>
      <x:c r="H72" s="70" t="s">
        <x:v>38</x:v>
      </x:c>
      <x:c r="I72" s="1"/>
      <x:c r="J72" s="1"/>
      <x:c r="K72" s="1"/>
    </x:row>
    <x:row r="73">
      <x:c r="B73" s="6"/>
      <x:c r="C73" s="6"/>
      <x:c r="D73" s="6"/>
      <x:c r="E73" s="6"/>
      <x:c r="F73" s="6"/>
      <x:c r="G73" s="6"/>
      <x:c r="H73" s="13"/>
      <x:c r="I73" s="6"/>
      <x:c r="J73" s="6"/>
      <x:c r="K73" s="6"/>
    </x:row>
    <x:row r="74">
      <x:c r="B74" s="1" t="s">
        <x:v>147</x:v>
      </x:c>
      <x:c r="C74" s="1"/>
      <x:c r="D74" s="1"/>
      <x:c r="E74" s="1"/>
      <x:c r="F74" s="1"/>
      <x:c r="G74" s="1"/>
      <x:c r="H74" s="3" t="n">
        <x:f>H58</x:f>
        <x:v>317.8</x:v>
      </x:c>
    </x:row>
    <x:row r="75">
      <x:c r="B75" s="35" t="s">
        <x:v>148</x:v>
      </x:c>
      <x:c r="C75" s="1"/>
      <x:c r="D75" s="1"/>
      <x:c r="E75" s="1"/>
      <x:c r="F75" s="1"/>
      <x:c r="G75" s="1"/>
      <x:c r="H75" s="42" t="n">
        <x:f>H74/C29-1</x:f>
        <x:v>0</x:v>
      </x:c>
    </x:row>
    <x:row r="76">
      <x:c r="B76" s="1" t="s">
        <x:v>149</x:v>
      </x:c>
      <x:c r="C76" s="1"/>
      <x:c r="D76" s="1"/>
      <x:c r="E76" s="1"/>
      <x:c r="F76" s="1"/>
      <x:c r="G76" s="1"/>
      <x:c r="H76" s="3" t="n">
        <x:f>H74-F29</x:f>
        <x:v>-106.00000000000006</x:v>
      </x:c>
    </x:row>
    <x:row r="77">
      <x:c r="B77" s="1" t="s">
        <x:v>150</x:v>
      </x:c>
      <x:c r="C77" s="1"/>
      <x:c r="D77" s="1"/>
      <x:c r="E77" s="1"/>
      <x:c r="F77" s="1"/>
      <x:c r="G77" s="1"/>
      <x:c r="H77" s="3" t="n">
        <x:f>H59</x:f>
        <x:v>57.200000000000024</x:v>
      </x:c>
    </x:row>
    <x:row r="78">
      <x:c r="B78" s="35" t="s">
        <x:v>151</x:v>
      </x:c>
      <x:c r="C78" s="1"/>
      <x:c r="D78" s="1"/>
      <x:c r="E78" s="1"/>
      <x:c r="F78" s="1"/>
      <x:c r="G78" s="1"/>
      <x:c r="H78" s="42" t="n">
        <x:f>H77/C29</x:f>
        <x:v>0.17998741346758976</x:v>
      </x:c>
    </x:row>
    <x:row r="79">
      <x:c r="B79" s="1" t="s">
        <x:v>152</x:v>
      </x:c>
      <x:c r="C79" s="1"/>
      <x:c r="D79" s="1"/>
      <x:c r="E79" s="1"/>
      <x:c r="F79" s="1"/>
      <x:c r="G79" s="1"/>
      <x:c r="H79" s="76" t="s">
        <x:v>38</x:v>
      </x:c>
    </x:row>
    <x:row r="80">
      <x:c r="B80" s="1" t="s">
        <x:v>153</x:v>
      </x:c>
      <x:c r="C80" s="1"/>
      <x:c r="D80" s="1"/>
      <x:c r="E80" s="1"/>
      <x:c r="F80" s="1"/>
      <x:c r="G80" s="1"/>
      <x:c r="H80" s="76" t="n">
        <x:f>H60</x:f>
        <x:v>35</x:v>
      </x:c>
    </x:row>
    <x:row r="81">
      <x:c r="B81" s="35" t="s">
        <x:v>151</x:v>
      </x:c>
      <x:c r="C81" s="1"/>
      <x:c r="D81" s="1"/>
      <x:c r="E81" s="1"/>
      <x:c r="F81" s="1"/>
      <x:c r="G81" s="1"/>
      <x:c r="H81" s="75" t="n">
        <x:f>H80/C29</x:f>
        <x:v>0.11013215859030837</x:v>
      </x:c>
    </x:row>
    <x:row r="82">
      <x:c r="B82" s="1" t="s">
        <x:v>154</x:v>
      </x:c>
      <x:c r="C82" s="1"/>
      <x:c r="D82" s="1"/>
      <x:c r="E82" s="1"/>
      <x:c r="F82" s="1"/>
      <x:c r="G82" s="1"/>
      <x:c r="H82" s="76" t="s">
        <x:v>38</x:v>
      </x:c>
    </x:row>
    <x:row r="83">
      <x:c r="B83" s="35" t="s">
        <x:v>155</x:v>
      </x:c>
      <x:c r="C83" s="1"/>
      <x:c r="D83" s="1"/>
      <x:c r="E83" s="1"/>
      <x:c r="F83" s="1"/>
      <x:c r="G83" s="1"/>
      <x:c r="H83" s="75" t="n">
        <x:f>H61</x:f>
        <x:v>0.16279069767441867</x:v>
      </x:c>
      <x:c r="J83" t="s">
        <x:v>156</x:v>
      </x:c>
    </x:row>
    <x:row r="84">
      <x:c r="B84" s="1" t="s">
        <x:v>157</x:v>
      </x:c>
      <x:c r="C84" s="1"/>
      <x:c r="D84" s="1"/>
      <x:c r="E84" s="1"/>
      <x:c r="F84" s="1"/>
      <x:c r="G84" s="1"/>
      <x:c r="H84" s="76" t="s">
        <x:v>38</x:v>
      </x:c>
    </x:row>
    <x:row r="85">
      <x:c r="B85" s="1" t="s">
        <x:v>158</x:v>
      </x:c>
      <x:c r="C85" s="1"/>
      <x:c r="D85" s="1"/>
      <x:c r="E85" s="1"/>
      <x:c r="F85" s="1"/>
      <x:c r="G85" s="1"/>
      <x:c r="H85" s="76" t="s">
        <x:v>38</x:v>
      </x:c>
    </x:row>
    <x:row r="86">
      <x:c r="B86" s="35" t="s">
        <x:v>159</x:v>
      </x:c>
      <x:c r="C86" s="1"/>
      <x:c r="D86" s="1"/>
      <x:c r="E86" s="1"/>
      <x:c r="F86" s="1"/>
      <x:c r="G86" s="1"/>
      <x:c r="H86" s="75" t="n">
        <x:f>H62</x:f>
        <x:v>0.15961800818553895</x:v>
      </x:c>
    </x:row>
    <x:row r="87">
      <x:c r="B87" s="1" t="s">
        <x:v>157</x:v>
      </x:c>
      <x:c r="C87" s="1"/>
      <x:c r="D87" s="1"/>
      <x:c r="E87" s="1"/>
      <x:c r="F87" s="1"/>
      <x:c r="G87" s="1"/>
      <x:c r="H87" s="76" t="s">
        <x:v>38</x:v>
      </x:c>
    </x:row>
    <x:row r="88">
      <x:c r="B88" s="1" t="s">
        <x:v>158</x:v>
      </x:c>
      <x:c r="C88" s="1"/>
      <x:c r="D88" s="1"/>
      <x:c r="E88" s="1"/>
      <x:c r="F88" s="1"/>
      <x:c r="G88" s="1"/>
      <x:c r="H88" s="76" t="s">
        <x:v>38</x:v>
      </x:c>
    </x:row>
    <x:row r="89">
      <x:c r="B89" s="1" t="s">
        <x:v>160</x:v>
      </x:c>
      <x:c r="C89" s="1"/>
      <x:c r="D89" s="1"/>
      <x:c r="E89" s="1"/>
      <x:c r="F89" s="1"/>
      <x:c r="G89" s="1"/>
      <x:c r="H89" s="3" t="n">
        <x:f>SUM(H74,H77,H80)</x:f>
        <x:v>410.00000000000006</x:v>
      </x:c>
    </x:row>
    <x:row r="90">
      <x:c r="B90" s="1" t="s">
        <x:v>161</x:v>
      </x:c>
      <x:c r="C90" s="1"/>
      <x:c r="D90" s="1"/>
      <x:c r="E90" s="1"/>
      <x:c r="F90" s="1"/>
      <x:c r="G90" s="1"/>
      <x:c r="H90" s="3" t="n">
        <x:f>H89-H29</x:f>
        <x:v>5.684341886080802e-14</x:v>
      </x:c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f0430093148e413a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  <x:col min="11" max="11" width="25" customWidth="1"/>
    <x:col min="12" max="15" width="1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162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72" t="s">
        <x:v>98</x:v>
      </x:c>
      <x:c r="L8" s="69" t="s">
        <x:v>99</x:v>
      </x:c>
      <x:c r="M8" s="69" t="s">
        <x:v>100</x:v>
      </x:c>
      <x:c r="N8" s="69" t="s">
        <x:v>101</x:v>
      </x:c>
      <x:c r="O8" s="69" t="s">
        <x:v>102</x:v>
      </x:c>
    </x:row>
    <x:row r="9">
      <x:c r="B9" s="1" t="s">
        <x:v>103</x:v>
      </x:c>
      <x:c r="C9" s="18">
        <x:v>206.6</x:v>
      </x:c>
      <x:c r="D9" s="18">
        <x:v>236.6</x:v>
      </x:c>
      <x:c r="E9" s="18">
        <x:v>258.9</x:v>
      </x:c>
      <x:c r="F9" s="4" t="n">
        <x:f>G9-SUM(C9:E9)</x:f>
        <x:v>288.10000000000014</x:v>
      </x:c>
      <x:c r="G9" s="18">
        <x:v>990.2</x:v>
      </x:c>
      <x:c r="H9" s="3" t="n">
        <x:f>(C9+H51-H52)*(1+H61)</x:f>
        <x:v>255.99999999999997</x:v>
      </x:c>
      <x:c r="I9" s="1"/>
      <x:c r="J9" s="1" t="s">
        <x:v>104</x:v>
      </x:c>
      <x:c r="K9" s="34">
        <x:v>838.4</x:v>
      </x:c>
      <x:c r="L9" s="34">
        <x:v>199.9</x:v>
      </x:c>
      <x:c r="M9" s="34">
        <x:v>217.5</x:v>
      </x:c>
      <x:c r="N9" s="34">
        <x:v>205.8</x:v>
      </x:c>
      <x:c r="O9" s="34">
        <x:v>215.2</x:v>
      </x:c>
    </x:row>
    <x:row r="10">
      <x:c r="B10" s="35" t="s">
        <x:v>105</x:v>
      </x:c>
      <x:c r="C10" s="8"/>
      <x:c r="D10" s="8"/>
      <x:c r="E10" s="8"/>
      <x:c r="F10" s="8"/>
      <x:c r="G10" s="8" t="n">
        <x:f>IFERROR(G9/K9-1,0)</x:f>
        <x:v>0.18105916030534353</x:v>
      </x:c>
      <x:c r="H10" s="42" t="n">
        <x:f>IFERROR(H9/C9-1,0)</x:f>
        <x:v>0.23910939012584698</x:v>
      </x:c>
      <x:c r="I10" s="1"/>
      <x:c r="J10" s="1"/>
      <x:c r="K10" s="1"/>
      <x:c r="L10" s="34"/>
      <x:c r="M10" s="34"/>
      <x:c r="N10" s="34"/>
      <x:c r="O10" s="34"/>
    </x:row>
    <x:row r="11">
      <x:c r="B11" s="1" t="s">
        <x:v>106</x:v>
      </x:c>
      <x:c r="C11" s="4"/>
      <x:c r="D11" s="4" t="n">
        <x:f>D9-C9</x:f>
        <x:v>30</x:v>
      </x:c>
      <x:c r="E11" s="4" t="n">
        <x:f>E9-D9</x:f>
        <x:v>22.299999999999983</x:v>
      </x:c>
      <x:c r="F11" s="4" t="n">
        <x:f>F9-E9</x:f>
        <x:v>29.20000000000016</x:v>
      </x:c>
      <x:c r="G11" s="4"/>
      <x:c r="H11" s="3" t="n">
        <x:f>H9-F9</x:f>
        <x:v>-32.100000000000165</x:v>
      </x:c>
      <x:c r="I11" s="1"/>
      <x:c r="J11" s="1"/>
      <x:c r="K11" s="1"/>
      <x:c r="L11" s="34"/>
      <x:c r="M11" s="34"/>
      <x:c r="N11" s="34"/>
      <x:c r="O11" s="34"/>
    </x:row>
    <x:row r="12">
      <x:c r="B12" s="35" t="s">
        <x:v>107</x:v>
      </x:c>
      <x:c r="C12" s="47" t="n">
        <x:f>IFERROR(C9/C29,0)</x:f>
        <x:v>0.9125441696113074</x:v>
      </x:c>
      <x:c r="D12" s="47" t="n">
        <x:f>IFERROR(D9/D29,0)</x:f>
        <x:v>0.9181218471090415</x:v>
      </x:c>
      <x:c r="E12" s="47" t="n">
        <x:f>IFERROR(E9/E29,0)</x:f>
        <x:v>0.9171094580233794</x:v>
      </x:c>
      <x:c r="F12" s="47" t="n">
        <x:f>IFERROR(F9/F29,0)</x:f>
        <x:v>0.916348600508906</x:v>
      </x:c>
      <x:c r="G12" s="8" t="n">
        <x:f>IFERROR(G9/G29,0)</x:f>
        <x:v>0.9161732050333088</x:v>
      </x:c>
      <x:c r="H12" s="42" t="n">
        <x:f>IFERROR(H9/H29,0)</x:f>
        <x:v>0.9078014184397162</x:v>
      </x:c>
      <x:c r="I12" s="1"/>
      <x:c r="J12" s="1"/>
      <x:c r="K12" s="1"/>
      <x:c r="L12" s="34"/>
      <x:c r="M12" s="34"/>
      <x:c r="N12" s="34"/>
      <x:c r="O12" s="34"/>
    </x:row>
    <x:row r="13">
      <x:c r="B13" s="35" t="s">
        <x:v>108</x:v>
      </x:c>
      <x:c r="C13" s="4"/>
      <x:c r="D13" s="4" t="n">
        <x:f>(D12-C12)*10000</x:f>
        <x:v>55.7767749773419</x:v>
      </x:c>
      <x:c r="E13" s="4" t="n">
        <x:f>(E12-D12)*10000</x:f>
        <x:v>-10.123890856621465</x:v>
      </x:c>
      <x:c r="F13" s="4" t="n">
        <x:f>(F12-E12)*10000</x:f>
        <x:v>-7.60857514473412</x:v>
      </x:c>
      <x:c r="G13" s="45" t="n">
        <x:f>(G12-K9/K29)*10000</x:f>
        <x:v>156.36148105274472</x:v>
      </x:c>
      <x:c r="H13" s="46" t="n">
        <x:f>(H12-C12)*10000</x:f>
        <x:v>-47.42751171591175</x:v>
      </x:c>
      <x:c r="I13" s="1"/>
      <x:c r="J13" s="1"/>
      <x:c r="K13" s="1"/>
      <x:c r="L13" s="34"/>
      <x:c r="M13" s="34"/>
      <x:c r="N13" s="34"/>
      <x:c r="O13" s="34"/>
    </x:row>
    <x:row r="14">
      <x:c r="B14" s="35" t="s">
        <x:v>62</x:v>
      </x:c>
      <x:c r="C14" s="8"/>
      <x:c r="D14" s="8"/>
      <x:c r="E14" s="8"/>
      <x:c r="F14" s="8"/>
      <x:c r="G14" s="8" t="n">
        <x:f>(1+G17)/((1+G15)*(1+G16))-1</x:f>
        <x:v>0.021351211964930394</x:v>
      </x:c>
      <x:c r="H14" s="42" t="n">
        <x:f>(1+H17)/((1+H15)*(1+H16))-1</x:f>
        <x:v>0.03811841038118402</x:v>
      </x:c>
      <x:c r="I14" s="1"/>
      <x:c r="J14" s="1"/>
      <x:c r="K14" s="1"/>
      <x:c r="L14" s="34"/>
      <x:c r="M14" s="34"/>
      <x:c r="N14" s="34"/>
      <x:c r="O14" s="34"/>
    </x:row>
    <x:row r="15">
      <x:c r="B15" s="35" t="s">
        <x:v>63</x:v>
      </x:c>
      <x:c r="C15" s="8"/>
      <x:c r="D15" s="8"/>
      <x:c r="E15" s="8"/>
      <x:c r="F15" s="8"/>
      <x:c r="G15" s="8" t="n">
        <x:f>K53/K9</x:f>
        <x:v>0.1563692748091603</x:v>
      </x:c>
      <x:c r="H15" s="42" t="n">
        <x:f>(H51-H52)/C9</x:f>
        <x:v>0.1936108422071636</x:v>
      </x:c>
      <x:c r="I15" s="1"/>
      <x:c r="J15" s="1"/>
      <x:c r="K15" s="1"/>
      <x:c r="L15" s="34"/>
      <x:c r="M15" s="34"/>
      <x:c r="N15" s="34"/>
      <x:c r="O15" s="34"/>
    </x:row>
    <x:row r="16">
      <x:c r="B16" s="35" t="s">
        <x:v>109</x:v>
      </x:c>
      <x:c r="C16" s="8"/>
      <x:c r="D16" s="8"/>
      <x:c r="E16" s="8"/>
      <x:c r="F16" s="8"/>
      <x:c r="G16" s="48">
        <x:v>0</x:v>
      </x:c>
      <x:c r="H16" s="44">
        <x:v>0</x:v>
      </x:c>
      <x:c r="I16" s="1"/>
      <x:c r="J16" s="1"/>
      <x:c r="K16" s="1"/>
      <x:c r="L16" s="34"/>
      <x:c r="M16" s="34"/>
      <x:c r="N16" s="34"/>
      <x:c r="O16" s="34"/>
    </x:row>
    <x:row r="17">
      <x:c r="B17" s="35" t="s">
        <x:v>84</x:v>
      </x:c>
      <x:c r="C17" s="8"/>
      <x:c r="D17" s="8"/>
      <x:c r="E17" s="8"/>
      <x:c r="F17" s="8"/>
      <x:c r="G17" s="8" t="n">
        <x:f>G10</x:f>
        <x:v>0.18105916030534353</x:v>
      </x:c>
      <x:c r="H17" s="42" t="n">
        <x:f>H10</x:f>
        <x:v>0.23910939012584698</x:v>
      </x:c>
      <x:c r="I17" s="1"/>
      <x:c r="J17" s="1"/>
      <x:c r="K17" s="1"/>
      <x:c r="L17" s="34"/>
      <x:c r="M17" s="34"/>
      <x:c r="N17" s="34"/>
      <x:c r="O17" s="34"/>
    </x:row>
    <x:row r="18">
      <x:c r="B18" s="1"/>
      <x:c r="C18" s="4"/>
      <x:c r="D18" s="4"/>
      <x:c r="E18" s="4"/>
      <x:c r="F18" s="4"/>
      <x:c r="G18" s="4"/>
      <x:c r="H18" s="3"/>
      <x:c r="I18" s="1"/>
      <x:c r="J18" s="1"/>
      <x:c r="K18" s="1"/>
      <x:c r="L18" s="34"/>
      <x:c r="M18" s="34"/>
      <x:c r="N18" s="34"/>
      <x:c r="O18" s="34"/>
    </x:row>
    <x:row r="19">
      <x:c r="B19" s="1" t="s">
        <x:v>110</x:v>
      </x:c>
      <x:c r="C19" s="18">
        <x:v>19.8</x:v>
      </x:c>
      <x:c r="D19" s="18">
        <x:v>21.1</x:v>
      </x:c>
      <x:c r="E19" s="18">
        <x:v>23.4</x:v>
      </x:c>
      <x:c r="F19" s="4" t="n">
        <x:f>G19-SUM(C19:E19)</x:f>
        <x:v>26.299999999999983</x:v>
      </x:c>
      <x:c r="G19" s="18">
        <x:v>90.6</x:v>
      </x:c>
      <x:c r="H19" s="3" t="n">
        <x:f>(C19+H52)*(1+H62)</x:f>
        <x:v>26</x:v>
      </x:c>
      <x:c r="I19" s="1"/>
      <x:c r="J19" s="1"/>
      <x:c r="K19" s="34">
        <x:v>92.6</x:v>
      </x:c>
      <x:c r="L19" s="34">
        <x:v>29.4</x:v>
      </x:c>
      <x:c r="M19" s="34">
        <x:v>22.8</x:v>
      </x:c>
      <x:c r="N19" s="34">
        <x:v>22.9</x:v>
      </x:c>
      <x:c r="O19" s="34">
        <x:v>17.5</x:v>
      </x:c>
    </x:row>
    <x:row r="20">
      <x:c r="B20" s="35" t="s">
        <x:v>105</x:v>
      </x:c>
      <x:c r="C20" s="8"/>
      <x:c r="D20" s="8"/>
      <x:c r="E20" s="8"/>
      <x:c r="F20" s="8"/>
      <x:c r="G20" s="8" t="n">
        <x:f>IFERROR(G19/K19-1,0)</x:f>
        <x:v>-0.021598272138228958</x:v>
      </x:c>
      <x:c r="H20" s="42" t="n">
        <x:f>IFERROR(H19/C19-1,0)</x:f>
        <x:v>0.31313131313131315</x:v>
      </x:c>
      <x:c r="I20" s="1"/>
      <x:c r="J20" s="1"/>
      <x:c r="K20" s="1"/>
    </x:row>
    <x:row r="21">
      <x:c r="B21" s="1" t="s">
        <x:v>106</x:v>
      </x:c>
      <x:c r="C21" s="4"/>
      <x:c r="D21" s="4" t="n">
        <x:f>D19-C19</x:f>
        <x:v>1.3000000000000007</x:v>
      </x:c>
      <x:c r="E21" s="4" t="n">
        <x:f>E19-D19</x:f>
        <x:v>2.299999999999997</x:v>
      </x:c>
      <x:c r="F21" s="4" t="n">
        <x:f>F19-E19</x:f>
        <x:v>2.8999999999999844</x:v>
      </x:c>
      <x:c r="G21" s="4"/>
      <x:c r="H21" s="3" t="n">
        <x:f>H19-F19</x:f>
        <x:v>-0.29999999999998295</x:v>
      </x:c>
      <x:c r="I21" s="1"/>
      <x:c r="J21" s="1"/>
      <x:c r="K21" s="1"/>
    </x:row>
    <x:row r="22">
      <x:c r="B22" s="35" t="s">
        <x:v>111</x:v>
      </x:c>
      <x:c r="C22" s="47" t="n">
        <x:f>IFERROR(C19/C29,0)</x:f>
        <x:v>0.08745583038869258</x:v>
      </x:c>
      <x:c r="D22" s="47" t="n">
        <x:f>IFERROR(D19/D29,0)</x:f>
        <x:v>0.08187815289095848</x:v>
      </x:c>
      <x:c r="E22" s="47" t="n">
        <x:f>IFERROR(E19/E29,0)</x:f>
        <x:v>0.08289054197662063</x:v>
      </x:c>
      <x:c r="F22" s="47" t="n">
        <x:f>IFERROR(F19/F29,0)</x:f>
        <x:v>0.08365139949109407</x:v>
      </x:c>
      <x:c r="G22" s="8" t="n">
        <x:f>IFERROR(G19/G29,0)</x:f>
        <x:v>0.08382679496669133</x:v>
      </x:c>
      <x:c r="H22" s="42" t="n">
        <x:f>IFERROR(H19/H29,0)</x:f>
        <x:v>0.09219858156028368</x:v>
      </x:c>
      <x:c r="I22" s="1"/>
      <x:c r="J22" s="1"/>
      <x:c r="K22" s="1"/>
    </x:row>
    <x:row r="23">
      <x:c r="B23" s="35" t="s">
        <x:v>108</x:v>
      </x:c>
      <x:c r="C23" s="4"/>
      <x:c r="D23" s="4" t="n">
        <x:f>(D22-C22)*10000</x:f>
        <x:v>-55.776774977340935</x:v>
      </x:c>
      <x:c r="E23" s="4" t="n">
        <x:f>(E22-D22)*10000</x:f>
        <x:v>10.123890856621465</x:v>
      </x:c>
      <x:c r="F23" s="4" t="n">
        <x:f>(F22-E22)*10000</x:f>
        <x:v>7.608575144734397</x:v>
      </x:c>
      <x:c r="G23" s="45" t="n">
        <x:f>(G22-K19/K29)*10000</x:f>
        <x:v>-156.36148105274293</x:v>
      </x:c>
      <x:c r="H23" s="46" t="n">
        <x:f>(H22-C22)*10000</x:f>
        <x:v>47.42751171591106</x:v>
      </x:c>
      <x:c r="I23" s="1"/>
      <x:c r="J23" s="1"/>
      <x:c r="K23" s="1"/>
    </x:row>
    <x:row r="24">
      <x:c r="B24" s="35" t="s">
        <x:v>62</x:v>
      </x:c>
      <x:c r="C24" s="8"/>
      <x:c r="D24" s="8"/>
      <x:c r="E24" s="8"/>
      <x:c r="F24" s="8"/>
      <x:c r="G24" s="8" t="n">
        <x:f>(1+G27)/((1+G25)*(1+G26))-1</x:f>
        <x:v>-0.021598272138228958</x:v>
      </x:c>
      <x:c r="H24" s="42" t="n">
        <x:f>(1+H27)/((1+H25)*(1+H26))-1</x:f>
        <x:v>0.31313131313131315</x:v>
      </x:c>
      <x:c r="I24" s="1"/>
      <x:c r="J24" s="1"/>
      <x:c r="K24" s="1"/>
    </x:row>
    <x:row r="25">
      <x:c r="B25" s="35" t="s">
        <x:v>63</x:v>
      </x:c>
      <x:c r="C25" s="8"/>
      <x:c r="D25" s="8"/>
      <x:c r="E25" s="8"/>
      <x:c r="F25" s="8"/>
      <x:c r="G25" s="48">
        <x:v>0</x:v>
      </x:c>
      <x:c r="H25" s="42" t="n">
        <x:f>IFERROR(H52/C19,0)</x:f>
        <x:v>0</x:v>
      </x:c>
      <x:c r="I25" s="1"/>
      <x:c r="J25" s="1"/>
      <x:c r="K25" s="1"/>
    </x:row>
    <x:row r="26">
      <x:c r="B26" s="35" t="s">
        <x:v>109</x:v>
      </x:c>
      <x:c r="C26" s="8"/>
      <x:c r="D26" s="8"/>
      <x:c r="E26" s="8"/>
      <x:c r="F26" s="8"/>
      <x:c r="G26" s="48">
        <x:v>0</x:v>
      </x:c>
      <x:c r="H26" s="44">
        <x:v>0</x:v>
      </x:c>
      <x:c r="I26" s="1"/>
      <x:c r="J26" s="1"/>
      <x:c r="K26" s="1"/>
    </x:row>
    <x:row r="27">
      <x:c r="B27" s="35" t="s">
        <x:v>84</x:v>
      </x:c>
      <x:c r="C27" s="8"/>
      <x:c r="D27" s="8"/>
      <x:c r="E27" s="8"/>
      <x:c r="F27" s="8"/>
      <x:c r="G27" s="8" t="n">
        <x:f>G20</x:f>
        <x:v>-0.021598272138228958</x:v>
      </x:c>
      <x:c r="H27" s="42" t="n">
        <x:f>H20</x:f>
        <x:v>0.31313131313131315</x:v>
      </x:c>
      <x:c r="I27" s="1"/>
      <x:c r="J27" s="1"/>
      <x:c r="K27" s="1"/>
    </x:row>
    <x:row r="28">
      <x:c r="B28" s="1"/>
      <x:c r="C28" s="4"/>
      <x:c r="D28" s="4"/>
      <x:c r="E28" s="4"/>
      <x:c r="F28" s="4"/>
      <x:c r="G28" s="4"/>
      <x:c r="H28" s="3"/>
      <x:c r="I28" s="1"/>
      <x:c r="J28" s="1"/>
      <x:c r="K28" s="1"/>
    </x:row>
    <x:row r="29">
      <x:c r="B29" s="17" t="s">
        <x:v>112</x:v>
      </x:c>
      <x:c r="C29" s="20" t="n">
        <x:f>SUM(C9,C19)</x:f>
        <x:v>226.4</x:v>
      </x:c>
      <x:c r="D29" s="20" t="n">
        <x:f>SUM(D9,D19)</x:f>
        <x:v>257.7</x:v>
      </x:c>
      <x:c r="E29" s="20" t="n">
        <x:f>SUM(E9,E19)</x:f>
        <x:v>282.29999999999995</x:v>
      </x:c>
      <x:c r="F29" s="20" t="n">
        <x:f>SUM(F9,F19)</x:f>
        <x:v>314.4000000000001</x:v>
      </x:c>
      <x:c r="G29" s="20" t="n">
        <x:f>SUM(G9,G19)</x:f>
        <x:v>1080.8</x:v>
      </x:c>
      <x:c r="H29" s="21" t="n">
        <x:f>SUM(H9,H19)</x:f>
        <x:v>282</x:v>
      </x:c>
      <x:c r="I29" s="1"/>
      <x:c r="J29" s="1"/>
      <x:c r="K29" s="1" t="n">
        <x:f>SUM(K9,K19)</x:f>
        <x:v>931</x:v>
      </x:c>
    </x:row>
    <x:row r="30">
      <x:c r="B30" s="35" t="s">
        <x:v>105</x:v>
      </x:c>
      <x:c r="C30" s="8"/>
      <x:c r="D30" s="8"/>
      <x:c r="E30" s="8"/>
      <x:c r="F30" s="8"/>
      <x:c r="G30" s="8" t="n">
        <x:f>G29/K29-1</x:f>
        <x:v>0.16090225563909777</x:v>
      </x:c>
      <x:c r="H30" s="42" t="n">
        <x:f>IFERROR(H29/C29-1,0)</x:f>
        <x:v>0.24558303886925792</x:v>
      </x:c>
      <x:c r="I30" s="1"/>
      <x:c r="J30" s="1"/>
      <x:c r="K30" s="1"/>
    </x:row>
    <x:row r="31">
      <x:c r="B31" s="1" t="s">
        <x:v>106</x:v>
      </x:c>
      <x:c r="C31" s="4"/>
      <x:c r="D31" s="4" t="n">
        <x:f>D29-C29</x:f>
        <x:v>31.299999999999983</x:v>
      </x:c>
      <x:c r="E31" s="4" t="n">
        <x:f>E29-D29</x:f>
        <x:v>24.599999999999966</x:v>
      </x:c>
      <x:c r="F31" s="4" t="n">
        <x:f>F29-E29</x:f>
        <x:v>32.100000000000136</x:v>
      </x:c>
      <x:c r="G31" s="4"/>
      <x:c r="H31" s="3" t="n">
        <x:f>H29-F29</x:f>
        <x:v>-32.40000000000009</x:v>
      </x:c>
      <x:c r="I31" s="1"/>
      <x:c r="J31" s="1"/>
      <x:c r="K31" s="1"/>
    </x:row>
    <x:row r="32">
      <x:c r="B32" s="35" t="s">
        <x:v>113</x:v>
      </x:c>
      <x:c r="C32" s="27" t="n">
        <x:f>IFERROR(C29/'Revenue summary'!C29,0)</x:f>
        <x:v>0.3061114115738237</x:v>
      </x:c>
      <x:c r="D32" s="27" t="n">
        <x:f>IFERROR(D29/'Revenue summary'!D29,0)</x:f>
        <x:v>0.32402866842700867</x:v>
      </x:c>
      <x:c r="E32" s="27" t="n">
        <x:f>IFERROR(E29/'Revenue summary'!E29,0)</x:f>
        <x:v>0.334043308484203</x:v>
      </x:c>
      <x:c r="F32" s="27" t="n">
        <x:f>IFERROR(F29/'Revenue summary'!F29,0)</x:f>
        <x:v>0.3387931034482759</x:v>
      </x:c>
      <x:c r="G32" s="27" t="n">
        <x:f>IFERROR(G29/'Revenue summary'!G29,0)</x:f>
        <x:v>0.32672309552599754</x:v>
      </x:c>
      <x:c r="H32" s="49" t="n">
        <x:f>IFERROR(H29/'Revenue summary'!H29,0)</x:f>
        <x:v>0.3190045248868778</x:v>
      </x:c>
      <x:c r="I32" s="1"/>
      <x:c r="J32" s="1"/>
      <x:c r="K32" s="1"/>
    </x:row>
    <x:row r="33">
      <x:c r="B33" s="35" t="s">
        <x:v>108</x:v>
      </x:c>
      <x:c r="C33" s="4"/>
      <x:c r="D33" s="4" t="n">
        <x:f>(D32-C32)*10000</x:f>
        <x:v>179.1725685318496</x:v>
      </x:c>
      <x:c r="E33" s="4" t="n">
        <x:f>(E32-D32)*10000</x:f>
        <x:v>100.14640057194325</x:v>
      </x:c>
      <x:c r="F33" s="4" t="n">
        <x:f>(F32-E32)*10000</x:f>
        <x:v>47.49794964072906</x:v>
      </x:c>
      <x:c r="G33" s="4"/>
      <x:c r="H33" s="3" t="n">
        <x:f>(H32-C32)*10000</x:f>
        <x:v>128.93113313054096</x:v>
      </x:c>
      <x:c r="I33" s="1"/>
      <x:c r="J33" s="1"/>
      <x:c r="K33" s="1"/>
    </x:row>
    <x:row r="34">
      <x:c r="B34" s="35" t="s">
        <x:v>62</x:v>
      </x:c>
      <x:c r="C34" s="8"/>
      <x:c r="D34" s="8"/>
      <x:c r="E34" s="8"/>
      <x:c r="F34" s="8"/>
      <x:c r="G34" s="8" t="n">
        <x:f>(1+G37)/((1+G35)*(1+G36))-1</x:f>
        <x:v>0.017606628377742295</x:v>
      </x:c>
      <x:c r="H34" s="42" t="n">
        <x:f>(1+H37)/((1+H35)*(1+H36))-1</x:f>
        <x:v>0.05855855855855863</x:v>
      </x:c>
      <x:c r="I34" s="1"/>
      <x:c r="J34" s="1"/>
      <x:c r="K34" s="1"/>
    </x:row>
    <x:row r="35">
      <x:c r="B35" s="35" t="s">
        <x:v>63</x:v>
      </x:c>
      <x:c r="C35" s="8"/>
      <x:c r="D35" s="8"/>
      <x:c r="E35" s="8"/>
      <x:c r="F35" s="8"/>
      <x:c r="G35" s="8" t="n">
        <x:f>K53/K29</x:f>
        <x:v>0.14081632653061224</x:v>
      </x:c>
      <x:c r="H35" s="42" t="n">
        <x:f>H51/C29</x:f>
        <x:v>0.17667844522968199</x:v>
      </x:c>
      <x:c r="I35" s="1"/>
      <x:c r="J35" s="1"/>
      <x:c r="K35" s="1"/>
    </x:row>
    <x:row r="36">
      <x:c r="B36" s="35" t="s">
        <x:v>109</x:v>
      </x:c>
      <x:c r="C36" s="8"/>
      <x:c r="D36" s="8"/>
      <x:c r="E36" s="8"/>
      <x:c r="F36" s="8"/>
      <x:c r="G36" s="48">
        <x:v>0</x:v>
      </x:c>
      <x:c r="H36" s="44">
        <x:v>0</x:v>
      </x:c>
      <x:c r="I36" s="1"/>
      <x:c r="J36" s="1"/>
      <x:c r="K36" s="1"/>
    </x:row>
    <x:row r="37">
      <x:c r="B37" s="35" t="s">
        <x:v>84</x:v>
      </x:c>
      <x:c r="C37" s="8"/>
      <x:c r="D37" s="8"/>
      <x:c r="E37" s="8"/>
      <x:c r="F37" s="8"/>
      <x:c r="G37" s="8" t="n">
        <x:f>G30</x:f>
        <x:v>0.16090225563909777</x:v>
      </x:c>
      <x:c r="H37" s="42" t="n">
        <x:f>H30</x:f>
        <x:v>0.24558303886925792</x:v>
      </x:c>
      <x:c r="I37" s="1"/>
      <x:c r="J37" s="1"/>
      <x:c r="K37" s="1"/>
    </x:row>
    <x:row r="38">
      <x:c r="B38" s="1"/>
      <x:c r="C38" s="4"/>
      <x:c r="D38" s="4"/>
      <x:c r="E38" s="4"/>
      <x:c r="F38" s="4"/>
      <x:c r="G38" s="4"/>
      <x:c r="H38" s="3"/>
      <x:c r="I38" s="1"/>
      <x:c r="J38" s="1"/>
      <x:c r="K38" s="1"/>
    </x:row>
    <x:row r="39">
      <x:c r="B39" s="17" t="s">
        <x:v>114</x:v>
      </x:c>
      <x:c r="C39" s="5">
        <x:v>20</x:v>
      </x:c>
      <x:c r="D39" s="5">
        <x:v>23.3</x:v>
      </x:c>
      <x:c r="E39" s="5">
        <x:v>19.6</x:v>
      </x:c>
      <x:c r="F39" s="5">
        <x:v>21.7</x:v>
      </x:c>
      <x:c r="G39" s="5">
        <x:v>84.6</x:v>
      </x:c>
      <x:c r="H39" s="21" t="n">
        <x:f>H29*H42</x:f>
        <x:v>21.714</x:v>
      </x:c>
      <x:c r="I39" s="1"/>
      <x:c r="J39" s="1"/>
      <x:c r="K39" s="1">
        <x:v>84</x:v>
      </x:c>
    </x:row>
    <x:row r="40">
      <x:c r="B40" s="35" t="s">
        <x:v>115</x:v>
      </x:c>
      <x:c r="C40" s="8" t="n">
        <x:f>IFERROR(C39/C29,0)</x:f>
        <x:v>0.08833922261484099</x:v>
      </x:c>
      <x:c r="D40" s="8" t="n">
        <x:f>IFERROR(D39/D29,0)</x:f>
        <x:v>0.09041521148622429</x:v>
      </x:c>
      <x:c r="E40" s="8" t="n">
        <x:f>IFERROR(E39/E29,0)</x:f>
        <x:v>0.06942968473255404</x:v>
      </x:c>
      <x:c r="F40" s="8" t="n">
        <x:f>IFERROR(F39/F29,0)</x:f>
        <x:v>0.06902035623409666</x:v>
      </x:c>
      <x:c r="G40" s="8" t="n">
        <x:f>IFERROR(G39/G29,0)</x:f>
        <x:v>0.07827535159141377</x:v>
      </x:c>
      <x:c r="H40" s="42" t="n">
        <x:f>IFERROR(H39/H29,0)</x:f>
        <x:v>0.077</x:v>
      </x:c>
      <x:c r="I40" s="1"/>
      <x:c r="J40" s="1"/>
      <x:c r="K40" s="1"/>
    </x:row>
    <x:row r="41">
      <x:c r="B41" s="35" t="s">
        <x:v>116</x:v>
      </x:c>
      <x:c r="C41" s="4"/>
      <x:c r="D41" s="4" t="n">
        <x:f>(D40-C40)*10000</x:f>
        <x:v>20.759888713832996</x:v>
      </x:c>
      <x:c r="E41" s="4" t="n">
        <x:f>(E40-D40)*10000</x:f>
        <x:v>-209.85526753670254</x:v>
      </x:c>
      <x:c r="F41" s="4" t="n">
        <x:f>(F40-E40)*10000</x:f>
        <x:v>-4.093284984573731</x:v>
      </x:c>
      <x:c r="G41" s="4" t="n">
        <x:f>(G40-K39/K29)*10000</x:f>
        <x:v>-119.50212318360659</x:v>
      </x:c>
      <x:c r="H41" s="3" t="n">
        <x:f>(H40-C40)*10000</x:f>
        <x:v>-113.39222614840993</x:v>
      </x:c>
      <x:c r="I41" s="1"/>
      <x:c r="J41" s="1"/>
      <x:c r="K41" s="1"/>
    </x:row>
    <x:row r="42">
      <x:c r="B42" s="35" t="s">
        <x:v>117</x:v>
      </x:c>
      <x:c r="C42" s="8"/>
      <x:c r="D42" s="8"/>
      <x:c r="E42" s="8"/>
      <x:c r="F42" s="8"/>
      <x:c r="G42" s="8"/>
      <x:c r="H42" s="44">
        <x:v>0.077</x:v>
      </x:c>
      <x:c r="I42" s="1"/>
      <x:c r="J42" s="1"/>
      <x:c r="K42" s="1"/>
    </x:row>
    <x:row r="43">
      <x:c r="B43" s="1" t="s">
        <x:v>118</x:v>
      </x:c>
      <x:c r="C43" s="4"/>
      <x:c r="D43" s="4"/>
      <x:c r="E43" s="4"/>
      <x:c r="F43" s="4"/>
      <x:c r="G43" s="4"/>
      <x:c r="H43" s="3"/>
      <x:c r="I43" s="1"/>
      <x:c r="J43" s="1" t="s">
        <x:v>119</x:v>
      </x:c>
      <x:c r="K43" s="1"/>
    </x:row>
    <x:row r="44">
      <x:c r="B44" s="1" t="s">
        <x:v>163</x:v>
      </x:c>
      <x:c r="C44" s="73" t="s">
        <x:v>38</x:v>
      </x:c>
      <x:c r="D44" s="73" t="s">
        <x:v>38</x:v>
      </x:c>
      <x:c r="E44" s="73" t="s">
        <x:v>38</x:v>
      </x:c>
      <x:c r="F44" s="73" t="s">
        <x:v>38</x:v>
      </x:c>
      <x:c r="G44" s="73" t="s">
        <x:v>38</x:v>
      </x:c>
      <x:c r="H44" s="76" t="s">
        <x:v>38</x:v>
      </x:c>
      <x:c r="I44" s="1"/>
      <x:c r="J44" s="1" t="s">
        <x:v>164</x:v>
      </x:c>
      <x:c r="K44" s="1"/>
    </x:row>
    <x:row r="45">
      <x:c r="B45" s="1" t="s">
        <x:v>165</x:v>
      </x:c>
      <x:c r="C45" s="73" t="s">
        <x:v>38</x:v>
      </x:c>
      <x:c r="D45" s="73" t="s">
        <x:v>38</x:v>
      </x:c>
      <x:c r="E45" s="73" t="s">
        <x:v>38</x:v>
      </x:c>
      <x:c r="F45" s="73" t="s">
        <x:v>38</x:v>
      </x:c>
      <x:c r="G45" s="73" t="s">
        <x:v>38</x:v>
      </x:c>
      <x:c r="H45" s="76" t="s">
        <x:v>38</x:v>
      </x:c>
      <x:c r="I45" s="1"/>
      <x:c r="J45" s="1"/>
      <x:c r="K45" s="1"/>
    </x:row>
    <x:row r="46">
      <x:c r="B46" s="17" t="s">
        <x:v>123</x:v>
      </x:c>
      <x:c r="C46" s="20"/>
      <x:c r="D46" s="20"/>
      <x:c r="E46" s="20"/>
      <x:c r="F46" s="20"/>
      <x:c r="G46" s="20"/>
      <x:c r="H46" s="21"/>
      <x:c r="I46" s="1"/>
      <x:c r="J46" s="1"/>
      <x:c r="K46" s="1"/>
    </x:row>
    <x:row r="47">
      <x:c r="B47" s="1"/>
      <x:c r="C47" s="4"/>
      <x:c r="D47" s="4"/>
      <x:c r="E47" s="4"/>
      <x:c r="F47" s="4"/>
      <x:c r="G47" s="4"/>
      <x:c r="H47" s="3"/>
      <x:c r="I47" s="1"/>
      <x:c r="J47" s="1"/>
      <x:c r="K47" s="1"/>
    </x:row>
    <x:row r="48">
      <x:c r="B48" s="35" t="s">
        <x:v>124</x:v>
      </x:c>
      <x:c r="C48" s="8" t="n">
        <x:f>IFERROR(C9/C29,0)</x:f>
        <x:v>0.9125441696113074</x:v>
      </x:c>
      <x:c r="D48" s="8" t="n">
        <x:f>IFERROR(D9/D29,0)</x:f>
        <x:v>0.9181218471090415</x:v>
      </x:c>
      <x:c r="E48" s="8" t="n">
        <x:f>IFERROR(E9/E29,0)</x:f>
        <x:v>0.9171094580233794</x:v>
      </x:c>
      <x:c r="F48" s="8" t="n">
        <x:f>IFERROR(F9/F29,0)</x:f>
        <x:v>0.916348600508906</x:v>
      </x:c>
      <x:c r="G48" s="8" t="n">
        <x:f>IFERROR(G9/G29,0)</x:f>
        <x:v>0.9161732050333088</x:v>
      </x:c>
      <x:c r="H48" s="42" t="n">
        <x:f>IFERROR(H9/H29,0)</x:f>
        <x:v>0.9078014184397162</x:v>
      </x:c>
      <x:c r="I48" s="1"/>
      <x:c r="J48" s="1"/>
      <x:c r="K48" s="1"/>
    </x:row>
    <x:row r="49">
      <x:c r="B49" s="35" t="s">
        <x:v>125</x:v>
      </x:c>
      <x:c r="C49" s="45"/>
      <x:c r="D49" s="45"/>
      <x:c r="E49" s="45"/>
      <x:c r="F49" s="45"/>
      <x:c r="G49" s="45"/>
      <x:c r="H49" s="46" t="n">
        <x:f>(H48-C48)*10000</x:f>
        <x:v>-47.42751171591175</x:v>
      </x:c>
      <x:c r="I49" s="1"/>
      <x:c r="J49" s="1"/>
      <x:c r="K49" s="1"/>
    </x:row>
    <x:row r="50">
      <x:c r="B50" s="35" t="s">
        <x:v>126</x:v>
      </x:c>
      <x:c r="C50" s="4"/>
      <x:c r="D50" s="4" t="n">
        <x:f>(D48-C48)*10000</x:f>
        <x:v>55.7767749773419</x:v>
      </x:c>
      <x:c r="E50" s="4" t="n">
        <x:f>(E48-D48)*10000</x:f>
        <x:v>-10.123890856621465</x:v>
      </x:c>
      <x:c r="F50" s="4" t="n">
        <x:f>(F48-E48)*10000</x:f>
        <x:v>-7.60857514473412</x:v>
      </x:c>
      <x:c r="G50" s="4"/>
      <x:c r="H50" s="3" t="n">
        <x:f>(H48-F48)*10000</x:f>
        <x:v>-85.47182069189807</x:v>
      </x:c>
      <x:c r="I50" s="1"/>
      <x:c r="J50" s="1"/>
      <x:c r="K50" s="1"/>
    </x:row>
    <x:row r="51">
      <x:c r="B51" s="6" t="s">
        <x:v>127</x:v>
      </x:c>
      <x:c r="C51" s="6"/>
      <x:c r="D51" s="6"/>
      <x:c r="E51" s="6"/>
      <x:c r="F51" s="6"/>
      <x:c r="G51" s="6"/>
      <x:c r="H51" s="43">
        <x:v>40</x:v>
      </x:c>
      <x:c r="I51" s="6"/>
      <x:c r="J51" s="6" t="s">
        <x:v>128</x:v>
      </x:c>
      <x:c r="K51" s="34"/>
    </x:row>
    <x:row r="52">
      <x:c r="B52" s="6" t="s">
        <x:v>129</x:v>
      </x:c>
      <x:c r="C52" s="6"/>
      <x:c r="D52" s="6"/>
      <x:c r="E52" s="6"/>
      <x:c r="F52" s="6"/>
      <x:c r="G52" s="6"/>
      <x:c r="H52" s="43">
        <x:v>0</x:v>
      </x:c>
      <x:c r="I52" s="6"/>
      <x:c r="J52" s="6"/>
      <x:c r="K52" s="1"/>
    </x:row>
    <x:row r="53">
      <x:c r="B53" s="6" t="s">
        <x:v>130</x:v>
      </x:c>
      <x:c r="C53" s="6"/>
      <x:c r="D53" s="6"/>
      <x:c r="E53" s="6"/>
      <x:c r="F53" s="6"/>
      <x:c r="G53" s="6"/>
      <x:c r="H53" s="13"/>
      <x:c r="I53" s="6"/>
      <x:c r="J53" s="6"/>
      <x:c r="K53" s="34">
        <x:v>131.1</x:v>
      </x:c>
    </x:row>
    <x:row r="54">
      <x:c r="B54" s="6"/>
      <x:c r="C54" s="6"/>
      <x:c r="D54" s="6"/>
      <x:c r="E54" s="6"/>
      <x:c r="F54" s="6"/>
      <x:c r="G54" s="6"/>
      <x:c r="H54" s="13"/>
      <x:c r="I54" s="6"/>
      <x:c r="J54" s="6"/>
      <x:c r="K54" s="6"/>
    </x:row>
    <x:row r="55">
      <x:c r="B55" s="6"/>
      <x:c r="C55" s="6"/>
      <x:c r="D55" s="6"/>
      <x:c r="E55" s="6"/>
      <x:c r="F55" s="6"/>
      <x:c r="G55" s="6"/>
      <x:c r="H55" s="13"/>
      <x:c r="I55" s="6"/>
      <x:c r="J55" s="6"/>
      <x:c r="K55" s="6"/>
    </x:row>
    <x:row r="56">
      <x:c r="B56" s="6"/>
      <x:c r="C56" s="6"/>
      <x:c r="D56" s="6"/>
      <x:c r="E56" s="6"/>
      <x:c r="F56" s="6"/>
      <x:c r="G56" s="6"/>
      <x:c r="H56" s="13"/>
      <x:c r="I56" s="6"/>
      <x:c r="J56" s="6"/>
      <x:c r="K56" s="6"/>
    </x:row>
    <x:row r="57">
      <x:c r="B57" s="1" t="s">
        <x:v>131</x:v>
      </x:c>
      <x:c r="C57" s="1"/>
      <x:c r="D57" s="1"/>
      <x:c r="E57" s="1"/>
      <x:c r="F57" s="1"/>
      <x:c r="G57" s="1"/>
      <x:c r="H57" s="36"/>
      <x:c r="I57" s="1"/>
      <x:c r="J57" s="1"/>
      <x:c r="K57" s="1"/>
    </x:row>
    <x:row r="58">
      <x:c r="B58" s="1" t="s">
        <x:v>132</x:v>
      </x:c>
      <x:c r="C58" s="4" t="n">
        <x:f>C29</x:f>
        <x:v>226.4</x:v>
      </x:c>
      <x:c r="D58" s="1"/>
      <x:c r="E58" s="1"/>
      <x:c r="F58" s="1"/>
      <x:c r="G58" s="1"/>
      <x:c r="H58" s="3" t="n">
        <x:f>C29</x:f>
        <x:v>226.4</x:v>
      </x:c>
      <x:c r="I58" s="1"/>
      <x:c r="J58" s="1"/>
      <x:c r="K58" s="1"/>
    </x:row>
    <x:row r="59">
      <x:c r="B59" s="1" t="s">
        <x:v>133</x:v>
      </x:c>
      <x:c r="C59" s="1"/>
      <x:c r="D59" s="1"/>
      <x:c r="E59" s="1"/>
      <x:c r="F59" s="1"/>
      <x:c r="G59" s="1"/>
      <x:c r="H59" s="36" t="n">
        <x:f>SUM((C9+H51-H52)*H61,(C19+H52)*H62)</x:f>
        <x:v>15.59999999999998</x:v>
      </x:c>
      <x:c r="I59" s="1"/>
      <x:c r="J59" s="1"/>
      <x:c r="K59" s="1"/>
    </x:row>
    <x:row r="60">
      <x:c r="B60" s="1" t="s">
        <x:v>134</x:v>
      </x:c>
      <x:c r="C60" s="1"/>
      <x:c r="D60" s="1"/>
      <x:c r="E60" s="1"/>
      <x:c r="F60" s="1"/>
      <x:c r="G60" s="1"/>
      <x:c r="H60" s="3" t="n">
        <x:f>H51</x:f>
        <x:v>40</x:v>
      </x:c>
      <x:c r="I60" s="1"/>
      <x:c r="J60" s="1"/>
      <x:c r="K60" s="1"/>
    </x:row>
    <x:row r="61">
      <x:c r="B61" s="35" t="s">
        <x:v>135</x:v>
      </x:c>
      <x:c r="C61" s="8"/>
      <x:c r="D61" s="8"/>
      <x:c r="E61" s="8"/>
      <x:c r="F61" s="8"/>
      <x:c r="G61" s="8"/>
      <x:c r="H61" s="44">
        <x:v>0.03811841038118402</x:v>
      </x:c>
      <x:c r="I61" s="1"/>
      <x:c r="J61" s="1" t="s">
        <x:v>136</x:v>
      </x:c>
      <x:c r="K61" s="1"/>
    </x:row>
    <x:row r="62">
      <x:c r="B62" s="35" t="s">
        <x:v>137</x:v>
      </x:c>
      <x:c r="C62" s="8"/>
      <x:c r="D62" s="8"/>
      <x:c r="E62" s="8"/>
      <x:c r="F62" s="8"/>
      <x:c r="G62" s="8"/>
      <x:c r="H62" s="44">
        <x:v>0.31313131313131315</x:v>
      </x:c>
      <x:c r="I62" s="1"/>
      <x:c r="J62" s="1"/>
      <x:c r="K62" s="1"/>
    </x:row>
    <x:row r="63">
      <x:c r="B63" s="1" t="s">
        <x:v>138</x:v>
      </x:c>
      <x:c r="C63" s="1"/>
      <x:c r="D63" s="1"/>
      <x:c r="E63" s="1"/>
      <x:c r="F63" s="1"/>
      <x:c r="G63" s="1"/>
      <x:c r="H63" s="3" t="n">
        <x:f>H29-SUM(H58:H60)</x:f>
        <x:v>0</x:v>
      </x:c>
      <x:c r="I63" s="1"/>
      <x:c r="J63" s="1"/>
      <x:c r="K63" s="1"/>
    </x:row>
    <x:row r="64">
      <x:c r="B64" s="1"/>
      <x:c r="C64" s="1"/>
      <x:c r="D64" s="1"/>
      <x:c r="E64" s="1"/>
      <x:c r="F64" s="1"/>
      <x:c r="G64" s="1"/>
      <x:c r="H64" s="36"/>
      <x:c r="I64" s="1"/>
      <x:c r="J64" s="1"/>
      <x:c r="K64" s="1"/>
    </x:row>
    <x:row r="65">
      <x:c r="B65" s="1" t="s">
        <x:v>139</x:v>
      </x:c>
      <x:c r="C65" s="1"/>
      <x:c r="D65" s="1"/>
      <x:c r="E65" s="1"/>
      <x:c r="F65" s="1"/>
      <x:c r="G65" s="1"/>
      <x:c r="H65" s="36"/>
      <x:c r="I65" s="1"/>
      <x:c r="J65" s="1"/>
      <x:c r="K65" s="1"/>
    </x:row>
    <x:row r="66">
      <x:c r="B66" s="1"/>
      <x:c r="C66" s="1"/>
      <x:c r="D66" s="1"/>
      <x:c r="E66" s="1"/>
      <x:c r="F66" s="1"/>
      <x:c r="G66" s="1"/>
      <x:c r="H66" s="36"/>
      <x:c r="I66" s="1"/>
      <x:c r="J66" s="1"/>
      <x:c r="K66" s="1"/>
    </x:row>
    <x:row r="67">
      <x:c r="B67" s="1" t="s">
        <x:v>140</x:v>
      </x:c>
      <x:c r="C67" s="69" t="s">
        <x:v>38</x:v>
      </x:c>
      <x:c r="D67" s="69" t="s">
        <x:v>38</x:v>
      </x:c>
      <x:c r="E67" s="69" t="s">
        <x:v>38</x:v>
      </x:c>
      <x:c r="F67" s="69" t="s">
        <x:v>38</x:v>
      </x:c>
      <x:c r="G67" s="69" t="s">
        <x:v>38</x:v>
      </x:c>
      <x:c r="H67" s="70" t="s">
        <x:v>38</x:v>
      </x:c>
      <x:c r="I67" s="1"/>
      <x:c r="J67" s="1" t="s">
        <x:v>141</x:v>
      </x:c>
      <x:c r="K67" s="1"/>
    </x:row>
    <x:row r="68">
      <x:c r="B68" s="1" t="s">
        <x:v>142</x:v>
      </x:c>
      <x:c r="C68" s="69" t="s">
        <x:v>38</x:v>
      </x:c>
      <x:c r="D68" s="69" t="s">
        <x:v>38</x:v>
      </x:c>
      <x:c r="E68" s="69" t="s">
        <x:v>38</x:v>
      </x:c>
      <x:c r="F68" s="69" t="s">
        <x:v>38</x:v>
      </x:c>
      <x:c r="G68" s="69" t="s">
        <x:v>38</x:v>
      </x:c>
      <x:c r="H68" s="70" t="s">
        <x:v>38</x:v>
      </x:c>
      <x:c r="I68" s="1"/>
      <x:c r="J68" s="1"/>
      <x:c r="K68" s="1"/>
    </x:row>
    <x:row r="69">
      <x:c r="B69" s="1" t="s">
        <x:v>143</x:v>
      </x:c>
      <x:c r="C69" s="69" t="s">
        <x:v>38</x:v>
      </x:c>
      <x:c r="D69" s="69" t="s">
        <x:v>38</x:v>
      </x:c>
      <x:c r="E69" s="69" t="s">
        <x:v>38</x:v>
      </x:c>
      <x:c r="F69" s="69" t="s">
        <x:v>38</x:v>
      </x:c>
      <x:c r="G69" s="69" t="s">
        <x:v>38</x:v>
      </x:c>
      <x:c r="H69" s="70" t="s">
        <x:v>38</x:v>
      </x:c>
      <x:c r="I69" s="1"/>
      <x:c r="J69" s="1"/>
      <x:c r="K69" s="1"/>
    </x:row>
    <x:row r="70">
      <x:c r="B70" s="1" t="s">
        <x:v>144</x:v>
      </x:c>
      <x:c r="C70" s="69" t="s">
        <x:v>38</x:v>
      </x:c>
      <x:c r="D70" s="69" t="s">
        <x:v>38</x:v>
      </x:c>
      <x:c r="E70" s="69" t="s">
        <x:v>38</x:v>
      </x:c>
      <x:c r="F70" s="69" t="s">
        <x:v>38</x:v>
      </x:c>
      <x:c r="G70" s="69" t="s">
        <x:v>38</x:v>
      </x:c>
      <x:c r="H70" s="70" t="s">
        <x:v>38</x:v>
      </x:c>
      <x:c r="I70" s="1"/>
      <x:c r="J70" s="1"/>
      <x:c r="K70" s="1"/>
    </x:row>
    <x:row r="71">
      <x:c r="B71" s="1" t="s">
        <x:v>145</x:v>
      </x:c>
      <x:c r="C71" s="69" t="s">
        <x:v>38</x:v>
      </x:c>
      <x:c r="D71" s="69" t="s">
        <x:v>38</x:v>
      </x:c>
      <x:c r="E71" s="69" t="s">
        <x:v>38</x:v>
      </x:c>
      <x:c r="F71" s="69" t="s">
        <x:v>38</x:v>
      </x:c>
      <x:c r="G71" s="69" t="s">
        <x:v>38</x:v>
      </x:c>
      <x:c r="H71" s="70" t="s">
        <x:v>38</x:v>
      </x:c>
      <x:c r="I71" s="1"/>
      <x:c r="J71" s="1"/>
      <x:c r="K71" s="1"/>
    </x:row>
    <x:row r="72">
      <x:c r="B72" s="1" t="s">
        <x:v>146</x:v>
      </x:c>
      <x:c r="C72" s="69" t="s">
        <x:v>38</x:v>
      </x:c>
      <x:c r="D72" s="69" t="s">
        <x:v>38</x:v>
      </x:c>
      <x:c r="E72" s="69" t="s">
        <x:v>38</x:v>
      </x:c>
      <x:c r="F72" s="69" t="s">
        <x:v>38</x:v>
      </x:c>
      <x:c r="G72" s="69" t="s">
        <x:v>38</x:v>
      </x:c>
      <x:c r="H72" s="70" t="s">
        <x:v>38</x:v>
      </x:c>
      <x:c r="I72" s="1"/>
      <x:c r="J72" s="1"/>
      <x:c r="K72" s="1"/>
    </x:row>
    <x:row r="73">
      <x:c r="B73" s="6"/>
      <x:c r="C73" s="6"/>
      <x:c r="D73" s="6"/>
      <x:c r="E73" s="6"/>
      <x:c r="F73" s="6"/>
      <x:c r="G73" s="6"/>
      <x:c r="H73" s="13"/>
      <x:c r="I73" s="6"/>
      <x:c r="J73" s="6"/>
      <x:c r="K73" s="6"/>
    </x:row>
    <x:row r="74">
      <x:c r="B74" s="1" t="s">
        <x:v>147</x:v>
      </x:c>
      <x:c r="C74" s="1"/>
      <x:c r="D74" s="1"/>
      <x:c r="E74" s="1"/>
      <x:c r="F74" s="1"/>
      <x:c r="G74" s="1"/>
      <x:c r="H74" s="3" t="n">
        <x:f>H58</x:f>
        <x:v>226.4</x:v>
      </x:c>
    </x:row>
    <x:row r="75">
      <x:c r="B75" s="35" t="s">
        <x:v>148</x:v>
      </x:c>
      <x:c r="C75" s="1"/>
      <x:c r="D75" s="1"/>
      <x:c r="E75" s="1"/>
      <x:c r="F75" s="1"/>
      <x:c r="G75" s="1"/>
      <x:c r="H75" s="42" t="n">
        <x:f>H74/C29-1</x:f>
        <x:v>0</x:v>
      </x:c>
    </x:row>
    <x:row r="76">
      <x:c r="B76" s="1" t="s">
        <x:v>149</x:v>
      </x:c>
      <x:c r="C76" s="1"/>
      <x:c r="D76" s="1"/>
      <x:c r="E76" s="1"/>
      <x:c r="F76" s="1"/>
      <x:c r="G76" s="1"/>
      <x:c r="H76" s="3" t="n">
        <x:f>H74-F29</x:f>
        <x:v>-88.00000000000009</x:v>
      </x:c>
    </x:row>
    <x:row r="77">
      <x:c r="B77" s="1" t="s">
        <x:v>150</x:v>
      </x:c>
      <x:c r="C77" s="1"/>
      <x:c r="D77" s="1"/>
      <x:c r="E77" s="1"/>
      <x:c r="F77" s="1"/>
      <x:c r="G77" s="1"/>
      <x:c r="H77" s="3" t="n">
        <x:f>H59</x:f>
        <x:v>15.59999999999998</x:v>
      </x:c>
    </x:row>
    <x:row r="78">
      <x:c r="B78" s="35" t="s">
        <x:v>151</x:v>
      </x:c>
      <x:c r="C78" s="1"/>
      <x:c r="D78" s="1"/>
      <x:c r="E78" s="1"/>
      <x:c r="F78" s="1"/>
      <x:c r="G78" s="1"/>
      <x:c r="H78" s="42" t="n">
        <x:f>H77/C29</x:f>
        <x:v>0.06890459363957588</x:v>
      </x:c>
    </x:row>
    <x:row r="79">
      <x:c r="B79" s="1" t="s">
        <x:v>152</x:v>
      </x:c>
      <x:c r="C79" s="1"/>
      <x:c r="D79" s="1"/>
      <x:c r="E79" s="1"/>
      <x:c r="F79" s="1"/>
      <x:c r="G79" s="1"/>
      <x:c r="H79" s="76" t="s">
        <x:v>38</x:v>
      </x:c>
    </x:row>
    <x:row r="80">
      <x:c r="B80" s="1" t="s">
        <x:v>153</x:v>
      </x:c>
      <x:c r="C80" s="1"/>
      <x:c r="D80" s="1"/>
      <x:c r="E80" s="1"/>
      <x:c r="F80" s="1"/>
      <x:c r="G80" s="1"/>
      <x:c r="H80" s="76" t="n">
        <x:f>H60</x:f>
        <x:v>40</x:v>
      </x:c>
    </x:row>
    <x:row r="81">
      <x:c r="B81" s="35" t="s">
        <x:v>151</x:v>
      </x:c>
      <x:c r="C81" s="1"/>
      <x:c r="D81" s="1"/>
      <x:c r="E81" s="1"/>
      <x:c r="F81" s="1"/>
      <x:c r="G81" s="1"/>
      <x:c r="H81" s="75" t="n">
        <x:f>H80/C29</x:f>
        <x:v>0.17667844522968199</x:v>
      </x:c>
    </x:row>
    <x:row r="82">
      <x:c r="B82" s="1" t="s">
        <x:v>154</x:v>
      </x:c>
      <x:c r="C82" s="1"/>
      <x:c r="D82" s="1"/>
      <x:c r="E82" s="1"/>
      <x:c r="F82" s="1"/>
      <x:c r="G82" s="1"/>
      <x:c r="H82" s="76" t="s">
        <x:v>38</x:v>
      </x:c>
    </x:row>
    <x:row r="83">
      <x:c r="B83" s="35" t="s">
        <x:v>155</x:v>
      </x:c>
      <x:c r="C83" s="1"/>
      <x:c r="D83" s="1"/>
      <x:c r="E83" s="1"/>
      <x:c r="F83" s="1"/>
      <x:c r="G83" s="1"/>
      <x:c r="H83" s="75" t="n">
        <x:f>H61</x:f>
        <x:v>0.03811841038118402</x:v>
      </x:c>
      <x:c r="J83" t="s">
        <x:v>156</x:v>
      </x:c>
    </x:row>
    <x:row r="84">
      <x:c r="B84" s="1" t="s">
        <x:v>157</x:v>
      </x:c>
      <x:c r="C84" s="1"/>
      <x:c r="D84" s="1"/>
      <x:c r="E84" s="1"/>
      <x:c r="F84" s="1"/>
      <x:c r="G84" s="1"/>
      <x:c r="H84" s="76" t="s">
        <x:v>38</x:v>
      </x:c>
    </x:row>
    <x:row r="85">
      <x:c r="B85" s="1" t="s">
        <x:v>158</x:v>
      </x:c>
      <x:c r="C85" s="1"/>
      <x:c r="D85" s="1"/>
      <x:c r="E85" s="1"/>
      <x:c r="F85" s="1"/>
      <x:c r="G85" s="1"/>
      <x:c r="H85" s="76" t="s">
        <x:v>38</x:v>
      </x:c>
    </x:row>
    <x:row r="86">
      <x:c r="B86" s="35" t="s">
        <x:v>159</x:v>
      </x:c>
      <x:c r="C86" s="1"/>
      <x:c r="D86" s="1"/>
      <x:c r="E86" s="1"/>
      <x:c r="F86" s="1"/>
      <x:c r="G86" s="1"/>
      <x:c r="H86" s="75" t="n">
        <x:f>H62</x:f>
        <x:v>0.31313131313131315</x:v>
      </x:c>
    </x:row>
    <x:row r="87">
      <x:c r="B87" s="1" t="s">
        <x:v>157</x:v>
      </x:c>
      <x:c r="C87" s="1"/>
      <x:c r="D87" s="1"/>
      <x:c r="E87" s="1"/>
      <x:c r="F87" s="1"/>
      <x:c r="G87" s="1"/>
      <x:c r="H87" s="76" t="s">
        <x:v>38</x:v>
      </x:c>
    </x:row>
    <x:row r="88">
      <x:c r="B88" s="1" t="s">
        <x:v>158</x:v>
      </x:c>
      <x:c r="C88" s="1"/>
      <x:c r="D88" s="1"/>
      <x:c r="E88" s="1"/>
      <x:c r="F88" s="1"/>
      <x:c r="G88" s="1"/>
      <x:c r="H88" s="76" t="s">
        <x:v>38</x:v>
      </x:c>
    </x:row>
    <x:row r="89">
      <x:c r="B89" s="1" t="s">
        <x:v>160</x:v>
      </x:c>
      <x:c r="C89" s="1"/>
      <x:c r="D89" s="1"/>
      <x:c r="E89" s="1"/>
      <x:c r="F89" s="1"/>
      <x:c r="G89" s="1"/>
      <x:c r="H89" s="3" t="n">
        <x:f>SUM(H74,H77,H80)</x:f>
        <x:v>282</x:v>
      </x:c>
    </x:row>
    <x:row r="90">
      <x:c r="B90" s="1" t="s">
        <x:v>161</x:v>
      </x:c>
      <x:c r="C90" s="1"/>
      <x:c r="D90" s="1"/>
      <x:c r="E90" s="1"/>
      <x:c r="F90" s="1"/>
      <x:c r="G90" s="1"/>
      <x:c r="H90" s="3" t="n">
        <x:f>H89-H29</x:f>
        <x:v>0</x:v>
      </x:c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84534aa7704747a8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  <x:col min="11" max="11" width="25" customWidth="1"/>
    <x:col min="12" max="15" width="1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166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72" t="s">
        <x:v>98</x:v>
      </x:c>
      <x:c r="L8" s="69" t="s">
        <x:v>99</x:v>
      </x:c>
      <x:c r="M8" s="69" t="s">
        <x:v>100</x:v>
      </x:c>
      <x:c r="N8" s="69" t="s">
        <x:v>101</x:v>
      </x:c>
      <x:c r="O8" s="69" t="s">
        <x:v>102</x:v>
      </x:c>
    </x:row>
    <x:row r="9">
      <x:c r="B9" s="1" t="s">
        <x:v>103</x:v>
      </x:c>
      <x:c r="C9" s="18">
        <x:v>0.7</x:v>
      </x:c>
      <x:c r="D9" s="18">
        <x:v>1.2</x:v>
      </x:c>
      <x:c r="E9" s="18">
        <x:v>1.3</x:v>
      </x:c>
      <x:c r="F9" s="4" t="n">
        <x:f>G9-SUM(C9:E9)</x:f>
        <x:v>0.09999999999999964</x:v>
      </x:c>
      <x:c r="G9" s="18">
        <x:v>3.3</x:v>
      </x:c>
      <x:c r="H9" s="3" t="n">
        <x:f>(C9+H51-H52)*(1+H61)</x:f>
        <x:v>1</x:v>
      </x:c>
      <x:c r="I9" s="1"/>
      <x:c r="J9" s="1" t="s">
        <x:v>104</x:v>
      </x:c>
      <x:c r="K9" s="34">
        <x:v>4</x:v>
      </x:c>
      <x:c r="L9" s="34">
        <x:v>1.3</x:v>
      </x:c>
      <x:c r="M9" s="34">
        <x:v>0.7</x:v>
      </x:c>
      <x:c r="N9" s="34">
        <x:v>1.6</x:v>
      </x:c>
      <x:c r="O9" s="34">
        <x:v>0.4</x:v>
      </x:c>
    </x:row>
    <x:row r="10">
      <x:c r="B10" s="35" t="s">
        <x:v>105</x:v>
      </x:c>
      <x:c r="C10" s="8"/>
      <x:c r="D10" s="8"/>
      <x:c r="E10" s="8"/>
      <x:c r="F10" s="8"/>
      <x:c r="G10" s="8" t="n">
        <x:f>IFERROR(G9/K9-1,0)</x:f>
        <x:v>-0.17500000000000004</x:v>
      </x:c>
      <x:c r="H10" s="42" t="n">
        <x:f>IFERROR(H9/C9-1,0)</x:f>
        <x:v>0.4285714285714286</x:v>
      </x:c>
      <x:c r="I10" s="1"/>
      <x:c r="J10" s="1"/>
      <x:c r="K10" s="1"/>
      <x:c r="L10" s="34"/>
      <x:c r="M10" s="34"/>
      <x:c r="N10" s="34"/>
      <x:c r="O10" s="34"/>
    </x:row>
    <x:row r="11">
      <x:c r="B11" s="1" t="s">
        <x:v>106</x:v>
      </x:c>
      <x:c r="C11" s="4"/>
      <x:c r="D11" s="4" t="n">
        <x:f>D9-C9</x:f>
        <x:v>0.5</x:v>
      </x:c>
      <x:c r="E11" s="4" t="n">
        <x:f>E9-D9</x:f>
        <x:v>0.10000000000000009</x:v>
      </x:c>
      <x:c r="F11" s="4" t="n">
        <x:f>F9-E9</x:f>
        <x:v>-1.2000000000000004</x:v>
      </x:c>
      <x:c r="G11" s="4"/>
      <x:c r="H11" s="3" t="n">
        <x:f>H9-F9</x:f>
        <x:v>0.9000000000000004</x:v>
      </x:c>
      <x:c r="I11" s="1"/>
      <x:c r="J11" s="1"/>
      <x:c r="K11" s="1"/>
      <x:c r="L11" s="34"/>
      <x:c r="M11" s="34"/>
      <x:c r="N11" s="34"/>
      <x:c r="O11" s="34"/>
    </x:row>
    <x:row r="12">
      <x:c r="B12" s="35" t="s">
        <x:v>107</x:v>
      </x:c>
      <x:c r="C12" s="47" t="n">
        <x:f>IFERROR(C9/C29,0)</x:f>
        <x:v>0.005227781926811053</x:v>
      </x:c>
      <x:c r="D12" s="47" t="n">
        <x:f>IFERROR(D9/D29,0)</x:f>
        <x:v>0.009716599190283401</x:v>
      </x:c>
      <x:c r="E12" s="47" t="n">
        <x:f>IFERROR(E9/E29,0)</x:f>
        <x:v>0.011333914559721011</x:v>
      </x:c>
      <x:c r="F12" s="47" t="n">
        <x:f>IFERROR(F9/F29,0)</x:f>
        <x:v>0.0007680491551459265</x:v>
      </x:c>
      <x:c r="G12" s="8" t="n">
        <x:f>IFERROR(G9/G29,0)</x:f>
        <x:v>0.006569779016523989</x:v>
      </x:c>
      <x:c r="H12" s="42" t="n">
        <x:f>IFERROR(H9/H29,0)</x:f>
        <x:v>0.007352941176470588</x:v>
      </x:c>
      <x:c r="I12" s="1"/>
      <x:c r="J12" s="1"/>
      <x:c r="K12" s="1"/>
      <x:c r="L12" s="34"/>
      <x:c r="M12" s="34"/>
      <x:c r="N12" s="34"/>
      <x:c r="O12" s="34"/>
    </x:row>
    <x:row r="13">
      <x:c r="B13" s="35" t="s">
        <x:v>108</x:v>
      </x:c>
      <x:c r="C13" s="4"/>
      <x:c r="D13" s="4" t="n">
        <x:f>(D12-C12)*10000</x:f>
        <x:v>44.88817263472348</x:v>
      </x:c>
      <x:c r="E13" s="4" t="n">
        <x:f>(E12-D12)*10000</x:f>
        <x:v>16.1731536943761</x:v>
      </x:c>
      <x:c r="F13" s="4" t="n">
        <x:f>(F12-E12)*10000</x:f>
        <x:v>-105.65865404575084</x:v>
      </x:c>
      <x:c r="G13" s="45" t="n">
        <x:f>(G12-K9/K29)*10000</x:f>
        <x:v>-15.04504390823609</x:v>
      </x:c>
      <x:c r="H13" s="46" t="n">
        <x:f>(H12-C12)*10000</x:f>
        <x:v>21.25159249659535</x:v>
      </x:c>
      <x:c r="I13" s="1"/>
      <x:c r="J13" s="1"/>
      <x:c r="K13" s="1"/>
      <x:c r="L13" s="34"/>
      <x:c r="M13" s="34"/>
      <x:c r="N13" s="34"/>
      <x:c r="O13" s="34"/>
    </x:row>
    <x:row r="14">
      <x:c r="B14" s="35" t="s">
        <x:v>62</x:v>
      </x:c>
      <x:c r="C14" s="8"/>
      <x:c r="D14" s="8"/>
      <x:c r="E14" s="8"/>
      <x:c r="F14" s="8"/>
      <x:c r="G14" s="8" t="n">
        <x:f>(1+G17)/((1+G15)*(1+G16))-1</x:f>
        <x:v>-0.17500000000000004</x:v>
      </x:c>
      <x:c r="H14" s="42" t="n">
        <x:f>(1+H17)/((1+H15)*(1+H16))-1</x:f>
        <x:v>0.4285714285714286</x:v>
      </x:c>
      <x:c r="I14" s="1"/>
      <x:c r="J14" s="1"/>
      <x:c r="K14" s="1"/>
      <x:c r="L14" s="34"/>
      <x:c r="M14" s="34"/>
      <x:c r="N14" s="34"/>
      <x:c r="O14" s="34"/>
    </x:row>
    <x:row r="15">
      <x:c r="B15" s="35" t="s">
        <x:v>63</x:v>
      </x:c>
      <x:c r="C15" s="8"/>
      <x:c r="D15" s="8"/>
      <x:c r="E15" s="8"/>
      <x:c r="F15" s="8"/>
      <x:c r="G15" s="48">
        <x:v>0</x:v>
      </x:c>
      <x:c r="H15" s="42" t="n">
        <x:f>(H51-H52)/C9</x:f>
        <x:v>0</x:v>
      </x:c>
      <x:c r="I15" s="1"/>
      <x:c r="J15" s="1"/>
      <x:c r="K15" s="1"/>
      <x:c r="L15" s="34"/>
      <x:c r="M15" s="34"/>
      <x:c r="N15" s="34"/>
      <x:c r="O15" s="34"/>
    </x:row>
    <x:row r="16">
      <x:c r="B16" s="35" t="s">
        <x:v>109</x:v>
      </x:c>
      <x:c r="C16" s="8"/>
      <x:c r="D16" s="8"/>
      <x:c r="E16" s="8"/>
      <x:c r="F16" s="8"/>
      <x:c r="G16" s="48">
        <x:v>0</x:v>
      </x:c>
      <x:c r="H16" s="44">
        <x:v>0</x:v>
      </x:c>
      <x:c r="I16" s="1"/>
      <x:c r="J16" s="1"/>
      <x:c r="K16" s="1"/>
      <x:c r="L16" s="34"/>
      <x:c r="M16" s="34"/>
      <x:c r="N16" s="34"/>
      <x:c r="O16" s="34"/>
    </x:row>
    <x:row r="17">
      <x:c r="B17" s="35" t="s">
        <x:v>84</x:v>
      </x:c>
      <x:c r="C17" s="8"/>
      <x:c r="D17" s="8"/>
      <x:c r="E17" s="8"/>
      <x:c r="F17" s="8"/>
      <x:c r="G17" s="8" t="n">
        <x:f>G10</x:f>
        <x:v>-0.17500000000000004</x:v>
      </x:c>
      <x:c r="H17" s="42" t="n">
        <x:f>H10</x:f>
        <x:v>0.4285714285714286</x:v>
      </x:c>
      <x:c r="I17" s="1"/>
      <x:c r="J17" s="1"/>
      <x:c r="K17" s="1"/>
      <x:c r="L17" s="34"/>
      <x:c r="M17" s="34"/>
      <x:c r="N17" s="34"/>
      <x:c r="O17" s="34"/>
    </x:row>
    <x:row r="18">
      <x:c r="B18" s="1"/>
      <x:c r="C18" s="4"/>
      <x:c r="D18" s="4"/>
      <x:c r="E18" s="4"/>
      <x:c r="F18" s="4"/>
      <x:c r="G18" s="4"/>
      <x:c r="H18" s="3"/>
      <x:c r="I18" s="1"/>
      <x:c r="J18" s="1"/>
      <x:c r="K18" s="1"/>
      <x:c r="L18" s="34"/>
      <x:c r="M18" s="34"/>
      <x:c r="N18" s="34"/>
      <x:c r="O18" s="34"/>
    </x:row>
    <x:row r="19">
      <x:c r="B19" s="1" t="s">
        <x:v>110</x:v>
      </x:c>
      <x:c r="C19" s="18">
        <x:v>133.2</x:v>
      </x:c>
      <x:c r="D19" s="18">
        <x:v>122.3</x:v>
      </x:c>
      <x:c r="E19" s="18">
        <x:v>113.4</x:v>
      </x:c>
      <x:c r="F19" s="4" t="n">
        <x:f>G19-SUM(C19:E19)</x:f>
        <x:v>130.10000000000002</x:v>
      </x:c>
      <x:c r="G19" s="18">
        <x:v>499</x:v>
      </x:c>
      <x:c r="H19" s="3" t="n">
        <x:f>(C19+H52)*(1+H62)</x:f>
        <x:v>135</x:v>
      </x:c>
      <x:c r="I19" s="1"/>
      <x:c r="J19" s="1"/>
      <x:c r="K19" s="34">
        <x:v>491.4</x:v>
      </x:c>
      <x:c r="L19" s="34">
        <x:v>120.1</x:v>
      </x:c>
      <x:c r="M19" s="34">
        <x:v>110.2</x:v>
      </x:c>
      <x:c r="N19" s="34">
        <x:v>120</x:v>
      </x:c>
      <x:c r="O19" s="34">
        <x:v>141.1</x:v>
      </x:c>
    </x:row>
    <x:row r="20">
      <x:c r="B20" s="35" t="s">
        <x:v>105</x:v>
      </x:c>
      <x:c r="C20" s="8"/>
      <x:c r="D20" s="8"/>
      <x:c r="E20" s="8"/>
      <x:c r="F20" s="8"/>
      <x:c r="G20" s="8" t="n">
        <x:f>IFERROR(G19/K19-1,0)</x:f>
        <x:v>0.015466015466015559</x:v>
      </x:c>
      <x:c r="H20" s="42" t="n">
        <x:f>IFERROR(H19/C19-1,0)</x:f>
        <x:v>0.013513513513513598</x:v>
      </x:c>
      <x:c r="I20" s="1"/>
      <x:c r="J20" s="1"/>
      <x:c r="K20" s="1"/>
    </x:row>
    <x:row r="21">
      <x:c r="B21" s="1" t="s">
        <x:v>106</x:v>
      </x:c>
      <x:c r="C21" s="4"/>
      <x:c r="D21" s="4" t="n">
        <x:f>D19-C19</x:f>
        <x:v>-10.899999999999991</x:v>
      </x:c>
      <x:c r="E21" s="4" t="n">
        <x:f>E19-D19</x:f>
        <x:v>-8.899999999999991</x:v>
      </x:c>
      <x:c r="F21" s="4" t="n">
        <x:f>F19-E19</x:f>
        <x:v>16.700000000000017</x:v>
      </x:c>
      <x:c r="G21" s="4"/>
      <x:c r="H21" s="3" t="n">
        <x:f>H19-F19</x:f>
        <x:v>4.899999999999977</x:v>
      </x:c>
      <x:c r="I21" s="1"/>
      <x:c r="J21" s="1"/>
      <x:c r="K21" s="1"/>
    </x:row>
    <x:row r="22">
      <x:c r="B22" s="35" t="s">
        <x:v>111</x:v>
      </x:c>
      <x:c r="C22" s="47" t="n">
        <x:f>IFERROR(C19/C29,0)</x:f>
        <x:v>0.994772218073189</x:v>
      </x:c>
      <x:c r="D22" s="47" t="n">
        <x:f>IFERROR(D19/D29,0)</x:f>
        <x:v>0.9902834008097166</x:v>
      </x:c>
      <x:c r="E22" s="47" t="n">
        <x:f>IFERROR(E19/E29,0)</x:f>
        <x:v>0.988666085440279</x:v>
      </x:c>
      <x:c r="F22" s="47" t="n">
        <x:f>IFERROR(F19/F29,0)</x:f>
        <x:v>0.9992319508448542</x:v>
      </x:c>
      <x:c r="G22" s="8" t="n">
        <x:f>IFERROR(G19/G29,0)</x:f>
        <x:v>0.993430220983476</x:v>
      </x:c>
      <x:c r="H22" s="42" t="n">
        <x:f>IFERROR(H19/H29,0)</x:f>
        <x:v>0.9926470588235294</x:v>
      </x:c>
      <x:c r="I22" s="1"/>
      <x:c r="J22" s="1"/>
      <x:c r="K22" s="1"/>
    </x:row>
    <x:row r="23">
      <x:c r="B23" s="35" t="s">
        <x:v>108</x:v>
      </x:c>
      <x:c r="C23" s="4"/>
      <x:c r="D23" s="4" t="n">
        <x:f>(D22-C22)*10000</x:f>
        <x:v>-44.888172634724995</x:v>
      </x:c>
      <x:c r="E23" s="4" t="n">
        <x:f>(E22-D22)*10000</x:f>
        <x:v>-16.173153694375443</x:v>
      </x:c>
      <x:c r="F23" s="4" t="n">
        <x:f>(F22-E22)*10000</x:f>
        <x:v>105.65865404575159</x:v>
      </x:c>
      <x:c r="G23" s="45" t="n">
        <x:f>(G22-K19/K29)*10000</x:f>
        <x:v>15.045043908236133</x:v>
      </x:c>
      <x:c r="H23" s="46" t="n">
        <x:f>(H22-C22)*10000</x:f>
        <x:v>-21.25159249659614</x:v>
      </x:c>
      <x:c r="I23" s="1"/>
      <x:c r="J23" s="1"/>
      <x:c r="K23" s="1"/>
    </x:row>
    <x:row r="24">
      <x:c r="B24" s="35" t="s">
        <x:v>62</x:v>
      </x:c>
      <x:c r="C24" s="8"/>
      <x:c r="D24" s="8"/>
      <x:c r="E24" s="8"/>
      <x:c r="F24" s="8"/>
      <x:c r="G24" s="8" t="n">
        <x:f>(1+G27)/((1+G25)*(1+G26))-1</x:f>
        <x:v>0.015466015466015559</x:v>
      </x:c>
      <x:c r="H24" s="42" t="n">
        <x:f>(1+H27)/((1+H25)*(1+H26))-1</x:f>
        <x:v>0.013513513513513598</x:v>
      </x:c>
      <x:c r="I24" s="1"/>
      <x:c r="J24" s="1"/>
      <x:c r="K24" s="1"/>
    </x:row>
    <x:row r="25">
      <x:c r="B25" s="35" t="s">
        <x:v>63</x:v>
      </x:c>
      <x:c r="C25" s="8"/>
      <x:c r="D25" s="8"/>
      <x:c r="E25" s="8"/>
      <x:c r="F25" s="8"/>
      <x:c r="G25" s="48">
        <x:v>0</x:v>
      </x:c>
      <x:c r="H25" s="42" t="n">
        <x:f>IFERROR(H52/C19,0)</x:f>
        <x:v>0</x:v>
      </x:c>
      <x:c r="I25" s="1"/>
      <x:c r="J25" s="1"/>
      <x:c r="K25" s="1"/>
    </x:row>
    <x:row r="26">
      <x:c r="B26" s="35" t="s">
        <x:v>109</x:v>
      </x:c>
      <x:c r="C26" s="8"/>
      <x:c r="D26" s="8"/>
      <x:c r="E26" s="8"/>
      <x:c r="F26" s="8"/>
      <x:c r="G26" s="48">
        <x:v>0</x:v>
      </x:c>
      <x:c r="H26" s="44">
        <x:v>0</x:v>
      </x:c>
      <x:c r="I26" s="1"/>
      <x:c r="J26" s="1"/>
      <x:c r="K26" s="1"/>
    </x:row>
    <x:row r="27">
      <x:c r="B27" s="35" t="s">
        <x:v>84</x:v>
      </x:c>
      <x:c r="C27" s="8"/>
      <x:c r="D27" s="8"/>
      <x:c r="E27" s="8"/>
      <x:c r="F27" s="8"/>
      <x:c r="G27" s="8" t="n">
        <x:f>G20</x:f>
        <x:v>0.015466015466015559</x:v>
      </x:c>
      <x:c r="H27" s="42" t="n">
        <x:f>H20</x:f>
        <x:v>0.013513513513513598</x:v>
      </x:c>
      <x:c r="I27" s="1"/>
      <x:c r="J27" s="1"/>
      <x:c r="K27" s="1"/>
    </x:row>
    <x:row r="28">
      <x:c r="B28" s="1"/>
      <x:c r="C28" s="4"/>
      <x:c r="D28" s="4"/>
      <x:c r="E28" s="4"/>
      <x:c r="F28" s="4"/>
      <x:c r="G28" s="4"/>
      <x:c r="H28" s="3"/>
      <x:c r="I28" s="1"/>
      <x:c r="J28" s="1"/>
      <x:c r="K28" s="1"/>
    </x:row>
    <x:row r="29">
      <x:c r="B29" s="17" t="s">
        <x:v>112</x:v>
      </x:c>
      <x:c r="C29" s="20" t="n">
        <x:f>SUM(C9,C19)</x:f>
        <x:v>133.89999999999998</x:v>
      </x:c>
      <x:c r="D29" s="20" t="n">
        <x:f>SUM(D9,D19)</x:f>
        <x:v>123.5</x:v>
      </x:c>
      <x:c r="E29" s="20" t="n">
        <x:f>SUM(E9,E19)</x:f>
        <x:v>114.7</x:v>
      </x:c>
      <x:c r="F29" s="20" t="n">
        <x:f>SUM(F9,F19)</x:f>
        <x:v>130.20000000000002</x:v>
      </x:c>
      <x:c r="G29" s="20" t="n">
        <x:f>SUM(G9,G19)</x:f>
        <x:v>502.3</x:v>
      </x:c>
      <x:c r="H29" s="21" t="n">
        <x:f>SUM(H9,H19)</x:f>
        <x:v>136</x:v>
      </x:c>
      <x:c r="I29" s="1"/>
      <x:c r="J29" s="1"/>
      <x:c r="K29" s="1" t="n">
        <x:f>SUM(K9,K19)</x:f>
        <x:v>495.4</x:v>
      </x:c>
    </x:row>
    <x:row r="30">
      <x:c r="B30" s="35" t="s">
        <x:v>105</x:v>
      </x:c>
      <x:c r="C30" s="8"/>
      <x:c r="D30" s="8"/>
      <x:c r="E30" s="8"/>
      <x:c r="F30" s="8"/>
      <x:c r="G30" s="8" t="n">
        <x:f>G29/K29-1</x:f>
        <x:v>0.013928138877674634</x:v>
      </x:c>
      <x:c r="H30" s="42" t="n">
        <x:f>IFERROR(H29/C29-1,0)</x:f>
        <x:v>0.01568334578043329</x:v>
      </x:c>
      <x:c r="I30" s="1"/>
      <x:c r="J30" s="1"/>
      <x:c r="K30" s="1"/>
    </x:row>
    <x:row r="31">
      <x:c r="B31" s="1" t="s">
        <x:v>106</x:v>
      </x:c>
      <x:c r="C31" s="4"/>
      <x:c r="D31" s="4" t="n">
        <x:f>D29-C29</x:f>
        <x:v>-10.399999999999977</x:v>
      </x:c>
      <x:c r="E31" s="4" t="n">
        <x:f>E29-D29</x:f>
        <x:v>-8.799999999999997</x:v>
      </x:c>
      <x:c r="F31" s="4" t="n">
        <x:f>F29-E29</x:f>
        <x:v>15.500000000000014</x:v>
      </x:c>
      <x:c r="G31" s="4"/>
      <x:c r="H31" s="3" t="n">
        <x:f>H29-F29</x:f>
        <x:v>5.799999999999983</x:v>
      </x:c>
      <x:c r="I31" s="1"/>
      <x:c r="J31" s="1"/>
      <x:c r="K31" s="1"/>
    </x:row>
    <x:row r="32">
      <x:c r="B32" s="35" t="s">
        <x:v>113</x:v>
      </x:c>
      <x:c r="C32" s="27" t="n">
        <x:f>IFERROR(C29/'Revenue summary'!C29,0)</x:f>
        <x:v>0.18104380746349374</x:v>
      </x:c>
      <x:c r="D32" s="27" t="n">
        <x:f>IFERROR(D29/'Revenue summary'!D29,0)</x:f>
        <x:v>0.15528731296366152</x:v>
      </x:c>
      <x:c r="E32" s="27" t="n">
        <x:f>IFERROR(E29/'Revenue summary'!E29,0)</x:f>
        <x:v>0.13572358300792806</x:v>
      </x:c>
      <x:c r="F32" s="27" t="n">
        <x:f>IFERROR(F29/'Revenue summary'!F29,0)</x:f>
        <x:v>0.14030172413793102</x:v>
      </x:c>
      <x:c r="G32" s="27" t="n">
        <x:f>IFERROR(G29/'Revenue summary'!G29,0)</x:f>
        <x:v>0.15184401451027812</x:v>
      </x:c>
      <x:c r="H32" s="49" t="n">
        <x:f>IFERROR(H29/'Revenue summary'!H29,0)</x:f>
        <x:v>0.15384615384615385</x:v>
      </x:c>
      <x:c r="I32" s="1"/>
      <x:c r="J32" s="1"/>
      <x:c r="K32" s="1"/>
    </x:row>
    <x:row r="33">
      <x:c r="B33" s="35" t="s">
        <x:v>108</x:v>
      </x:c>
      <x:c r="C33" s="4"/>
      <x:c r="D33" s="4" t="n">
        <x:f>(D32-C32)*10000</x:f>
        <x:v>-257.56494499832223</x:v>
      </x:c>
      <x:c r="E33" s="4" t="n">
        <x:f>(E32-D32)*10000</x:f>
        <x:v>-195.63729955733467</x:v>
      </x:c>
      <x:c r="F33" s="4" t="n">
        <x:f>(F32-E32)*10000</x:f>
        <x:v>45.7814113000296</x:v>
      </x:c>
      <x:c r="G33" s="4"/>
      <x:c r="H33" s="3" t="n">
        <x:f>(H32-C32)*10000</x:f>
        <x:v>-271.97653617339887</x:v>
      </x:c>
      <x:c r="I33" s="1"/>
      <x:c r="J33" s="1"/>
      <x:c r="K33" s="1"/>
    </x:row>
    <x:row r="34">
      <x:c r="B34" s="35" t="s">
        <x:v>62</x:v>
      </x:c>
      <x:c r="C34" s="8"/>
      <x:c r="D34" s="8"/>
      <x:c r="E34" s="8"/>
      <x:c r="F34" s="8"/>
      <x:c r="G34" s="8" t="n">
        <x:f>(1+G37)/((1+G35)*(1+G36))-1</x:f>
        <x:v>0.013928138877674634</x:v>
      </x:c>
      <x:c r="H34" s="42" t="n">
        <x:f>(1+H37)/((1+H35)*(1+H36))-1</x:f>
        <x:v>0.01568334578043329</x:v>
      </x:c>
      <x:c r="I34" s="1"/>
      <x:c r="J34" s="1"/>
      <x:c r="K34" s="1"/>
    </x:row>
    <x:row r="35">
      <x:c r="B35" s="35" t="s">
        <x:v>63</x:v>
      </x:c>
      <x:c r="C35" s="8"/>
      <x:c r="D35" s="8"/>
      <x:c r="E35" s="8"/>
      <x:c r="F35" s="8"/>
      <x:c r="G35" s="48">
        <x:v>0</x:v>
      </x:c>
      <x:c r="H35" s="42" t="n">
        <x:f>H51/C29</x:f>
        <x:v>0</x:v>
      </x:c>
      <x:c r="I35" s="1"/>
      <x:c r="J35" s="1"/>
      <x:c r="K35" s="1"/>
    </x:row>
    <x:row r="36">
      <x:c r="B36" s="35" t="s">
        <x:v>109</x:v>
      </x:c>
      <x:c r="C36" s="8"/>
      <x:c r="D36" s="8"/>
      <x:c r="E36" s="8"/>
      <x:c r="F36" s="8"/>
      <x:c r="G36" s="48">
        <x:v>0</x:v>
      </x:c>
      <x:c r="H36" s="44">
        <x:v>0</x:v>
      </x:c>
      <x:c r="I36" s="1"/>
      <x:c r="J36" s="1"/>
      <x:c r="K36" s="1"/>
    </x:row>
    <x:row r="37">
      <x:c r="B37" s="35" t="s">
        <x:v>84</x:v>
      </x:c>
      <x:c r="C37" s="8"/>
      <x:c r="D37" s="8"/>
      <x:c r="E37" s="8"/>
      <x:c r="F37" s="8"/>
      <x:c r="G37" s="8" t="n">
        <x:f>G30</x:f>
        <x:v>0.013928138877674634</x:v>
      </x:c>
      <x:c r="H37" s="42" t="n">
        <x:f>H30</x:f>
        <x:v>0.01568334578043329</x:v>
      </x:c>
      <x:c r="I37" s="1"/>
      <x:c r="J37" s="1"/>
      <x:c r="K37" s="1"/>
    </x:row>
    <x:row r="38">
      <x:c r="B38" s="1"/>
      <x:c r="C38" s="4"/>
      <x:c r="D38" s="4"/>
      <x:c r="E38" s="4"/>
      <x:c r="F38" s="4"/>
      <x:c r="G38" s="4"/>
      <x:c r="H38" s="3"/>
      <x:c r="I38" s="1"/>
      <x:c r="J38" s="1"/>
      <x:c r="K38" s="1"/>
    </x:row>
    <x:row r="39">
      <x:c r="B39" s="17" t="s">
        <x:v>114</x:v>
      </x:c>
      <x:c r="C39" s="5">
        <x:v>12.7</x:v>
      </x:c>
      <x:c r="D39" s="5">
        <x:v>12.4</x:v>
      </x:c>
      <x:c r="E39" s="5">
        <x:v>12.9</x:v>
      </x:c>
      <x:c r="F39" s="5">
        <x:v>18.7</x:v>
      </x:c>
      <x:c r="G39" s="5">
        <x:v>56.7</x:v>
      </x:c>
      <x:c r="H39" s="21" t="n">
        <x:f>H29*H42</x:f>
        <x:v>17.68</x:v>
      </x:c>
      <x:c r="I39" s="1"/>
      <x:c r="J39" s="1"/>
      <x:c r="K39" s="1">
        <x:v>35.1</x:v>
      </x:c>
    </x:row>
    <x:row r="40">
      <x:c r="B40" s="35" t="s">
        <x:v>115</x:v>
      </x:c>
      <x:c r="C40" s="8" t="n">
        <x:f>IFERROR(C39/C29,0)</x:f>
        <x:v>0.09484690067214341</x:v>
      </x:c>
      <x:c r="D40" s="8" t="n">
        <x:f>IFERROR(D39/D29,0)</x:f>
        <x:v>0.10040485829959514</x:v>
      </x:c>
      <x:c r="E40" s="8" t="n">
        <x:f>IFERROR(E39/E29,0)</x:f>
        <x:v>0.11246730601569312</x:v>
      </x:c>
      <x:c r="F40" s="8" t="n">
        <x:f>IFERROR(F39/F29,0)</x:f>
        <x:v>0.14362519201228877</x:v>
      </x:c>
      <x:c r="G40" s="8" t="n">
        <x:f>IFERROR(G39/G29,0)</x:f>
        <x:v>0.11288074855663946</x:v>
      </x:c>
      <x:c r="H40" s="42" t="n">
        <x:f>IFERROR(H39/H29,0)</x:f>
        <x:v>0.13</x:v>
      </x:c>
      <x:c r="I40" s="1"/>
      <x:c r="J40" s="1"/>
      <x:c r="K40" s="1"/>
    </x:row>
    <x:row r="41">
      <x:c r="B41" s="35" t="s">
        <x:v>116</x:v>
      </x:c>
      <x:c r="C41" s="4"/>
      <x:c r="D41" s="4" t="n">
        <x:f>(D40-C40)*10000</x:f>
        <x:v>55.579576274517315</x:v>
      </x:c>
      <x:c r="E41" s="4" t="n">
        <x:f>(E40-D40)*10000</x:f>
        <x:v>120.62447716097977</x:v>
      </x:c>
      <x:c r="F41" s="4" t="n">
        <x:f>(F40-E40)*10000</x:f>
        <x:v>311.5788599659565</x:v>
      </x:c>
      <x:c r="G41" s="4" t="n">
        <x:f>(G40-K39/K29)*10000</x:f>
        <x:v>420.2891165716428</x:v>
      </x:c>
      <x:c r="H41" s="3" t="n">
        <x:f>(H40-C40)*10000</x:f>
        <x:v>351.530993278566</x:v>
      </x:c>
      <x:c r="I41" s="1"/>
      <x:c r="J41" s="1"/>
      <x:c r="K41" s="1"/>
    </x:row>
    <x:row r="42">
      <x:c r="B42" s="35" t="s">
        <x:v>117</x:v>
      </x:c>
      <x:c r="C42" s="8"/>
      <x:c r="D42" s="8"/>
      <x:c r="E42" s="8"/>
      <x:c r="F42" s="8"/>
      <x:c r="G42" s="8"/>
      <x:c r="H42" s="44">
        <x:v>0.13</x:v>
      </x:c>
      <x:c r="I42" s="1"/>
      <x:c r="J42" s="1"/>
      <x:c r="K42" s="1"/>
    </x:row>
    <x:row r="43">
      <x:c r="B43" s="1" t="s">
        <x:v>118</x:v>
      </x:c>
      <x:c r="C43" s="4"/>
      <x:c r="D43" s="4"/>
      <x:c r="E43" s="4"/>
      <x:c r="F43" s="4"/>
      <x:c r="G43" s="4"/>
      <x:c r="H43" s="3"/>
      <x:c r="I43" s="1"/>
      <x:c r="J43" s="1" t="s">
        <x:v>167</x:v>
      </x:c>
      <x:c r="K43" s="1"/>
    </x:row>
    <x:row r="44">
      <x:c r="B44" s="1" t="s">
        <x:v>168</x:v>
      </x:c>
      <x:c r="C44" s="73" t="s">
        <x:v>38</x:v>
      </x:c>
      <x:c r="D44" s="73" t="s">
        <x:v>38</x:v>
      </x:c>
      <x:c r="E44" s="73" t="s">
        <x:v>38</x:v>
      </x:c>
      <x:c r="F44" s="73" t="s">
        <x:v>38</x:v>
      </x:c>
      <x:c r="G44" s="18">
        <x:v>409.2</x:v>
      </x:c>
      <x:c r="H44" s="32">
        <x:v>105</x:v>
      </x:c>
      <x:c r="I44" s="1"/>
      <x:c r="J44" s="1"/>
      <x:c r="K44" s="1"/>
    </x:row>
    <x:row r="45">
      <x:c r="B45" s="1" t="s">
        <x:v>169</x:v>
      </x:c>
      <x:c r="C45" s="73" t="s">
        <x:v>38</x:v>
      </x:c>
      <x:c r="D45" s="73" t="s">
        <x:v>38</x:v>
      </x:c>
      <x:c r="E45" s="73" t="s">
        <x:v>38</x:v>
      </x:c>
      <x:c r="F45" s="73" t="s">
        <x:v>38</x:v>
      </x:c>
      <x:c r="G45" s="18">
        <x:v>93.1</x:v>
      </x:c>
      <x:c r="H45" s="32">
        <x:v>31</x:v>
      </x:c>
      <x:c r="I45" s="1"/>
      <x:c r="J45" s="1"/>
      <x:c r="K45" s="1"/>
    </x:row>
    <x:row r="46">
      <x:c r="B46" s="17" t="s">
        <x:v>123</x:v>
      </x:c>
      <x:c r="C46" s="20"/>
      <x:c r="D46" s="20"/>
      <x:c r="E46" s="20"/>
      <x:c r="F46" s="20"/>
      <x:c r="G46" s="20" t="n">
        <x:f>SUM(G44:G45)-G29</x:f>
        <x:v>-5.684341886080802e-14</x:v>
      </x:c>
      <x:c r="H46" s="21" t="n">
        <x:f>SUM(H44:H45)-H29</x:f>
        <x:v>0</x:v>
      </x:c>
      <x:c r="I46" s="1"/>
      <x:c r="J46" s="1"/>
      <x:c r="K46" s="1"/>
    </x:row>
    <x:row r="47">
      <x:c r="B47" s="1"/>
      <x:c r="C47" s="4"/>
      <x:c r="D47" s="4"/>
      <x:c r="E47" s="4"/>
      <x:c r="F47" s="4"/>
      <x:c r="G47" s="4"/>
      <x:c r="H47" s="3"/>
      <x:c r="I47" s="1"/>
      <x:c r="J47" s="1"/>
      <x:c r="K47" s="1"/>
    </x:row>
    <x:row r="48">
      <x:c r="B48" s="35" t="s">
        <x:v>124</x:v>
      </x:c>
      <x:c r="C48" s="8" t="n">
        <x:f>IFERROR(C9/C29,0)</x:f>
        <x:v>0.005227781926811053</x:v>
      </x:c>
      <x:c r="D48" s="8" t="n">
        <x:f>IFERROR(D9/D29,0)</x:f>
        <x:v>0.009716599190283401</x:v>
      </x:c>
      <x:c r="E48" s="8" t="n">
        <x:f>IFERROR(E9/E29,0)</x:f>
        <x:v>0.011333914559721011</x:v>
      </x:c>
      <x:c r="F48" s="8" t="n">
        <x:f>IFERROR(F9/F29,0)</x:f>
        <x:v>0.0007680491551459265</x:v>
      </x:c>
      <x:c r="G48" s="8" t="n">
        <x:f>IFERROR(G9/G29,0)</x:f>
        <x:v>0.006569779016523989</x:v>
      </x:c>
      <x:c r="H48" s="42" t="n">
        <x:f>IFERROR(H9/H29,0)</x:f>
        <x:v>0.007352941176470588</x:v>
      </x:c>
      <x:c r="I48" s="1"/>
      <x:c r="J48" s="1"/>
      <x:c r="K48" s="1"/>
    </x:row>
    <x:row r="49">
      <x:c r="B49" s="35" t="s">
        <x:v>125</x:v>
      </x:c>
      <x:c r="C49" s="45"/>
      <x:c r="D49" s="45"/>
      <x:c r="E49" s="45"/>
      <x:c r="F49" s="45"/>
      <x:c r="G49" s="45"/>
      <x:c r="H49" s="46" t="n">
        <x:f>(H48-C48)*10000</x:f>
        <x:v>21.25159249659535</x:v>
      </x:c>
      <x:c r="I49" s="1"/>
      <x:c r="J49" s="1"/>
      <x:c r="K49" s="1"/>
    </x:row>
    <x:row r="50">
      <x:c r="B50" s="35" t="s">
        <x:v>126</x:v>
      </x:c>
      <x:c r="C50" s="4"/>
      <x:c r="D50" s="4" t="n">
        <x:f>(D48-C48)*10000</x:f>
        <x:v>44.88817263472348</x:v>
      </x:c>
      <x:c r="E50" s="4" t="n">
        <x:f>(E48-D48)*10000</x:f>
        <x:v>16.1731536943761</x:v>
      </x:c>
      <x:c r="F50" s="4" t="n">
        <x:f>(F48-E48)*10000</x:f>
        <x:v>-105.65865404575084</x:v>
      </x:c>
      <x:c r="G50" s="4"/>
      <x:c r="H50" s="3" t="n">
        <x:f>(H48-F48)*10000</x:f>
        <x:v>65.84892021324661</x:v>
      </x:c>
      <x:c r="I50" s="1"/>
      <x:c r="J50" s="1"/>
      <x:c r="K50" s="1"/>
    </x:row>
    <x:row r="51">
      <x:c r="B51" s="6" t="s">
        <x:v>127</x:v>
      </x:c>
      <x:c r="C51" s="6"/>
      <x:c r="D51" s="6"/>
      <x:c r="E51" s="6"/>
      <x:c r="F51" s="6"/>
      <x:c r="G51" s="6"/>
      <x:c r="H51" s="43">
        <x:v>0</x:v>
      </x:c>
      <x:c r="I51" s="6"/>
      <x:c r="J51" s="6" t="s">
        <x:v>128</x:v>
      </x:c>
      <x:c r="K51" s="1"/>
    </x:row>
    <x:row r="52">
      <x:c r="B52" s="6" t="s">
        <x:v>129</x:v>
      </x:c>
      <x:c r="C52" s="6"/>
      <x:c r="D52" s="6"/>
      <x:c r="E52" s="6"/>
      <x:c r="F52" s="6"/>
      <x:c r="G52" s="6"/>
      <x:c r="H52" s="43">
        <x:v>0</x:v>
      </x:c>
      <x:c r="I52" s="6"/>
      <x:c r="J52" s="6"/>
      <x:c r="K52" s="1"/>
    </x:row>
    <x:row r="53">
      <x:c r="B53" s="6" t="s">
        <x:v>130</x:v>
      </x:c>
      <x:c r="C53" s="6"/>
      <x:c r="D53" s="6"/>
      <x:c r="E53" s="6"/>
      <x:c r="F53" s="6"/>
      <x:c r="G53" s="6"/>
      <x:c r="H53" s="13"/>
      <x:c r="I53" s="6"/>
      <x:c r="J53" s="6"/>
      <x:c r="K53" s="1">
        <x:v>0</x:v>
      </x:c>
    </x:row>
    <x:row r="54">
      <x:c r="B54" s="6"/>
      <x:c r="C54" s="6"/>
      <x:c r="D54" s="6"/>
      <x:c r="E54" s="6"/>
      <x:c r="F54" s="6"/>
      <x:c r="G54" s="6"/>
      <x:c r="H54" s="13"/>
      <x:c r="I54" s="6"/>
      <x:c r="J54" s="6"/>
      <x:c r="K54" s="6"/>
    </x:row>
    <x:row r="55">
      <x:c r="B55" s="6"/>
      <x:c r="C55" s="6"/>
      <x:c r="D55" s="6"/>
      <x:c r="E55" s="6"/>
      <x:c r="F55" s="6"/>
      <x:c r="G55" s="6"/>
      <x:c r="H55" s="13"/>
      <x:c r="I55" s="6"/>
      <x:c r="J55" s="6"/>
      <x:c r="K55" s="6"/>
    </x:row>
    <x:row r="56">
      <x:c r="B56" s="6"/>
      <x:c r="C56" s="6"/>
      <x:c r="D56" s="6"/>
      <x:c r="E56" s="6"/>
      <x:c r="F56" s="6"/>
      <x:c r="G56" s="6"/>
      <x:c r="H56" s="13"/>
      <x:c r="I56" s="6"/>
      <x:c r="J56" s="6"/>
      <x:c r="K56" s="6"/>
    </x:row>
    <x:row r="57">
      <x:c r="B57" s="1" t="s">
        <x:v>131</x:v>
      </x:c>
      <x:c r="C57" s="1"/>
      <x:c r="D57" s="1"/>
      <x:c r="E57" s="1"/>
      <x:c r="F57" s="1"/>
      <x:c r="G57" s="1"/>
      <x:c r="H57" s="36"/>
      <x:c r="I57" s="1"/>
      <x:c r="J57" s="1"/>
      <x:c r="K57" s="1"/>
    </x:row>
    <x:row r="58">
      <x:c r="B58" s="1" t="s">
        <x:v>132</x:v>
      </x:c>
      <x:c r="C58" s="4" t="n">
        <x:f>C29</x:f>
        <x:v>133.89999999999998</x:v>
      </x:c>
      <x:c r="D58" s="1"/>
      <x:c r="E58" s="1"/>
      <x:c r="F58" s="1"/>
      <x:c r="G58" s="1"/>
      <x:c r="H58" s="3" t="n">
        <x:f>C29</x:f>
        <x:v>133.89999999999998</x:v>
      </x:c>
      <x:c r="I58" s="1"/>
      <x:c r="J58" s="1"/>
      <x:c r="K58" s="1"/>
    </x:row>
    <x:row r="59">
      <x:c r="B59" s="1" t="s">
        <x:v>133</x:v>
      </x:c>
      <x:c r="C59" s="1"/>
      <x:c r="D59" s="1"/>
      <x:c r="E59" s="1"/>
      <x:c r="F59" s="1"/>
      <x:c r="G59" s="1"/>
      <x:c r="H59" s="36" t="n">
        <x:f>SUM((C9+H51-H52)*H61,(C19+H52)*H62)</x:f>
        <x:v>2.100000000000011</x:v>
      </x:c>
      <x:c r="I59" s="1"/>
      <x:c r="J59" s="1"/>
      <x:c r="K59" s="1"/>
    </x:row>
    <x:row r="60">
      <x:c r="B60" s="1" t="s">
        <x:v>134</x:v>
      </x:c>
      <x:c r="C60" s="1"/>
      <x:c r="D60" s="1"/>
      <x:c r="E60" s="1"/>
      <x:c r="F60" s="1"/>
      <x:c r="G60" s="1"/>
      <x:c r="H60" s="3" t="n">
        <x:f>H51</x:f>
        <x:v>0</x:v>
      </x:c>
      <x:c r="I60" s="1"/>
      <x:c r="J60" s="1"/>
      <x:c r="K60" s="1"/>
    </x:row>
    <x:row r="61">
      <x:c r="B61" s="35" t="s">
        <x:v>135</x:v>
      </x:c>
      <x:c r="C61" s="8"/>
      <x:c r="D61" s="8"/>
      <x:c r="E61" s="8"/>
      <x:c r="F61" s="8"/>
      <x:c r="G61" s="8"/>
      <x:c r="H61" s="44">
        <x:v>0.4285714285714286</x:v>
      </x:c>
      <x:c r="I61" s="1"/>
      <x:c r="J61" s="1" t="s">
        <x:v>136</x:v>
      </x:c>
      <x:c r="K61" s="1"/>
    </x:row>
    <x:row r="62">
      <x:c r="B62" s="35" t="s">
        <x:v>137</x:v>
      </x:c>
      <x:c r="C62" s="8"/>
      <x:c r="D62" s="8"/>
      <x:c r="E62" s="8"/>
      <x:c r="F62" s="8"/>
      <x:c r="G62" s="8"/>
      <x:c r="H62" s="44">
        <x:v>0.013513513513513598</x:v>
      </x:c>
      <x:c r="I62" s="1"/>
      <x:c r="J62" s="1"/>
      <x:c r="K62" s="1"/>
    </x:row>
    <x:row r="63">
      <x:c r="B63" s="1" t="s">
        <x:v>138</x:v>
      </x:c>
      <x:c r="C63" s="1"/>
      <x:c r="D63" s="1"/>
      <x:c r="E63" s="1"/>
      <x:c r="F63" s="1"/>
      <x:c r="G63" s="1"/>
      <x:c r="H63" s="3" t="n">
        <x:f>H29-SUM(H58:H60)</x:f>
        <x:v>0</x:v>
      </x:c>
      <x:c r="I63" s="1"/>
      <x:c r="J63" s="1"/>
      <x:c r="K63" s="1"/>
    </x:row>
    <x:row r="64">
      <x:c r="B64" s="1"/>
      <x:c r="C64" s="1"/>
      <x:c r="D64" s="1"/>
      <x:c r="E64" s="1"/>
      <x:c r="F64" s="1"/>
      <x:c r="G64" s="1"/>
      <x:c r="H64" s="36"/>
      <x:c r="I64" s="1"/>
      <x:c r="J64" s="1"/>
      <x:c r="K64" s="1"/>
    </x:row>
    <x:row r="65">
      <x:c r="B65" s="1" t="s">
        <x:v>139</x:v>
      </x:c>
      <x:c r="C65" s="1"/>
      <x:c r="D65" s="1"/>
      <x:c r="E65" s="1"/>
      <x:c r="F65" s="1"/>
      <x:c r="G65" s="1"/>
      <x:c r="H65" s="36"/>
      <x:c r="I65" s="1"/>
      <x:c r="J65" s="1"/>
      <x:c r="K65" s="1"/>
    </x:row>
    <x:row r="66">
      <x:c r="B66" s="1"/>
      <x:c r="C66" s="1"/>
      <x:c r="D66" s="1"/>
      <x:c r="E66" s="1"/>
      <x:c r="F66" s="1"/>
      <x:c r="G66" s="1"/>
      <x:c r="H66" s="36"/>
      <x:c r="I66" s="1"/>
      <x:c r="J66" s="1"/>
      <x:c r="K66" s="1"/>
    </x:row>
    <x:row r="67">
      <x:c r="B67" s="1" t="s">
        <x:v>140</x:v>
      </x:c>
      <x:c r="C67" s="69" t="s">
        <x:v>38</x:v>
      </x:c>
      <x:c r="D67" s="69" t="s">
        <x:v>38</x:v>
      </x:c>
      <x:c r="E67" s="69" t="s">
        <x:v>38</x:v>
      </x:c>
      <x:c r="F67" s="69" t="s">
        <x:v>38</x:v>
      </x:c>
      <x:c r="G67" s="69" t="s">
        <x:v>38</x:v>
      </x:c>
      <x:c r="H67" s="70" t="s">
        <x:v>38</x:v>
      </x:c>
      <x:c r="I67" s="1"/>
      <x:c r="J67" s="1" t="s">
        <x:v>141</x:v>
      </x:c>
      <x:c r="K67" s="1"/>
    </x:row>
    <x:row r="68">
      <x:c r="B68" s="1" t="s">
        <x:v>142</x:v>
      </x:c>
      <x:c r="C68" s="69" t="s">
        <x:v>38</x:v>
      </x:c>
      <x:c r="D68" s="69" t="s">
        <x:v>38</x:v>
      </x:c>
      <x:c r="E68" s="69" t="s">
        <x:v>38</x:v>
      </x:c>
      <x:c r="F68" s="69" t="s">
        <x:v>38</x:v>
      </x:c>
      <x:c r="G68" s="69" t="s">
        <x:v>38</x:v>
      </x:c>
      <x:c r="H68" s="70" t="s">
        <x:v>38</x:v>
      </x:c>
      <x:c r="I68" s="1"/>
      <x:c r="J68" s="1"/>
      <x:c r="K68" s="1"/>
    </x:row>
    <x:row r="69">
      <x:c r="B69" s="1" t="s">
        <x:v>143</x:v>
      </x:c>
      <x:c r="C69" s="69" t="s">
        <x:v>38</x:v>
      </x:c>
      <x:c r="D69" s="69" t="s">
        <x:v>38</x:v>
      </x:c>
      <x:c r="E69" s="69" t="s">
        <x:v>38</x:v>
      </x:c>
      <x:c r="F69" s="69" t="s">
        <x:v>38</x:v>
      </x:c>
      <x:c r="G69" s="69" t="s">
        <x:v>38</x:v>
      </x:c>
      <x:c r="H69" s="70" t="s">
        <x:v>38</x:v>
      </x:c>
      <x:c r="I69" s="1"/>
      <x:c r="J69" s="1"/>
      <x:c r="K69" s="1"/>
    </x:row>
    <x:row r="70">
      <x:c r="B70" s="1" t="s">
        <x:v>144</x:v>
      </x:c>
      <x:c r="C70" s="69" t="s">
        <x:v>38</x:v>
      </x:c>
      <x:c r="D70" s="69" t="s">
        <x:v>38</x:v>
      </x:c>
      <x:c r="E70" s="69" t="s">
        <x:v>38</x:v>
      </x:c>
      <x:c r="F70" s="69" t="s">
        <x:v>38</x:v>
      </x:c>
      <x:c r="G70" s="69" t="s">
        <x:v>38</x:v>
      </x:c>
      <x:c r="H70" s="70" t="s">
        <x:v>38</x:v>
      </x:c>
      <x:c r="I70" s="1"/>
      <x:c r="J70" s="1"/>
      <x:c r="K70" s="1"/>
    </x:row>
    <x:row r="71">
      <x:c r="B71" s="1" t="s">
        <x:v>145</x:v>
      </x:c>
      <x:c r="C71" s="69" t="s">
        <x:v>38</x:v>
      </x:c>
      <x:c r="D71" s="69" t="s">
        <x:v>38</x:v>
      </x:c>
      <x:c r="E71" s="69" t="s">
        <x:v>38</x:v>
      </x:c>
      <x:c r="F71" s="69" t="s">
        <x:v>38</x:v>
      </x:c>
      <x:c r="G71" s="69" t="s">
        <x:v>38</x:v>
      </x:c>
      <x:c r="H71" s="70" t="s">
        <x:v>38</x:v>
      </x:c>
      <x:c r="I71" s="1"/>
      <x:c r="J71" s="1"/>
      <x:c r="K71" s="1"/>
    </x:row>
    <x:row r="72">
      <x:c r="B72" s="1" t="s">
        <x:v>146</x:v>
      </x:c>
      <x:c r="C72" s="69" t="s">
        <x:v>38</x:v>
      </x:c>
      <x:c r="D72" s="69" t="s">
        <x:v>38</x:v>
      </x:c>
      <x:c r="E72" s="69" t="s">
        <x:v>38</x:v>
      </x:c>
      <x:c r="F72" s="69" t="s">
        <x:v>38</x:v>
      </x:c>
      <x:c r="G72" s="69" t="s">
        <x:v>38</x:v>
      </x:c>
      <x:c r="H72" s="70" t="s">
        <x:v>38</x:v>
      </x:c>
      <x:c r="I72" s="1"/>
      <x:c r="J72" s="1"/>
      <x:c r="K72" s="1"/>
    </x:row>
    <x:row r="73">
      <x:c r="B73" s="6"/>
      <x:c r="C73" s="6"/>
      <x:c r="D73" s="6"/>
      <x:c r="E73" s="6"/>
      <x:c r="F73" s="6"/>
      <x:c r="G73" s="6"/>
      <x:c r="H73" s="13"/>
      <x:c r="I73" s="6"/>
      <x:c r="J73" s="6"/>
      <x:c r="K73" s="6"/>
    </x:row>
    <x:row r="74">
      <x:c r="B74" s="1" t="s">
        <x:v>147</x:v>
      </x:c>
      <x:c r="C74" s="1"/>
      <x:c r="D74" s="1"/>
      <x:c r="E74" s="1"/>
      <x:c r="F74" s="1"/>
      <x:c r="G74" s="1"/>
      <x:c r="H74" s="3" t="n">
        <x:f>H58</x:f>
        <x:v>133.89999999999998</x:v>
      </x:c>
    </x:row>
    <x:row r="75">
      <x:c r="B75" s="35" t="s">
        <x:v>148</x:v>
      </x:c>
      <x:c r="C75" s="1"/>
      <x:c r="D75" s="1"/>
      <x:c r="E75" s="1"/>
      <x:c r="F75" s="1"/>
      <x:c r="G75" s="1"/>
      <x:c r="H75" s="42" t="n">
        <x:f>H74/C29-1</x:f>
        <x:v>0</x:v>
      </x:c>
    </x:row>
    <x:row r="76">
      <x:c r="B76" s="1" t="s">
        <x:v>149</x:v>
      </x:c>
      <x:c r="C76" s="1"/>
      <x:c r="D76" s="1"/>
      <x:c r="E76" s="1"/>
      <x:c r="F76" s="1"/>
      <x:c r="G76" s="1"/>
      <x:c r="H76" s="3" t="n">
        <x:f>H74-F29</x:f>
        <x:v>3.69999999999996</x:v>
      </x:c>
    </x:row>
    <x:row r="77">
      <x:c r="B77" s="1" t="s">
        <x:v>150</x:v>
      </x:c>
      <x:c r="C77" s="1"/>
      <x:c r="D77" s="1"/>
      <x:c r="E77" s="1"/>
      <x:c r="F77" s="1"/>
      <x:c r="G77" s="1"/>
      <x:c r="H77" s="3" t="n">
        <x:f>H59</x:f>
        <x:v>2.100000000000011</x:v>
      </x:c>
    </x:row>
    <x:row r="78">
      <x:c r="B78" s="35" t="s">
        <x:v>151</x:v>
      </x:c>
      <x:c r="C78" s="1"/>
      <x:c r="D78" s="1"/>
      <x:c r="E78" s="1"/>
      <x:c r="F78" s="1"/>
      <x:c r="G78" s="1"/>
      <x:c r="H78" s="42" t="n">
        <x:f>H77/C29</x:f>
        <x:v>0.015683345780433244</x:v>
      </x:c>
    </x:row>
    <x:row r="79">
      <x:c r="B79" s="1" t="s">
        <x:v>152</x:v>
      </x:c>
      <x:c r="C79" s="1"/>
      <x:c r="D79" s="1"/>
      <x:c r="E79" s="1"/>
      <x:c r="F79" s="1"/>
      <x:c r="G79" s="1"/>
      <x:c r="H79" s="76" t="s">
        <x:v>38</x:v>
      </x:c>
    </x:row>
    <x:row r="80">
      <x:c r="B80" s="1" t="s">
        <x:v>153</x:v>
      </x:c>
      <x:c r="C80" s="1"/>
      <x:c r="D80" s="1"/>
      <x:c r="E80" s="1"/>
      <x:c r="F80" s="1"/>
      <x:c r="G80" s="1"/>
      <x:c r="H80" s="76" t="n">
        <x:f>H60</x:f>
        <x:v>0</x:v>
      </x:c>
    </x:row>
    <x:row r="81">
      <x:c r="B81" s="35" t="s">
        <x:v>151</x:v>
      </x:c>
      <x:c r="C81" s="1"/>
      <x:c r="D81" s="1"/>
      <x:c r="E81" s="1"/>
      <x:c r="F81" s="1"/>
      <x:c r="G81" s="1"/>
      <x:c r="H81" s="75" t="n">
        <x:f>H80/C29</x:f>
        <x:v>0</x:v>
      </x:c>
    </x:row>
    <x:row r="82">
      <x:c r="B82" s="1" t="s">
        <x:v>154</x:v>
      </x:c>
      <x:c r="C82" s="1"/>
      <x:c r="D82" s="1"/>
      <x:c r="E82" s="1"/>
      <x:c r="F82" s="1"/>
      <x:c r="G82" s="1"/>
      <x:c r="H82" s="76" t="s">
        <x:v>38</x:v>
      </x:c>
    </x:row>
    <x:row r="83">
      <x:c r="B83" s="35" t="s">
        <x:v>155</x:v>
      </x:c>
      <x:c r="C83" s="1"/>
      <x:c r="D83" s="1"/>
      <x:c r="E83" s="1"/>
      <x:c r="F83" s="1"/>
      <x:c r="G83" s="1"/>
      <x:c r="H83" s="75" t="n">
        <x:f>H61</x:f>
        <x:v>0.4285714285714286</x:v>
      </x:c>
      <x:c r="J83" t="s">
        <x:v>156</x:v>
      </x:c>
    </x:row>
    <x:row r="84">
      <x:c r="B84" s="1" t="s">
        <x:v>157</x:v>
      </x:c>
      <x:c r="C84" s="1"/>
      <x:c r="D84" s="1"/>
      <x:c r="E84" s="1"/>
      <x:c r="F84" s="1"/>
      <x:c r="G84" s="1"/>
      <x:c r="H84" s="76" t="s">
        <x:v>38</x:v>
      </x:c>
    </x:row>
    <x:row r="85">
      <x:c r="B85" s="1" t="s">
        <x:v>158</x:v>
      </x:c>
      <x:c r="C85" s="1"/>
      <x:c r="D85" s="1"/>
      <x:c r="E85" s="1"/>
      <x:c r="F85" s="1"/>
      <x:c r="G85" s="1"/>
      <x:c r="H85" s="76" t="s">
        <x:v>38</x:v>
      </x:c>
    </x:row>
    <x:row r="86">
      <x:c r="B86" s="35" t="s">
        <x:v>159</x:v>
      </x:c>
      <x:c r="C86" s="1"/>
      <x:c r="D86" s="1"/>
      <x:c r="E86" s="1"/>
      <x:c r="F86" s="1"/>
      <x:c r="G86" s="1"/>
      <x:c r="H86" s="75" t="n">
        <x:f>H62</x:f>
        <x:v>0.013513513513513598</x:v>
      </x:c>
    </x:row>
    <x:row r="87">
      <x:c r="B87" s="1" t="s">
        <x:v>157</x:v>
      </x:c>
      <x:c r="C87" s="1"/>
      <x:c r="D87" s="1"/>
      <x:c r="E87" s="1"/>
      <x:c r="F87" s="1"/>
      <x:c r="G87" s="1"/>
      <x:c r="H87" s="76" t="s">
        <x:v>38</x:v>
      </x:c>
    </x:row>
    <x:row r="88">
      <x:c r="B88" s="1" t="s">
        <x:v>158</x:v>
      </x:c>
      <x:c r="C88" s="1"/>
      <x:c r="D88" s="1"/>
      <x:c r="E88" s="1"/>
      <x:c r="F88" s="1"/>
      <x:c r="G88" s="1"/>
      <x:c r="H88" s="76" t="s">
        <x:v>38</x:v>
      </x:c>
    </x:row>
    <x:row r="89">
      <x:c r="B89" s="1" t="s">
        <x:v>160</x:v>
      </x:c>
      <x:c r="C89" s="1"/>
      <x:c r="D89" s="1"/>
      <x:c r="E89" s="1"/>
      <x:c r="F89" s="1"/>
      <x:c r="G89" s="1"/>
      <x:c r="H89" s="3" t="n">
        <x:f>SUM(H74,H77,H80)</x:f>
        <x:v>136</x:v>
      </x:c>
    </x:row>
    <x:row r="90">
      <x:c r="B90" s="1" t="s">
        <x:v>161</x:v>
      </x:c>
      <x:c r="C90" s="1"/>
      <x:c r="D90" s="1"/>
      <x:c r="E90" s="1"/>
      <x:c r="F90" s="1"/>
      <x:c r="G90" s="1"/>
      <x:c r="H90" s="3" t="n">
        <x:f>H89-H29</x:f>
        <x:v>0</x:v>
      </x:c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6e4906717ea540d6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  <x:col min="11" max="11" width="25" customWidth="1"/>
    <x:col min="12" max="15" width="1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170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72" t="s">
        <x:v>98</x:v>
      </x:c>
      <x:c r="L8" s="69" t="s">
        <x:v>99</x:v>
      </x:c>
      <x:c r="M8" s="69" t="s">
        <x:v>100</x:v>
      </x:c>
      <x:c r="N8" s="69" t="s">
        <x:v>101</x:v>
      </x:c>
      <x:c r="O8" s="69" t="s">
        <x:v>102</x:v>
      </x:c>
    </x:row>
    <x:row r="9">
      <x:c r="B9" s="1" t="s">
        <x:v>103</x:v>
      </x:c>
      <x:c r="C9" s="18">
        <x:v>61.5</x:v>
      </x:c>
      <x:c r="D9" s="18">
        <x:v>60.5</x:v>
      </x:c>
      <x:c r="E9" s="18">
        <x:v>55.6</x:v>
      </x:c>
      <x:c r="F9" s="4" t="n">
        <x:f>G9-SUM(C9:E9)</x:f>
        <x:v>59.599999999999994</x:v>
      </x:c>
      <x:c r="G9" s="18">
        <x:v>237.2</x:v>
      </x:c>
      <x:c r="H9" s="3" t="n">
        <x:f>(C9+H51-H52)*(1+H61)</x:f>
        <x:v>56</x:v>
      </x:c>
      <x:c r="I9" s="1"/>
      <x:c r="J9" s="1" t="s">
        <x:v>104</x:v>
      </x:c>
      <x:c r="K9" s="34">
        <x:v>254.5</x:v>
      </x:c>
      <x:c r="L9" s="34">
        <x:v>61.3</x:v>
      </x:c>
      <x:c r="M9" s="34">
        <x:v>61.2</x:v>
      </x:c>
      <x:c r="N9" s="34">
        <x:v>57.2</x:v>
      </x:c>
      <x:c r="O9" s="34">
        <x:v>74.8</x:v>
      </x:c>
    </x:row>
    <x:row r="10">
      <x:c r="B10" s="35" t="s">
        <x:v>105</x:v>
      </x:c>
      <x:c r="C10" s="8"/>
      <x:c r="D10" s="8"/>
      <x:c r="E10" s="8"/>
      <x:c r="F10" s="8"/>
      <x:c r="G10" s="8" t="n">
        <x:f>IFERROR(G9/K9-1,0)</x:f>
        <x:v>-0.0679764243614932</x:v>
      </x:c>
      <x:c r="H10" s="42" t="n">
        <x:f>IFERROR(H9/C9-1,0)</x:f>
        <x:v>-0.08943089430894313</x:v>
      </x:c>
      <x:c r="I10" s="1"/>
      <x:c r="J10" s="1"/>
      <x:c r="K10" s="1"/>
      <x:c r="L10" s="34"/>
      <x:c r="M10" s="34"/>
      <x:c r="N10" s="34"/>
      <x:c r="O10" s="34"/>
    </x:row>
    <x:row r="11">
      <x:c r="B11" s="1" t="s">
        <x:v>106</x:v>
      </x:c>
      <x:c r="C11" s="4"/>
      <x:c r="D11" s="4" t="n">
        <x:f>D9-C9</x:f>
        <x:v>-1</x:v>
      </x:c>
      <x:c r="E11" s="4" t="n">
        <x:f>E9-D9</x:f>
        <x:v>-4.899999999999999</x:v>
      </x:c>
      <x:c r="F11" s="4" t="n">
        <x:f>F9-E9</x:f>
        <x:v>3.999999999999993</x:v>
      </x:c>
      <x:c r="G11" s="4"/>
      <x:c r="H11" s="3" t="n">
        <x:f>H9-F9</x:f>
        <x:v>-3.5999999999999943</x:v>
      </x:c>
      <x:c r="I11" s="1"/>
      <x:c r="J11" s="1"/>
      <x:c r="K11" s="1"/>
      <x:c r="L11" s="34"/>
      <x:c r="M11" s="34"/>
      <x:c r="N11" s="34"/>
      <x:c r="O11" s="34"/>
    </x:row>
    <x:row r="12">
      <x:c r="B12" s="35" t="s">
        <x:v>107</x:v>
      </x:c>
      <x:c r="C12" s="47" t="n">
        <x:f>IFERROR(C9/C29,0)</x:f>
        <x:v>1</x:v>
      </x:c>
      <x:c r="D12" s="47" t="n">
        <x:f>IFERROR(D9/D29,0)</x:f>
        <x:v>1</x:v>
      </x:c>
      <x:c r="E12" s="47" t="n">
        <x:f>IFERROR(E9/E29,0)</x:f>
        <x:v>1</x:v>
      </x:c>
      <x:c r="F12" s="47" t="n">
        <x:f>IFERROR(F9/F29,0)</x:f>
        <x:v>1</x:v>
      </x:c>
      <x:c r="G12" s="8" t="n">
        <x:f>IFERROR(G9/G29,0)</x:f>
        <x:v>1</x:v>
      </x:c>
      <x:c r="H12" s="42" t="n">
        <x:f>IFERROR(H9/H29,0)</x:f>
        <x:v>1</x:v>
      </x:c>
      <x:c r="I12" s="1"/>
      <x:c r="J12" s="1"/>
      <x:c r="K12" s="1"/>
      <x:c r="L12" s="34"/>
      <x:c r="M12" s="34"/>
      <x:c r="N12" s="34"/>
      <x:c r="O12" s="34"/>
    </x:row>
    <x:row r="13">
      <x:c r="B13" s="35" t="s">
        <x:v>108</x:v>
      </x:c>
      <x:c r="C13" s="4"/>
      <x:c r="D13" s="4" t="n">
        <x:f>(D12-C12)*10000</x:f>
        <x:v>0</x:v>
      </x:c>
      <x:c r="E13" s="4" t="n">
        <x:f>(E12-D12)*10000</x:f>
        <x:v>0</x:v>
      </x:c>
      <x:c r="F13" s="4" t="n">
        <x:f>(F12-E12)*10000</x:f>
        <x:v>0</x:v>
      </x:c>
      <x:c r="G13" s="45" t="n">
        <x:f>(G12-K9/K29)*10000</x:f>
        <x:v>0</x:v>
      </x:c>
      <x:c r="H13" s="46" t="n">
        <x:f>(H12-C12)*10000</x:f>
        <x:v>0</x:v>
      </x:c>
      <x:c r="I13" s="1"/>
      <x:c r="J13" s="1"/>
      <x:c r="K13" s="1"/>
      <x:c r="L13" s="34"/>
      <x:c r="M13" s="34"/>
      <x:c r="N13" s="34"/>
      <x:c r="O13" s="34"/>
    </x:row>
    <x:row r="14">
      <x:c r="B14" s="35" t="s">
        <x:v>62</x:v>
      </x:c>
      <x:c r="C14" s="8"/>
      <x:c r="D14" s="8"/>
      <x:c r="E14" s="8"/>
      <x:c r="F14" s="8"/>
      <x:c r="G14" s="8" t="n">
        <x:f>(1+G17)/((1+G15)*(1+G16))-1</x:f>
        <x:v>-0.0679764243614932</x:v>
      </x:c>
      <x:c r="H14" s="42" t="n">
        <x:f>(1+H17)/((1+H15)*(1+H16))-1</x:f>
        <x:v>-0.08943089430894313</x:v>
      </x:c>
      <x:c r="I14" s="1"/>
      <x:c r="J14" s="1"/>
      <x:c r="K14" s="1"/>
      <x:c r="L14" s="34"/>
      <x:c r="M14" s="34"/>
      <x:c r="N14" s="34"/>
      <x:c r="O14" s="34"/>
    </x:row>
    <x:row r="15">
      <x:c r="B15" s="35" t="s">
        <x:v>63</x:v>
      </x:c>
      <x:c r="C15" s="8"/>
      <x:c r="D15" s="8"/>
      <x:c r="E15" s="8"/>
      <x:c r="F15" s="8"/>
      <x:c r="G15" s="48">
        <x:v>0</x:v>
      </x:c>
      <x:c r="H15" s="42" t="n">
        <x:f>(H51-H52)/C9</x:f>
        <x:v>0</x:v>
      </x:c>
      <x:c r="I15" s="1"/>
      <x:c r="J15" s="1"/>
      <x:c r="K15" s="1"/>
      <x:c r="L15" s="34"/>
      <x:c r="M15" s="34"/>
      <x:c r="N15" s="34"/>
      <x:c r="O15" s="34"/>
    </x:row>
    <x:row r="16">
      <x:c r="B16" s="35" t="s">
        <x:v>109</x:v>
      </x:c>
      <x:c r="C16" s="8"/>
      <x:c r="D16" s="8"/>
      <x:c r="E16" s="8"/>
      <x:c r="F16" s="8"/>
      <x:c r="G16" s="48">
        <x:v>0</x:v>
      </x:c>
      <x:c r="H16" s="44">
        <x:v>0</x:v>
      </x:c>
      <x:c r="I16" s="1"/>
      <x:c r="J16" s="1"/>
      <x:c r="K16" s="1"/>
      <x:c r="L16" s="34"/>
      <x:c r="M16" s="34"/>
      <x:c r="N16" s="34"/>
      <x:c r="O16" s="34"/>
    </x:row>
    <x:row r="17">
      <x:c r="B17" s="35" t="s">
        <x:v>84</x:v>
      </x:c>
      <x:c r="C17" s="8"/>
      <x:c r="D17" s="8"/>
      <x:c r="E17" s="8"/>
      <x:c r="F17" s="8"/>
      <x:c r="G17" s="8" t="n">
        <x:f>G10</x:f>
        <x:v>-0.0679764243614932</x:v>
      </x:c>
      <x:c r="H17" s="42" t="n">
        <x:f>H10</x:f>
        <x:v>-0.08943089430894313</x:v>
      </x:c>
      <x:c r="I17" s="1"/>
      <x:c r="J17" s="1"/>
      <x:c r="K17" s="1"/>
      <x:c r="L17" s="34"/>
      <x:c r="M17" s="34"/>
      <x:c r="N17" s="34"/>
      <x:c r="O17" s="34"/>
    </x:row>
    <x:row r="18">
      <x:c r="B18" s="1"/>
      <x:c r="C18" s="4"/>
      <x:c r="D18" s="4"/>
      <x:c r="E18" s="4"/>
      <x:c r="F18" s="4"/>
      <x:c r="G18" s="4"/>
      <x:c r="H18" s="3"/>
      <x:c r="I18" s="1"/>
      <x:c r="J18" s="1"/>
      <x:c r="K18" s="1"/>
      <x:c r="L18" s="34"/>
      <x:c r="M18" s="34"/>
      <x:c r="N18" s="34"/>
      <x:c r="O18" s="34"/>
    </x:row>
    <x:row r="19">
      <x:c r="B19" s="1" t="s">
        <x:v>110</x:v>
      </x:c>
      <x:c r="C19" s="18">
        <x:v>0</x:v>
      </x:c>
      <x:c r="D19" s="18">
        <x:v>0</x:v>
      </x:c>
      <x:c r="E19" s="18">
        <x:v>0</x:v>
      </x:c>
      <x:c r="F19" s="4" t="n">
        <x:f>G19-SUM(C19:E19)</x:f>
        <x:v>0</x:v>
      </x:c>
      <x:c r="G19" s="18">
        <x:v>0</x:v>
      </x:c>
      <x:c r="H19" s="3" t="n">
        <x:f>C19</x:f>
        <x:v>0</x:v>
      </x:c>
      <x:c r="I19" s="1"/>
      <x:c r="J19" s="1"/>
      <x:c r="K19" s="1">
        <x:v>0</x:v>
      </x:c>
      <x:c r="L19" s="34">
        <x:v>0</x:v>
      </x:c>
      <x:c r="M19" s="34">
        <x:v>0</x:v>
      </x:c>
      <x:c r="N19" s="34">
        <x:v>0</x:v>
      </x:c>
      <x:c r="O19" s="34">
        <x:v>0</x:v>
      </x:c>
    </x:row>
    <x:row r="20">
      <x:c r="B20" s="35" t="s">
        <x:v>105</x:v>
      </x:c>
      <x:c r="C20" s="8"/>
      <x:c r="D20" s="8"/>
      <x:c r="E20" s="8"/>
      <x:c r="F20" s="8"/>
      <x:c r="G20" s="8" t="n">
        <x:f>IFERROR(G19/K19-1,0)</x:f>
        <x:v>0</x:v>
      </x:c>
      <x:c r="H20" s="42" t="n">
        <x:f>IFERROR(H19/C19-1,0)</x:f>
        <x:v>0</x:v>
      </x:c>
      <x:c r="I20" s="1"/>
      <x:c r="J20" s="1"/>
      <x:c r="K20" s="1"/>
    </x:row>
    <x:row r="21">
      <x:c r="B21" s="1" t="s">
        <x:v>106</x:v>
      </x:c>
      <x:c r="C21" s="4"/>
      <x:c r="D21" s="4" t="n">
        <x:f>D19-C19</x:f>
        <x:v>0</x:v>
      </x:c>
      <x:c r="E21" s="4" t="n">
        <x:f>E19-D19</x:f>
        <x:v>0</x:v>
      </x:c>
      <x:c r="F21" s="4" t="n">
        <x:f>F19-E19</x:f>
        <x:v>0</x:v>
      </x:c>
      <x:c r="G21" s="4"/>
      <x:c r="H21" s="3" t="n">
        <x:f>H19-F19</x:f>
        <x:v>0</x:v>
      </x:c>
      <x:c r="I21" s="1"/>
      <x:c r="J21" s="1"/>
      <x:c r="K21" s="1"/>
    </x:row>
    <x:row r="22">
      <x:c r="B22" s="35" t="s">
        <x:v>111</x:v>
      </x:c>
      <x:c r="C22" s="47" t="n">
        <x:f>IFERROR(C19/C29,0)</x:f>
        <x:v>0</x:v>
      </x:c>
      <x:c r="D22" s="47" t="n">
        <x:f>IFERROR(D19/D29,0)</x:f>
        <x:v>0</x:v>
      </x:c>
      <x:c r="E22" s="47" t="n">
        <x:f>IFERROR(E19/E29,0)</x:f>
        <x:v>0</x:v>
      </x:c>
      <x:c r="F22" s="47" t="n">
        <x:f>IFERROR(F19/F29,0)</x:f>
        <x:v>0</x:v>
      </x:c>
      <x:c r="G22" s="8" t="n">
        <x:f>IFERROR(G19/G29,0)</x:f>
        <x:v>0</x:v>
      </x:c>
      <x:c r="H22" s="42" t="n">
        <x:f>IFERROR(H19/H29,0)</x:f>
        <x:v>0</x:v>
      </x:c>
      <x:c r="I22" s="1"/>
      <x:c r="J22" s="1"/>
      <x:c r="K22" s="1"/>
    </x:row>
    <x:row r="23">
      <x:c r="B23" s="35" t="s">
        <x:v>108</x:v>
      </x:c>
      <x:c r="C23" s="4"/>
      <x:c r="D23" s="4" t="n">
        <x:f>(D22-C22)*10000</x:f>
        <x:v>0</x:v>
      </x:c>
      <x:c r="E23" s="4" t="n">
        <x:f>(E22-D22)*10000</x:f>
        <x:v>0</x:v>
      </x:c>
      <x:c r="F23" s="4" t="n">
        <x:f>(F22-E22)*10000</x:f>
        <x:v>0</x:v>
      </x:c>
      <x:c r="G23" s="45" t="n">
        <x:f>(G22-K19/K29)*10000</x:f>
        <x:v>0</x:v>
      </x:c>
      <x:c r="H23" s="46" t="n">
        <x:f>(H22-C22)*10000</x:f>
        <x:v>0</x:v>
      </x:c>
      <x:c r="I23" s="1"/>
      <x:c r="J23" s="1"/>
      <x:c r="K23" s="1"/>
    </x:row>
    <x:row r="24">
      <x:c r="B24" s="35" t="s">
        <x:v>62</x:v>
      </x:c>
      <x:c r="C24" s="8"/>
      <x:c r="D24" s="8"/>
      <x:c r="E24" s="8"/>
      <x:c r="F24" s="8"/>
      <x:c r="G24" s="8" t="n">
        <x:f>(1+G27)/((1+G25)*(1+G26))-1</x:f>
        <x:v>0</x:v>
      </x:c>
      <x:c r="H24" s="42" t="n">
        <x:f>(1+H27)/((1+H25)*(1+H26))-1</x:f>
        <x:v>0</x:v>
      </x:c>
      <x:c r="I24" s="1"/>
      <x:c r="J24" s="1"/>
      <x:c r="K24" s="1"/>
    </x:row>
    <x:row r="25">
      <x:c r="B25" s="35" t="s">
        <x:v>63</x:v>
      </x:c>
      <x:c r="C25" s="8"/>
      <x:c r="D25" s="8"/>
      <x:c r="E25" s="8"/>
      <x:c r="F25" s="8"/>
      <x:c r="G25" s="48">
        <x:v>0</x:v>
      </x:c>
      <x:c r="H25" s="42" t="n">
        <x:f>IFERROR(H52/C19,0)</x:f>
        <x:v>0</x:v>
      </x:c>
      <x:c r="I25" s="1"/>
      <x:c r="J25" s="1"/>
      <x:c r="K25" s="1"/>
    </x:row>
    <x:row r="26">
      <x:c r="B26" s="35" t="s">
        <x:v>109</x:v>
      </x:c>
      <x:c r="C26" s="8"/>
      <x:c r="D26" s="8"/>
      <x:c r="E26" s="8"/>
      <x:c r="F26" s="8"/>
      <x:c r="G26" s="48">
        <x:v>0</x:v>
      </x:c>
      <x:c r="H26" s="44">
        <x:v>0</x:v>
      </x:c>
      <x:c r="I26" s="1"/>
      <x:c r="J26" s="1"/>
      <x:c r="K26" s="1"/>
    </x:row>
    <x:row r="27">
      <x:c r="B27" s="35" t="s">
        <x:v>84</x:v>
      </x:c>
      <x:c r="C27" s="8"/>
      <x:c r="D27" s="8"/>
      <x:c r="E27" s="8"/>
      <x:c r="F27" s="8"/>
      <x:c r="G27" s="8" t="n">
        <x:f>G20</x:f>
        <x:v>0</x:v>
      </x:c>
      <x:c r="H27" s="42" t="n">
        <x:f>H20</x:f>
        <x:v>0</x:v>
      </x:c>
      <x:c r="I27" s="1"/>
      <x:c r="J27" s="1"/>
      <x:c r="K27" s="1"/>
    </x:row>
    <x:row r="28">
      <x:c r="B28" s="1"/>
      <x:c r="C28" s="4"/>
      <x:c r="D28" s="4"/>
      <x:c r="E28" s="4"/>
      <x:c r="F28" s="4"/>
      <x:c r="G28" s="4"/>
      <x:c r="H28" s="3"/>
      <x:c r="I28" s="1"/>
      <x:c r="J28" s="1"/>
      <x:c r="K28" s="1"/>
    </x:row>
    <x:row r="29">
      <x:c r="B29" s="17" t="s">
        <x:v>112</x:v>
      </x:c>
      <x:c r="C29" s="20" t="n">
        <x:f>SUM(C9,C19)</x:f>
        <x:v>61.5</x:v>
      </x:c>
      <x:c r="D29" s="20" t="n">
        <x:f>SUM(D9,D19)</x:f>
        <x:v>60.5</x:v>
      </x:c>
      <x:c r="E29" s="20" t="n">
        <x:f>SUM(E9,E19)</x:f>
        <x:v>55.6</x:v>
      </x:c>
      <x:c r="F29" s="20" t="n">
        <x:f>SUM(F9,F19)</x:f>
        <x:v>59.599999999999994</x:v>
      </x:c>
      <x:c r="G29" s="20" t="n">
        <x:f>SUM(G9,G19)</x:f>
        <x:v>237.2</x:v>
      </x:c>
      <x:c r="H29" s="21" t="n">
        <x:f>SUM(H9,H19)</x:f>
        <x:v>56</x:v>
      </x:c>
      <x:c r="I29" s="1"/>
      <x:c r="J29" s="1"/>
      <x:c r="K29" s="1" t="n">
        <x:f>SUM(K9,K19)</x:f>
        <x:v>254.5</x:v>
      </x:c>
    </x:row>
    <x:row r="30">
      <x:c r="B30" s="35" t="s">
        <x:v>105</x:v>
      </x:c>
      <x:c r="C30" s="8"/>
      <x:c r="D30" s="8"/>
      <x:c r="E30" s="8"/>
      <x:c r="F30" s="8"/>
      <x:c r="G30" s="8" t="n">
        <x:f>G29/K29-1</x:f>
        <x:v>-0.0679764243614932</x:v>
      </x:c>
      <x:c r="H30" s="42" t="n">
        <x:f>IFERROR(H29/C29-1,0)</x:f>
        <x:v>-0.08943089430894313</x:v>
      </x:c>
      <x:c r="I30" s="1"/>
      <x:c r="J30" s="1"/>
      <x:c r="K30" s="1"/>
    </x:row>
    <x:row r="31">
      <x:c r="B31" s="1" t="s">
        <x:v>106</x:v>
      </x:c>
      <x:c r="C31" s="4"/>
      <x:c r="D31" s="4" t="n">
        <x:f>D29-C29</x:f>
        <x:v>-1</x:v>
      </x:c>
      <x:c r="E31" s="4" t="n">
        <x:f>E29-D29</x:f>
        <x:v>-4.899999999999999</x:v>
      </x:c>
      <x:c r="F31" s="4" t="n">
        <x:f>F29-E29</x:f>
        <x:v>3.999999999999993</x:v>
      </x:c>
      <x:c r="G31" s="4"/>
      <x:c r="H31" s="3" t="n">
        <x:f>H29-F29</x:f>
        <x:v>-3.5999999999999943</x:v>
      </x:c>
      <x:c r="I31" s="1"/>
      <x:c r="J31" s="1"/>
      <x:c r="K31" s="1"/>
    </x:row>
    <x:row r="32">
      <x:c r="B32" s="35" t="s">
        <x:v>113</x:v>
      </x:c>
      <x:c r="C32" s="27" t="n">
        <x:f>IFERROR(C29/'Revenue summary'!C29,0)</x:f>
        <x:v>0.0831530557057869</x:v>
      </x:c>
      <x:c r="D32" s="27" t="n">
        <x:f>IFERROR(D29/'Revenue summary'!D29,0)</x:f>
        <x:v>0.0760719225449516</x:v>
      </x:c>
      <x:c r="E32" s="27" t="n">
        <x:f>IFERROR(E29/'Revenue summary'!E29,0)</x:f>
        <x:v>0.06579103064726068</x:v>
      </x:c>
      <x:c r="F32" s="27" t="n">
        <x:f>IFERROR(F29/'Revenue summary'!F29,0)</x:f>
        <x:v>0.06422413793103446</x:v>
      </x:c>
      <x:c r="G32" s="27" t="n">
        <x:f>IFERROR(G29/'Revenue summary'!G29,0)</x:f>
        <x:v>0.0717049576783555</x:v>
      </x:c>
      <x:c r="H32" s="49" t="n">
        <x:f>IFERROR(H29/'Revenue summary'!H29,0)</x:f>
        <x:v>0.06334841628959276</x:v>
      </x:c>
      <x:c r="I32" s="1"/>
      <x:c r="J32" s="1"/>
      <x:c r="K32" s="1"/>
    </x:row>
    <x:row r="33">
      <x:c r="B33" s="35" t="s">
        <x:v>108</x:v>
      </x:c>
      <x:c r="C33" s="4"/>
      <x:c r="D33" s="4" t="n">
        <x:f>(D32-C32)*10000</x:f>
        <x:v>-70.81133160835307</x:v>
      </x:c>
      <x:c r="E33" s="4" t="n">
        <x:f>(E32-D32)*10000</x:f>
        <x:v>-102.80891897690923</x:v>
      </x:c>
      <x:c r="F33" s="4" t="n">
        <x:f>(F32-E32)*10000</x:f>
        <x:v>-15.668927162262175</x:v>
      </x:c>
      <x:c r="G33" s="4"/>
      <x:c r="H33" s="3" t="n">
        <x:f>(H32-C32)*10000</x:f>
        <x:v>-198.04639416194146</x:v>
      </x:c>
      <x:c r="I33" s="1"/>
      <x:c r="J33" s="1"/>
      <x:c r="K33" s="1"/>
    </x:row>
    <x:row r="34">
      <x:c r="B34" s="35" t="s">
        <x:v>62</x:v>
      </x:c>
      <x:c r="C34" s="8"/>
      <x:c r="D34" s="8"/>
      <x:c r="E34" s="8"/>
      <x:c r="F34" s="8"/>
      <x:c r="G34" s="8" t="n">
        <x:f>(1+G37)/((1+G35)*(1+G36))-1</x:f>
        <x:v>-0.0679764243614932</x:v>
      </x:c>
      <x:c r="H34" s="42" t="n">
        <x:f>(1+H37)/((1+H35)*(1+H36))-1</x:f>
        <x:v>-0.08943089430894313</x:v>
      </x:c>
      <x:c r="I34" s="1"/>
      <x:c r="J34" s="1"/>
      <x:c r="K34" s="1"/>
    </x:row>
    <x:row r="35">
      <x:c r="B35" s="35" t="s">
        <x:v>63</x:v>
      </x:c>
      <x:c r="C35" s="8"/>
      <x:c r="D35" s="8"/>
      <x:c r="E35" s="8"/>
      <x:c r="F35" s="8"/>
      <x:c r="G35" s="48">
        <x:v>0</x:v>
      </x:c>
      <x:c r="H35" s="42" t="n">
        <x:f>H51/C29</x:f>
        <x:v>0</x:v>
      </x:c>
      <x:c r="I35" s="1"/>
      <x:c r="J35" s="1"/>
      <x:c r="K35" s="1"/>
    </x:row>
    <x:row r="36">
      <x:c r="B36" s="35" t="s">
        <x:v>109</x:v>
      </x:c>
      <x:c r="C36" s="8"/>
      <x:c r="D36" s="8"/>
      <x:c r="E36" s="8"/>
      <x:c r="F36" s="8"/>
      <x:c r="G36" s="48">
        <x:v>0</x:v>
      </x:c>
      <x:c r="H36" s="44">
        <x:v>0</x:v>
      </x:c>
      <x:c r="I36" s="1"/>
      <x:c r="J36" s="1"/>
      <x:c r="K36" s="1"/>
    </x:row>
    <x:row r="37">
      <x:c r="B37" s="35" t="s">
        <x:v>84</x:v>
      </x:c>
      <x:c r="C37" s="8"/>
      <x:c r="D37" s="8"/>
      <x:c r="E37" s="8"/>
      <x:c r="F37" s="8"/>
      <x:c r="G37" s="8" t="n">
        <x:f>G30</x:f>
        <x:v>-0.0679764243614932</x:v>
      </x:c>
      <x:c r="H37" s="42" t="n">
        <x:f>H30</x:f>
        <x:v>-0.08943089430894313</x:v>
      </x:c>
      <x:c r="I37" s="1"/>
      <x:c r="J37" s="1"/>
      <x:c r="K37" s="1"/>
    </x:row>
    <x:row r="38">
      <x:c r="B38" s="1"/>
      <x:c r="C38" s="4"/>
      <x:c r="D38" s="4"/>
      <x:c r="E38" s="4"/>
      <x:c r="F38" s="4"/>
      <x:c r="G38" s="4"/>
      <x:c r="H38" s="3"/>
      <x:c r="I38" s="1"/>
      <x:c r="J38" s="1"/>
      <x:c r="K38" s="1"/>
    </x:row>
    <x:row r="39">
      <x:c r="B39" s="17" t="s">
        <x:v>114</x:v>
      </x:c>
      <x:c r="C39" s="5">
        <x:v>0.4</x:v>
      </x:c>
      <x:c r="D39" s="5">
        <x:v>3.3</x:v>
      </x:c>
      <x:c r="E39" s="5">
        <x:v>-5.2</x:v>
      </x:c>
      <x:c r="F39" s="5">
        <x:v>1.5</x:v>
      </x:c>
      <x:c r="G39" s="5">
        <x:v>0</x:v>
      </x:c>
      <x:c r="H39" s="21" t="n">
        <x:f>H29*H42</x:f>
        <x:v>2.24</x:v>
      </x:c>
      <x:c r="I39" s="1"/>
      <x:c r="J39" s="1"/>
      <x:c r="K39" s="1">
        <x:v>8.6</x:v>
      </x:c>
    </x:row>
    <x:row r="40">
      <x:c r="B40" s="35" t="s">
        <x:v>115</x:v>
      </x:c>
      <x:c r="C40" s="8" t="n">
        <x:f>IFERROR(C39/C29,0)</x:f>
        <x:v>0.0065040650406504065</x:v>
      </x:c>
      <x:c r="D40" s="8" t="n">
        <x:f>IFERROR(D39/D29,0)</x:f>
        <x:v>0.05454545454545454</x:v>
      </x:c>
      <x:c r="E40" s="8" t="n">
        <x:f>IFERROR(E39/E29,0)</x:f>
        <x:v>-0.09352517985611511</x:v>
      </x:c>
      <x:c r="F40" s="8" t="n">
        <x:f>IFERROR(F39/F29,0)</x:f>
        <x:v>0.02516778523489933</x:v>
      </x:c>
      <x:c r="G40" s="8" t="n">
        <x:f>IFERROR(G39/G29,0)</x:f>
        <x:v>0</x:v>
      </x:c>
      <x:c r="H40" s="42" t="n">
        <x:f>IFERROR(H39/H29,0)</x:f>
        <x:v>0.04</x:v>
      </x:c>
      <x:c r="I40" s="1"/>
      <x:c r="J40" s="1"/>
      <x:c r="K40" s="1"/>
    </x:row>
    <x:row r="41">
      <x:c r="B41" s="35" t="s">
        <x:v>116</x:v>
      </x:c>
      <x:c r="C41" s="4"/>
      <x:c r="D41" s="4" t="n">
        <x:f>(D40-C40)*10000</x:f>
        <x:v>480.41389504804135</x:v>
      </x:c>
      <x:c r="E41" s="4" t="n">
        <x:f>(E40-D40)*10000</x:f>
        <x:v>-1480.7063440156965</x:v>
      </x:c>
      <x:c r="F41" s="4" t="n">
        <x:f>(F40-E40)*10000</x:f>
        <x:v>1186.9296509101443</x:v>
      </x:c>
      <x:c r="G41" s="4" t="n">
        <x:f>(G40-K39/K29)*10000</x:f>
        <x:v>-337.91748526522593</x:v>
      </x:c>
      <x:c r="H41" s="3" t="n">
        <x:f>(H40-C40)*10000</x:f>
        <x:v>334.9593495934959</x:v>
      </x:c>
      <x:c r="I41" s="1"/>
      <x:c r="J41" s="1"/>
      <x:c r="K41" s="1"/>
    </x:row>
    <x:row r="42">
      <x:c r="B42" s="35" t="s">
        <x:v>117</x:v>
      </x:c>
      <x:c r="C42" s="8"/>
      <x:c r="D42" s="8"/>
      <x:c r="E42" s="8"/>
      <x:c r="F42" s="8"/>
      <x:c r="G42" s="8"/>
      <x:c r="H42" s="44">
        <x:v>0.04</x:v>
      </x:c>
      <x:c r="I42" s="1"/>
      <x:c r="J42" s="1"/>
      <x:c r="K42" s="1"/>
    </x:row>
    <x:row r="43">
      <x:c r="B43" s="1" t="s">
        <x:v>118</x:v>
      </x:c>
      <x:c r="C43" s="4"/>
      <x:c r="D43" s="4"/>
      <x:c r="E43" s="4"/>
      <x:c r="F43" s="4"/>
      <x:c r="G43" s="4"/>
      <x:c r="H43" s="3"/>
      <x:c r="I43" s="1"/>
      <x:c r="J43" s="1" t="s">
        <x:v>167</x:v>
      </x:c>
      <x:c r="K43" s="1"/>
    </x:row>
    <x:row r="44">
      <x:c r="B44" s="1" t="s">
        <x:v>171</x:v>
      </x:c>
      <x:c r="C44" s="73" t="s">
        <x:v>38</x:v>
      </x:c>
      <x:c r="D44" s="73" t="s">
        <x:v>38</x:v>
      </x:c>
      <x:c r="E44" s="73" t="s">
        <x:v>38</x:v>
      </x:c>
      <x:c r="F44" s="73" t="s">
        <x:v>38</x:v>
      </x:c>
      <x:c r="G44" s="18">
        <x:v>210.4</x:v>
      </x:c>
      <x:c r="H44" s="32">
        <x:v>49.7</x:v>
      </x:c>
      <x:c r="I44" s="1"/>
      <x:c r="J44" s="1"/>
      <x:c r="K44" s="1"/>
    </x:row>
    <x:row r="45">
      <x:c r="B45" s="1" t="s">
        <x:v>172</x:v>
      </x:c>
      <x:c r="C45" s="73" t="s">
        <x:v>38</x:v>
      </x:c>
      <x:c r="D45" s="73" t="s">
        <x:v>38</x:v>
      </x:c>
      <x:c r="E45" s="73" t="s">
        <x:v>38</x:v>
      </x:c>
      <x:c r="F45" s="73" t="s">
        <x:v>38</x:v>
      </x:c>
      <x:c r="G45" s="18">
        <x:v>26.8</x:v>
      </x:c>
      <x:c r="H45" s="32">
        <x:v>6.3</x:v>
      </x:c>
      <x:c r="I45" s="1"/>
      <x:c r="J45" s="1"/>
      <x:c r="K45" s="1"/>
    </x:row>
    <x:row r="46">
      <x:c r="B46" s="17" t="s">
        <x:v>123</x:v>
      </x:c>
      <x:c r="C46" s="20"/>
      <x:c r="D46" s="20"/>
      <x:c r="E46" s="20"/>
      <x:c r="F46" s="20"/>
      <x:c r="G46" s="20" t="n">
        <x:f>SUM(G44:G45)-G29</x:f>
        <x:v>2.842170943040401e-14</x:v>
      </x:c>
      <x:c r="H46" s="21" t="n">
        <x:f>SUM(H44:H45)-H29</x:f>
        <x:v>0</x:v>
      </x:c>
      <x:c r="I46" s="1"/>
      <x:c r="J46" s="1"/>
      <x:c r="K46" s="1"/>
    </x:row>
    <x:row r="47">
      <x:c r="B47" s="1"/>
      <x:c r="C47" s="4"/>
      <x:c r="D47" s="4"/>
      <x:c r="E47" s="4"/>
      <x:c r="F47" s="4"/>
      <x:c r="G47" s="4"/>
      <x:c r="H47" s="3"/>
      <x:c r="I47" s="1"/>
      <x:c r="J47" s="1"/>
      <x:c r="K47" s="1"/>
    </x:row>
    <x:row r="48">
      <x:c r="B48" s="35" t="s">
        <x:v>124</x:v>
      </x:c>
      <x:c r="C48" s="8" t="n">
        <x:f>IFERROR(C9/C29,0)</x:f>
        <x:v>1</x:v>
      </x:c>
      <x:c r="D48" s="8" t="n">
        <x:f>IFERROR(D9/D29,0)</x:f>
        <x:v>1</x:v>
      </x:c>
      <x:c r="E48" s="8" t="n">
        <x:f>IFERROR(E9/E29,0)</x:f>
        <x:v>1</x:v>
      </x:c>
      <x:c r="F48" s="8" t="n">
        <x:f>IFERROR(F9/F29,0)</x:f>
        <x:v>1</x:v>
      </x:c>
      <x:c r="G48" s="8" t="n">
        <x:f>IFERROR(G9/G29,0)</x:f>
        <x:v>1</x:v>
      </x:c>
      <x:c r="H48" s="42" t="n">
        <x:f>IFERROR(H9/H29,0)</x:f>
        <x:v>1</x:v>
      </x:c>
      <x:c r="I48" s="1"/>
      <x:c r="J48" s="1"/>
      <x:c r="K48" s="1"/>
    </x:row>
    <x:row r="49">
      <x:c r="B49" s="35" t="s">
        <x:v>125</x:v>
      </x:c>
      <x:c r="C49" s="45"/>
      <x:c r="D49" s="45"/>
      <x:c r="E49" s="45"/>
      <x:c r="F49" s="45"/>
      <x:c r="G49" s="45"/>
      <x:c r="H49" s="46" t="n">
        <x:f>(H48-C48)*10000</x:f>
        <x:v>0</x:v>
      </x:c>
      <x:c r="I49" s="1"/>
      <x:c r="J49" s="1"/>
      <x:c r="K49" s="1"/>
    </x:row>
    <x:row r="50">
      <x:c r="B50" s="35" t="s">
        <x:v>126</x:v>
      </x:c>
      <x:c r="C50" s="4"/>
      <x:c r="D50" s="4" t="n">
        <x:f>(D48-C48)*10000</x:f>
        <x:v>0</x:v>
      </x:c>
      <x:c r="E50" s="4" t="n">
        <x:f>(E48-D48)*10000</x:f>
        <x:v>0</x:v>
      </x:c>
      <x:c r="F50" s="4" t="n">
        <x:f>(F48-E48)*10000</x:f>
        <x:v>0</x:v>
      </x:c>
      <x:c r="G50" s="4"/>
      <x:c r="H50" s="3" t="n">
        <x:f>(H48-F48)*10000</x:f>
        <x:v>0</x:v>
      </x:c>
      <x:c r="I50" s="1"/>
      <x:c r="J50" s="1"/>
      <x:c r="K50" s="1"/>
    </x:row>
    <x:row r="51">
      <x:c r="B51" s="6" t="s">
        <x:v>127</x:v>
      </x:c>
      <x:c r="C51" s="6"/>
      <x:c r="D51" s="6"/>
      <x:c r="E51" s="6"/>
      <x:c r="F51" s="6"/>
      <x:c r="G51" s="6"/>
      <x:c r="H51" s="43">
        <x:v>0</x:v>
      </x:c>
      <x:c r="I51" s="6"/>
      <x:c r="J51" s="6" t="s">
        <x:v>128</x:v>
      </x:c>
      <x:c r="K51" s="1"/>
    </x:row>
    <x:row r="52">
      <x:c r="B52" s="6" t="s">
        <x:v>129</x:v>
      </x:c>
      <x:c r="C52" s="6"/>
      <x:c r="D52" s="6"/>
      <x:c r="E52" s="6"/>
      <x:c r="F52" s="6"/>
      <x:c r="G52" s="6"/>
      <x:c r="H52" s="43">
        <x:v>0</x:v>
      </x:c>
      <x:c r="I52" s="6"/>
      <x:c r="J52" s="6"/>
      <x:c r="K52" s="1"/>
    </x:row>
    <x:row r="53">
      <x:c r="B53" s="6" t="s">
        <x:v>130</x:v>
      </x:c>
      <x:c r="C53" s="6"/>
      <x:c r="D53" s="6"/>
      <x:c r="E53" s="6"/>
      <x:c r="F53" s="6"/>
      <x:c r="G53" s="6"/>
      <x:c r="H53" s="13"/>
      <x:c r="I53" s="6"/>
      <x:c r="J53" s="6"/>
      <x:c r="K53" s="1">
        <x:v>0</x:v>
      </x:c>
    </x:row>
    <x:row r="54">
      <x:c r="B54" s="6"/>
      <x:c r="C54" s="6"/>
      <x:c r="D54" s="6"/>
      <x:c r="E54" s="6"/>
      <x:c r="F54" s="6"/>
      <x:c r="G54" s="6"/>
      <x:c r="H54" s="13"/>
      <x:c r="I54" s="6"/>
      <x:c r="J54" s="6"/>
      <x:c r="K54" s="6"/>
    </x:row>
    <x:row r="55">
      <x:c r="B55" s="6"/>
      <x:c r="C55" s="6"/>
      <x:c r="D55" s="6"/>
      <x:c r="E55" s="6"/>
      <x:c r="F55" s="6"/>
      <x:c r="G55" s="6"/>
      <x:c r="H55" s="13"/>
      <x:c r="I55" s="6"/>
      <x:c r="J55" s="6"/>
      <x:c r="K55" s="6"/>
    </x:row>
    <x:row r="56">
      <x:c r="B56" s="6"/>
      <x:c r="C56" s="6"/>
      <x:c r="D56" s="6"/>
      <x:c r="E56" s="6"/>
      <x:c r="F56" s="6"/>
      <x:c r="G56" s="6"/>
      <x:c r="H56" s="13"/>
      <x:c r="I56" s="6"/>
      <x:c r="J56" s="6"/>
      <x:c r="K56" s="6"/>
    </x:row>
    <x:row r="57">
      <x:c r="B57" s="1" t="s">
        <x:v>131</x:v>
      </x:c>
      <x:c r="C57" s="1"/>
      <x:c r="D57" s="1"/>
      <x:c r="E57" s="1"/>
      <x:c r="F57" s="1"/>
      <x:c r="G57" s="1"/>
      <x:c r="H57" s="36"/>
      <x:c r="I57" s="1"/>
      <x:c r="J57" s="1"/>
      <x:c r="K57" s="1"/>
    </x:row>
    <x:row r="58">
      <x:c r="B58" s="1" t="s">
        <x:v>132</x:v>
      </x:c>
      <x:c r="C58" s="4" t="n">
        <x:f>C29</x:f>
        <x:v>61.5</x:v>
      </x:c>
      <x:c r="D58" s="1"/>
      <x:c r="E58" s="1"/>
      <x:c r="F58" s="1"/>
      <x:c r="G58" s="1"/>
      <x:c r="H58" s="3" t="n">
        <x:f>C29</x:f>
        <x:v>61.5</x:v>
      </x:c>
      <x:c r="I58" s="1"/>
      <x:c r="J58" s="1"/>
      <x:c r="K58" s="1"/>
    </x:row>
    <x:row r="59">
      <x:c r="B59" s="1" t="s">
        <x:v>133</x:v>
      </x:c>
      <x:c r="C59" s="1"/>
      <x:c r="D59" s="1"/>
      <x:c r="E59" s="1"/>
      <x:c r="F59" s="1"/>
      <x:c r="G59" s="1"/>
      <x:c r="H59" s="36" t="n">
        <x:f>SUM((C9+H51-H52)*H61,(C19+H52)*H62)</x:f>
        <x:v>-5.500000000000003</x:v>
      </x:c>
      <x:c r="I59" s="1"/>
      <x:c r="J59" s="1"/>
      <x:c r="K59" s="1"/>
    </x:row>
    <x:row r="60">
      <x:c r="B60" s="1" t="s">
        <x:v>134</x:v>
      </x:c>
      <x:c r="C60" s="1"/>
      <x:c r="D60" s="1"/>
      <x:c r="E60" s="1"/>
      <x:c r="F60" s="1"/>
      <x:c r="G60" s="1"/>
      <x:c r="H60" s="3" t="n">
        <x:f>H51</x:f>
        <x:v>0</x:v>
      </x:c>
      <x:c r="I60" s="1"/>
      <x:c r="J60" s="1"/>
      <x:c r="K60" s="1"/>
    </x:row>
    <x:row r="61">
      <x:c r="B61" s="35" t="s">
        <x:v>135</x:v>
      </x:c>
      <x:c r="C61" s="8"/>
      <x:c r="D61" s="8"/>
      <x:c r="E61" s="8"/>
      <x:c r="F61" s="8"/>
      <x:c r="G61" s="8"/>
      <x:c r="H61" s="44">
        <x:v>-0.08943089430894313</x:v>
      </x:c>
      <x:c r="I61" s="1"/>
      <x:c r="J61" s="1" t="s">
        <x:v>136</x:v>
      </x:c>
      <x:c r="K61" s="1"/>
    </x:row>
    <x:row r="62">
      <x:c r="B62" s="35" t="s">
        <x:v>137</x:v>
      </x:c>
      <x:c r="C62" s="8"/>
      <x:c r="D62" s="8"/>
      <x:c r="E62" s="8"/>
      <x:c r="F62" s="8"/>
      <x:c r="G62" s="8"/>
      <x:c r="H62" s="44">
        <x:v>0</x:v>
      </x:c>
      <x:c r="I62" s="1"/>
      <x:c r="J62" s="1"/>
      <x:c r="K62" s="1"/>
    </x:row>
    <x:row r="63">
      <x:c r="B63" s="1" t="s">
        <x:v>138</x:v>
      </x:c>
      <x:c r="C63" s="1"/>
      <x:c r="D63" s="1"/>
      <x:c r="E63" s="1"/>
      <x:c r="F63" s="1"/>
      <x:c r="G63" s="1"/>
      <x:c r="H63" s="3" t="n">
        <x:f>H29-SUM(H58:H60)</x:f>
        <x:v>0</x:v>
      </x:c>
      <x:c r="I63" s="1"/>
      <x:c r="J63" s="1"/>
      <x:c r="K63" s="1"/>
    </x:row>
    <x:row r="64">
      <x:c r="B64" s="1"/>
      <x:c r="C64" s="1"/>
      <x:c r="D64" s="1"/>
      <x:c r="E64" s="1"/>
      <x:c r="F64" s="1"/>
      <x:c r="G64" s="1"/>
      <x:c r="H64" s="36"/>
      <x:c r="I64" s="1"/>
      <x:c r="J64" s="1"/>
      <x:c r="K64" s="1"/>
    </x:row>
    <x:row r="65">
      <x:c r="B65" s="1" t="s">
        <x:v>139</x:v>
      </x:c>
      <x:c r="C65" s="1"/>
      <x:c r="D65" s="1"/>
      <x:c r="E65" s="1"/>
      <x:c r="F65" s="1"/>
      <x:c r="G65" s="1"/>
      <x:c r="H65" s="36"/>
      <x:c r="I65" s="1"/>
      <x:c r="J65" s="1"/>
      <x:c r="K65" s="1"/>
    </x:row>
    <x:row r="66">
      <x:c r="B66" s="1"/>
      <x:c r="C66" s="1"/>
      <x:c r="D66" s="1"/>
      <x:c r="E66" s="1"/>
      <x:c r="F66" s="1"/>
      <x:c r="G66" s="1"/>
      <x:c r="H66" s="36"/>
      <x:c r="I66" s="1"/>
      <x:c r="J66" s="1"/>
      <x:c r="K66" s="1"/>
    </x:row>
    <x:row r="67">
      <x:c r="B67" s="1" t="s">
        <x:v>140</x:v>
      </x:c>
      <x:c r="C67" s="69" t="s">
        <x:v>38</x:v>
      </x:c>
      <x:c r="D67" s="69" t="s">
        <x:v>38</x:v>
      </x:c>
      <x:c r="E67" s="69" t="s">
        <x:v>38</x:v>
      </x:c>
      <x:c r="F67" s="69" t="s">
        <x:v>38</x:v>
      </x:c>
      <x:c r="G67" s="69" t="s">
        <x:v>38</x:v>
      </x:c>
      <x:c r="H67" s="70" t="s">
        <x:v>38</x:v>
      </x:c>
      <x:c r="I67" s="1"/>
      <x:c r="J67" s="1" t="s">
        <x:v>141</x:v>
      </x:c>
      <x:c r="K67" s="1"/>
    </x:row>
    <x:row r="68">
      <x:c r="B68" s="1" t="s">
        <x:v>142</x:v>
      </x:c>
      <x:c r="C68" s="69" t="s">
        <x:v>38</x:v>
      </x:c>
      <x:c r="D68" s="69" t="s">
        <x:v>38</x:v>
      </x:c>
      <x:c r="E68" s="69" t="s">
        <x:v>38</x:v>
      </x:c>
      <x:c r="F68" s="69" t="s">
        <x:v>38</x:v>
      </x:c>
      <x:c r="G68" s="69" t="s">
        <x:v>38</x:v>
      </x:c>
      <x:c r="H68" s="70" t="s">
        <x:v>38</x:v>
      </x:c>
      <x:c r="I68" s="1"/>
      <x:c r="J68" s="1"/>
      <x:c r="K68" s="1"/>
    </x:row>
    <x:row r="69">
      <x:c r="B69" s="1" t="s">
        <x:v>143</x:v>
      </x:c>
      <x:c r="C69" s="69" t="s">
        <x:v>38</x:v>
      </x:c>
      <x:c r="D69" s="69" t="s">
        <x:v>38</x:v>
      </x:c>
      <x:c r="E69" s="69" t="s">
        <x:v>38</x:v>
      </x:c>
      <x:c r="F69" s="69" t="s">
        <x:v>38</x:v>
      </x:c>
      <x:c r="G69" s="69" t="s">
        <x:v>38</x:v>
      </x:c>
      <x:c r="H69" s="70" t="s">
        <x:v>38</x:v>
      </x:c>
      <x:c r="I69" s="1"/>
      <x:c r="J69" s="1"/>
      <x:c r="K69" s="1"/>
    </x:row>
    <x:row r="70">
      <x:c r="B70" s="1" t="s">
        <x:v>144</x:v>
      </x:c>
      <x:c r="C70" s="69" t="s">
        <x:v>38</x:v>
      </x:c>
      <x:c r="D70" s="69" t="s">
        <x:v>38</x:v>
      </x:c>
      <x:c r="E70" s="69" t="s">
        <x:v>38</x:v>
      </x:c>
      <x:c r="F70" s="69" t="s">
        <x:v>38</x:v>
      </x:c>
      <x:c r="G70" s="69" t="s">
        <x:v>38</x:v>
      </x:c>
      <x:c r="H70" s="70" t="s">
        <x:v>38</x:v>
      </x:c>
      <x:c r="I70" s="1"/>
      <x:c r="J70" s="1"/>
      <x:c r="K70" s="1"/>
    </x:row>
    <x:row r="71">
      <x:c r="B71" s="1" t="s">
        <x:v>145</x:v>
      </x:c>
      <x:c r="C71" s="69" t="s">
        <x:v>38</x:v>
      </x:c>
      <x:c r="D71" s="69" t="s">
        <x:v>38</x:v>
      </x:c>
      <x:c r="E71" s="69" t="s">
        <x:v>38</x:v>
      </x:c>
      <x:c r="F71" s="69" t="s">
        <x:v>38</x:v>
      </x:c>
      <x:c r="G71" s="69" t="s">
        <x:v>38</x:v>
      </x:c>
      <x:c r="H71" s="70" t="s">
        <x:v>38</x:v>
      </x:c>
      <x:c r="I71" s="1"/>
      <x:c r="J71" s="1"/>
      <x:c r="K71" s="1"/>
    </x:row>
    <x:row r="72">
      <x:c r="B72" s="1" t="s">
        <x:v>146</x:v>
      </x:c>
      <x:c r="C72" s="69" t="s">
        <x:v>38</x:v>
      </x:c>
      <x:c r="D72" s="69" t="s">
        <x:v>38</x:v>
      </x:c>
      <x:c r="E72" s="69" t="s">
        <x:v>38</x:v>
      </x:c>
      <x:c r="F72" s="69" t="s">
        <x:v>38</x:v>
      </x:c>
      <x:c r="G72" s="69" t="s">
        <x:v>38</x:v>
      </x:c>
      <x:c r="H72" s="70" t="s">
        <x:v>38</x:v>
      </x:c>
      <x:c r="I72" s="1"/>
      <x:c r="J72" s="1"/>
      <x:c r="K72" s="1"/>
    </x:row>
    <x:row r="73">
      <x:c r="B73" s="6"/>
      <x:c r="C73" s="6"/>
      <x:c r="D73" s="6"/>
      <x:c r="E73" s="6"/>
      <x:c r="F73" s="6"/>
      <x:c r="G73" s="6"/>
      <x:c r="H73" s="13"/>
      <x:c r="I73" s="6"/>
      <x:c r="J73" s="6"/>
      <x:c r="K73" s="6"/>
    </x:row>
    <x:row r="74">
      <x:c r="B74" s="1" t="s">
        <x:v>147</x:v>
      </x:c>
      <x:c r="C74" s="1"/>
      <x:c r="D74" s="1"/>
      <x:c r="E74" s="1"/>
      <x:c r="F74" s="1"/>
      <x:c r="G74" s="1"/>
      <x:c r="H74" s="3" t="n">
        <x:f>H58</x:f>
        <x:v>61.5</x:v>
      </x:c>
    </x:row>
    <x:row r="75">
      <x:c r="B75" s="35" t="s">
        <x:v>148</x:v>
      </x:c>
      <x:c r="C75" s="1"/>
      <x:c r="D75" s="1"/>
      <x:c r="E75" s="1"/>
      <x:c r="F75" s="1"/>
      <x:c r="G75" s="1"/>
      <x:c r="H75" s="42" t="n">
        <x:f>H74/C29-1</x:f>
        <x:v>0</x:v>
      </x:c>
    </x:row>
    <x:row r="76">
      <x:c r="B76" s="1" t="s">
        <x:v>149</x:v>
      </x:c>
      <x:c r="C76" s="1"/>
      <x:c r="D76" s="1"/>
      <x:c r="E76" s="1"/>
      <x:c r="F76" s="1"/>
      <x:c r="G76" s="1"/>
      <x:c r="H76" s="3" t="n">
        <x:f>H74-F29</x:f>
        <x:v>1.9000000000000057</x:v>
      </x:c>
    </x:row>
    <x:row r="77">
      <x:c r="B77" s="1" t="s">
        <x:v>150</x:v>
      </x:c>
      <x:c r="C77" s="1"/>
      <x:c r="D77" s="1"/>
      <x:c r="E77" s="1"/>
      <x:c r="F77" s="1"/>
      <x:c r="G77" s="1"/>
      <x:c r="H77" s="3" t="n">
        <x:f>H59</x:f>
        <x:v>-5.500000000000003</x:v>
      </x:c>
    </x:row>
    <x:row r="78">
      <x:c r="B78" s="35" t="s">
        <x:v>151</x:v>
      </x:c>
      <x:c r="C78" s="1"/>
      <x:c r="D78" s="1"/>
      <x:c r="E78" s="1"/>
      <x:c r="F78" s="1"/>
      <x:c r="G78" s="1"/>
      <x:c r="H78" s="42" t="n">
        <x:f>H77/C29</x:f>
        <x:v>-0.08943089430894313</x:v>
      </x:c>
    </x:row>
    <x:row r="79">
      <x:c r="B79" s="1" t="s">
        <x:v>152</x:v>
      </x:c>
      <x:c r="C79" s="1"/>
      <x:c r="D79" s="1"/>
      <x:c r="E79" s="1"/>
      <x:c r="F79" s="1"/>
      <x:c r="G79" s="1"/>
      <x:c r="H79" s="76" t="s">
        <x:v>38</x:v>
      </x:c>
    </x:row>
    <x:row r="80">
      <x:c r="B80" s="1" t="s">
        <x:v>153</x:v>
      </x:c>
      <x:c r="C80" s="1"/>
      <x:c r="D80" s="1"/>
      <x:c r="E80" s="1"/>
      <x:c r="F80" s="1"/>
      <x:c r="G80" s="1"/>
      <x:c r="H80" s="76" t="n">
        <x:f>H60</x:f>
        <x:v>0</x:v>
      </x:c>
    </x:row>
    <x:row r="81">
      <x:c r="B81" s="35" t="s">
        <x:v>151</x:v>
      </x:c>
      <x:c r="C81" s="1"/>
      <x:c r="D81" s="1"/>
      <x:c r="E81" s="1"/>
      <x:c r="F81" s="1"/>
      <x:c r="G81" s="1"/>
      <x:c r="H81" s="75" t="n">
        <x:f>H80/C29</x:f>
        <x:v>0</x:v>
      </x:c>
    </x:row>
    <x:row r="82">
      <x:c r="B82" s="1" t="s">
        <x:v>154</x:v>
      </x:c>
      <x:c r="C82" s="1"/>
      <x:c r="D82" s="1"/>
      <x:c r="E82" s="1"/>
      <x:c r="F82" s="1"/>
      <x:c r="G82" s="1"/>
      <x:c r="H82" s="76" t="s">
        <x:v>38</x:v>
      </x:c>
    </x:row>
    <x:row r="83">
      <x:c r="B83" s="35" t="s">
        <x:v>155</x:v>
      </x:c>
      <x:c r="C83" s="1"/>
      <x:c r="D83" s="1"/>
      <x:c r="E83" s="1"/>
      <x:c r="F83" s="1"/>
      <x:c r="G83" s="1"/>
      <x:c r="H83" s="75" t="n">
        <x:f>H61</x:f>
        <x:v>-0.08943089430894313</x:v>
      </x:c>
      <x:c r="J83" t="s">
        <x:v>156</x:v>
      </x:c>
    </x:row>
    <x:row r="84">
      <x:c r="B84" s="1" t="s">
        <x:v>157</x:v>
      </x:c>
      <x:c r="C84" s="1"/>
      <x:c r="D84" s="1"/>
      <x:c r="E84" s="1"/>
      <x:c r="F84" s="1"/>
      <x:c r="G84" s="1"/>
      <x:c r="H84" s="76" t="s">
        <x:v>38</x:v>
      </x:c>
    </x:row>
    <x:row r="85">
      <x:c r="B85" s="1" t="s">
        <x:v>158</x:v>
      </x:c>
      <x:c r="C85" s="1"/>
      <x:c r="D85" s="1"/>
      <x:c r="E85" s="1"/>
      <x:c r="F85" s="1"/>
      <x:c r="G85" s="1"/>
      <x:c r="H85" s="76" t="s">
        <x:v>38</x:v>
      </x:c>
    </x:row>
    <x:row r="86">
      <x:c r="B86" s="35" t="s">
        <x:v>159</x:v>
      </x:c>
      <x:c r="C86" s="1"/>
      <x:c r="D86" s="1"/>
      <x:c r="E86" s="1"/>
      <x:c r="F86" s="1"/>
      <x:c r="G86" s="1"/>
      <x:c r="H86" s="75" t="n">
        <x:f>H62</x:f>
        <x:v>0</x:v>
      </x:c>
    </x:row>
    <x:row r="87">
      <x:c r="B87" s="1" t="s">
        <x:v>157</x:v>
      </x:c>
      <x:c r="C87" s="1"/>
      <x:c r="D87" s="1"/>
      <x:c r="E87" s="1"/>
      <x:c r="F87" s="1"/>
      <x:c r="G87" s="1"/>
      <x:c r="H87" s="76" t="s">
        <x:v>38</x:v>
      </x:c>
    </x:row>
    <x:row r="88">
      <x:c r="B88" s="1" t="s">
        <x:v>158</x:v>
      </x:c>
      <x:c r="C88" s="1"/>
      <x:c r="D88" s="1"/>
      <x:c r="E88" s="1"/>
      <x:c r="F88" s="1"/>
      <x:c r="G88" s="1"/>
      <x:c r="H88" s="76" t="s">
        <x:v>38</x:v>
      </x:c>
    </x:row>
    <x:row r="89">
      <x:c r="B89" s="1" t="s">
        <x:v>160</x:v>
      </x:c>
      <x:c r="C89" s="1"/>
      <x:c r="D89" s="1"/>
      <x:c r="E89" s="1"/>
      <x:c r="F89" s="1"/>
      <x:c r="G89" s="1"/>
      <x:c r="H89" s="3" t="n">
        <x:f>SUM(H74,H77,H80)</x:f>
        <x:v>56</x:v>
      </x:c>
    </x:row>
    <x:row r="90">
      <x:c r="B90" s="1" t="s">
        <x:v>161</x:v>
      </x:c>
      <x:c r="C90" s="1"/>
      <x:c r="D90" s="1"/>
      <x:c r="E90" s="1"/>
      <x:c r="F90" s="1"/>
      <x:c r="G90" s="1"/>
      <x:c r="H90" s="3" t="n">
        <x:f>H89-H29</x:f>
        <x:v>0</x:v>
      </x:c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5db17437b4c24215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9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173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72" t="s">
        <x:v>174</x:v>
      </x:c>
    </x:row>
    <x:row r="9">
      <x:c r="B9" s="1" t="s">
        <x:v>175</x:v>
      </x:c>
      <x:c r="C9" s="18">
        <x:v>487.8</x:v>
      </x:c>
      <x:c r="D9" s="18">
        <x:v>509.3</x:v>
      </x:c>
      <x:c r="E9" s="18">
        <x:v>539.5</x:v>
      </x:c>
      <x:c r="F9" s="18">
        <x:v>601.8</x:v>
      </x:c>
      <x:c r="G9" s="18">
        <x:v>2138.4</x:v>
      </x:c>
      <x:c r="H9" s="3" t="n">
        <x:f>H11*H49</x:f>
        <x:v>565.76</x:v>
      </x:c>
      <x:c r="I9" s="1"/>
      <x:c r="J9" s="1"/>
      <x:c r="K9" s="6">
        <x:v>1712.3</x:v>
      </x:c>
      <x:c r="L9">
        <x:v>396.9</x:v>
      </x:c>
      <x:c r="M9">
        <x:v>422.1</x:v>
      </x:c>
      <x:c r="N9">
        <x:v>416.6</x:v>
      </x:c>
      <x:c r="O9" t="n">
        <x:f>K9-SUM(L9:N9)</x:f>
        <x:v>476.70000000000005</x:v>
      </x:c>
    </x:row>
    <x:row r="10">
      <x:c r="B10" s="1" t="s">
        <x:v>176</x:v>
      </x:c>
      <x:c r="C10" s="18">
        <x:v>251.8</x:v>
      </x:c>
      <x:c r="D10" s="18">
        <x:v>286</x:v>
      </x:c>
      <x:c r="E10" s="18">
        <x:v>305.6</x:v>
      </x:c>
      <x:c r="F10" s="18">
        <x:v>326.2</x:v>
      </x:c>
      <x:c r="G10" s="18">
        <x:v>1169.6</x:v>
      </x:c>
      <x:c r="H10" s="3" t="n">
        <x:f>H11-H9</x:f>
        <x:v>318.24</x:v>
      </x:c>
      <x:c r="I10" s="1"/>
      <x:c r="J10" s="1"/>
      <x:c r="K10" s="6">
        <x:v>1068.2</x:v>
      </x:c>
      <x:c r="L10">
        <x:v>264.8</x:v>
      </x:c>
      <x:c r="M10">
        <x:v>264</x:v>
      </x:c>
      <x:c r="N10">
        <x:v>261.6</x:v>
      </x:c>
      <x:c r="O10" t="n">
        <x:f>K10-SUM(L10:N10)</x:f>
        <x:v>277.80000000000007</x:v>
      </x:c>
    </x:row>
    <x:row r="11">
      <x:c r="B11" s="17" t="s">
        <x:v>177</x:v>
      </x:c>
      <x:c r="C11" s="50" t="n">
        <x:f>'Revenue summary'!C29</x:f>
        <x:v>739.6</x:v>
      </x:c>
      <x:c r="D11" s="50" t="n">
        <x:f>'Revenue summary'!D29</x:f>
        <x:v>795.3</x:v>
      </x:c>
      <x:c r="E11" s="50" t="n">
        <x:f>'Revenue summary'!E29</x:f>
        <x:v>845.1</x:v>
      </x:c>
      <x:c r="F11" s="50" t="n">
        <x:f>'Revenue summary'!F29</x:f>
        <x:v>928.0000000000002</x:v>
      </x:c>
      <x:c r="G11" s="50" t="n">
        <x:f>'Revenue summary'!G29</x:f>
        <x:v>3308</x:v>
      </x:c>
      <x:c r="H11" s="37" t="n">
        <x:f>'Revenue summary'!H29</x:f>
        <x:v>884</x:v>
      </x:c>
      <x:c r="I11" s="1"/>
      <x:c r="J11" s="1"/>
      <x:c r="K11" s="6"/>
    </x:row>
    <x:row r="12">
      <x:c r="B12" s="35" t="s">
        <x:v>178</x:v>
      </x:c>
      <x:c r="C12" s="8"/>
      <x:c r="D12" s="8"/>
      <x:c r="E12" s="8"/>
      <x:c r="F12" s="8"/>
      <x:c r="G12" s="8"/>
      <x:c r="H12" s="42" t="n">
        <x:f>H11/C11-1</x:f>
        <x:v>0.1952406706327745</x:v>
      </x:c>
      <x:c r="I12" s="1"/>
      <x:c r="J12" s="1"/>
      <x:c r="K12" s="6"/>
    </x:row>
    <x:row r="13">
      <x:c r="B13" s="1" t="s">
        <x:v>179</x:v>
      </x:c>
      <x:c r="C13" s="18">
        <x:v>400.7</x:v>
      </x:c>
      <x:c r="D13" s="18">
        <x:v>413.2</x:v>
      </x:c>
      <x:c r="E13" s="18">
        <x:v>440.2</x:v>
      </x:c>
      <x:c r="F13" s="18">
        <x:v>488.1</x:v>
      </x:c>
      <x:c r="G13" s="18">
        <x:v>1742.2</x:v>
      </x:c>
      <x:c r="H13" s="3" t="n">
        <x:f>H9*(1-H50)</x:f>
        <x:v>458.2656</x:v>
      </x:c>
      <x:c r="I13" s="1"/>
      <x:c r="J13" s="1"/>
      <x:c r="K13" s="6"/>
    </x:row>
    <x:row r="14">
      <x:c r="B14" s="1" t="s">
        <x:v>180</x:v>
      </x:c>
      <x:c r="C14" s="18">
        <x:v>205.2</x:v>
      </x:c>
      <x:c r="D14" s="18">
        <x:v>225.2</x:v>
      </x:c>
      <x:c r="E14" s="18">
        <x:v>250.2</x:v>
      </x:c>
      <x:c r="F14" s="18">
        <x:v>263.2</x:v>
      </x:c>
      <x:c r="G14" s="18">
        <x:v>943.8</x:v>
      </x:c>
      <x:c r="H14" s="3" t="n">
        <x:f>H10*(1-H51)</x:f>
        <x:v>260.95680000000004</x:v>
      </x:c>
      <x:c r="I14" s="1"/>
      <x:c r="J14" s="1"/>
      <x:c r="K14" s="6"/>
    </x:row>
    <x:row r="15">
      <x:c r="B15" s="17" t="s">
        <x:v>181</x:v>
      </x:c>
      <x:c r="C15" s="20" t="n">
        <x:f>C11-SUM(C13:C14)</x:f>
        <x:v>133.70000000000005</x:v>
      </x:c>
      <x:c r="D15" s="20" t="n">
        <x:f>D11-SUM(D13:D14)</x:f>
        <x:v>156.89999999999998</x:v>
      </x:c>
      <x:c r="E15" s="20" t="n">
        <x:f>E11-SUM(E13:E14)</x:f>
        <x:v>154.70000000000005</x:v>
      </x:c>
      <x:c r="F15" s="20" t="n">
        <x:f>F11-SUM(F13:F14)</x:f>
        <x:v>176.70000000000027</x:v>
      </x:c>
      <x:c r="G15" s="20" t="n">
        <x:f>G11-SUM(G13:G14)</x:f>
        <x:v>622</x:v>
      </x:c>
      <x:c r="H15" s="21" t="n">
        <x:f>H11-SUM(H13:H14)</x:f>
        <x:v>164.7775999999999</x:v>
      </x:c>
      <x:c r="I15" s="1"/>
      <x:c r="J15" s="1"/>
      <x:c r="K15" s="6"/>
    </x:row>
    <x:row r="16">
      <x:c r="B16" s="35" t="s">
        <x:v>182</x:v>
      </x:c>
      <x:c r="C16" s="8" t="n">
        <x:f>C15/C11</x:f>
        <x:v>0.1807733910221742</x:v>
      </x:c>
      <x:c r="D16" s="8" t="n">
        <x:f>D15/D11</x:f>
        <x:v>0.19728404375707279</x:v>
      </x:c>
      <x:c r="E16" s="8" t="n">
        <x:f>E15/E11</x:f>
        <x:v>0.18305525973257608</x:v>
      </x:c>
      <x:c r="F16" s="8" t="n">
        <x:f>F15/F11</x:f>
        <x:v>0.19040948275862093</x:v>
      </x:c>
      <x:c r="G16" s="8" t="n">
        <x:f>G15/G11</x:f>
        <x:v>0.18802902055622733</x:v>
      </x:c>
      <x:c r="H16" s="42" t="n">
        <x:f>H15/H11</x:f>
        <x:v>0.18639999999999987</x:v>
      </x:c>
      <x:c r="I16" s="1"/>
      <x:c r="J16" s="1"/>
      <x:c r="K16" s="6"/>
    </x:row>
    <x:row r="17">
      <x:c r="B17" s="1" t="s">
        <x:v>183</x:v>
      </x:c>
      <x:c r="C17" s="4"/>
      <x:c r="D17" s="4"/>
      <x:c r="E17" s="4"/>
      <x:c r="F17" s="4"/>
      <x:c r="G17" s="4"/>
      <x:c r="H17" s="3" t="n">
        <x:f>(H16-C16)*10000</x:f>
        <x:v>56.26608977825659</x:v>
      </x:c>
      <x:c r="I17" s="1"/>
      <x:c r="J17" s="1"/>
      <x:c r="K17" s="6"/>
    </x:row>
    <x:row r="18">
      <x:c r="B18" s="1" t="s">
        <x:v>184</x:v>
      </x:c>
      <x:c r="C18" s="18">
        <x:v>0.6</x:v>
      </x:c>
      <x:c r="D18" s="18">
        <x:v>1.1</x:v>
      </x:c>
      <x:c r="E18" s="18">
        <x:v>0.5</x:v>
      </x:c>
      <x:c r="F18" s="18">
        <x:v>-0.1</x:v>
      </x:c>
      <x:c r="G18" s="18">
        <x:v>2.1</x:v>
      </x:c>
      <x:c r="H18" s="3" t="n">
        <x:f>H52</x:f>
        <x:v>0.5</x:v>
      </x:c>
      <x:c r="I18" s="1"/>
      <x:c r="J18" s="1"/>
      <x:c r="K18" s="6"/>
    </x:row>
    <x:row r="19">
      <x:c r="B19" s="1" t="s">
        <x:v>185</x:v>
      </x:c>
      <x:c r="C19" s="18">
        <x:v>71.2</x:v>
      </x:c>
      <x:c r="D19" s="18">
        <x:v>88.7</x:v>
      </x:c>
      <x:c r="E19" s="18">
        <x:v>89.8</x:v>
      </x:c>
      <x:c r="F19" s="18">
        <x:v>99.6</x:v>
      </x:c>
      <x:c r="G19" s="18">
        <x:v>349.3</x:v>
      </x:c>
      <x:c r="H19" s="3" t="n">
        <x:f>H53</x:f>
        <x:v>91</x:v>
      </x:c>
      <x:c r="I19" s="1"/>
      <x:c r="J19" s="1"/>
      <x:c r="K19" s="6"/>
    </x:row>
    <x:row r="20">
      <x:c r="B20" s="1" t="s">
        <x:v>186</x:v>
      </x:c>
      <x:c r="C20" s="18">
        <x:v>3</x:v>
      </x:c>
      <x:c r="D20" s="18">
        <x:v>-0.1</x:v>
      </x:c>
      <x:c r="E20" s="18">
        <x:v>1.4</x:v>
      </x:c>
      <x:c r="F20" s="18">
        <x:v>2.9</x:v>
      </x:c>
      <x:c r="G20" s="18">
        <x:v>7.2</x:v>
      </x:c>
      <x:c r="H20" s="3" t="n">
        <x:f>H54</x:f>
        <x:v>1.5</x:v>
      </x:c>
      <x:c r="I20" s="1"/>
      <x:c r="J20" s="1"/>
      <x:c r="K20" s="6"/>
    </x:row>
    <x:row r="21">
      <x:c r="B21" s="17" t="s">
        <x:v>187</x:v>
      </x:c>
      <x:c r="C21" s="20" t="n">
        <x:f>C15-C18-C19+C20</x:f>
        <x:v>64.90000000000005</x:v>
      </x:c>
      <x:c r="D21" s="20" t="n">
        <x:f>D15-D18-D19+D20</x:f>
        <x:v>66.99999999999999</x:v>
      </x:c>
      <x:c r="E21" s="20" t="n">
        <x:f>E15-E18-E19+E20</x:f>
        <x:v>65.80000000000005</x:v>
      </x:c>
      <x:c r="F21" s="20" t="n">
        <x:f>F15-F18-F19+F20</x:f>
        <x:v>80.10000000000028</x:v>
      </x:c>
      <x:c r="G21" s="20" t="n">
        <x:f>G15-G18-G19+G20</x:f>
        <x:v>277.79999999999995</x:v>
      </x:c>
      <x:c r="H21" s="21" t="n">
        <x:f>H15-H18-H19+H20</x:f>
        <x:v>74.7775999999999</x:v>
      </x:c>
      <x:c r="I21" s="1"/>
      <x:c r="J21" s="1"/>
      <x:c r="K21" s="6"/>
    </x:row>
    <x:row r="22">
      <x:c r="B22" s="35" t="s">
        <x:v>188</x:v>
      </x:c>
      <x:c r="C22" s="8" t="n">
        <x:f>C21/C11</x:f>
        <x:v>0.08775013520822073</x:v>
      </x:c>
      <x:c r="D22" s="8" t="n">
        <x:f>D21/D11</x:f>
        <x:v>0.08424493901672324</x:v>
      </x:c>
      <x:c r="E22" s="8" t="n">
        <x:f>E21/E11</x:f>
        <x:v>0.07786060821204598</x:v>
      </x:c>
      <x:c r="F22" s="8" t="n">
        <x:f>F21/F11</x:f>
        <x:v>0.08631465517241407</x:v>
      </x:c>
      <x:c r="G22" s="8" t="n">
        <x:f>G21/G11</x:f>
        <x:v>0.08397823458282949</x:v>
      </x:c>
      <x:c r="H22" s="42" t="n">
        <x:f>H21/H11</x:f>
        <x:v>0.08459004524886865</x:v>
      </x:c>
      <x:c r="I22" s="1"/>
      <x:c r="J22" s="1"/>
      <x:c r="K22" s="6"/>
    </x:row>
    <x:row r="23">
      <x:c r="B23" s="1" t="s">
        <x:v>116</x:v>
      </x:c>
      <x:c r="C23" s="4"/>
      <x:c r="D23" s="4"/>
      <x:c r="E23" s="4"/>
      <x:c r="F23" s="4"/>
      <x:c r="G23" s="4"/>
      <x:c r="H23" s="3" t="n">
        <x:f>(H22-C22)*10000</x:f>
        <x:v>-31.600899593520747</x:v>
      </x:c>
      <x:c r="I23" s="1"/>
      <x:c r="J23" s="1"/>
      <x:c r="K23" s="6"/>
    </x:row>
    <x:row r="24">
      <x:c r="B24" s="1" t="s">
        <x:v>189</x:v>
      </x:c>
      <x:c r="C24" s="18">
        <x:v>-18.8</x:v>
      </x:c>
      <x:c r="D24" s="18">
        <x:v>-19.1</x:v>
      </x:c>
      <x:c r="E24" s="18">
        <x:v>-17.5</x:v>
      </x:c>
      <x:c r="F24" s="18">
        <x:v>-16.3</x:v>
      </x:c>
      <x:c r="G24" s="18">
        <x:v>-72.1</x:v>
      </x:c>
      <x:c r="H24" s="32">
        <x:v>-17</x:v>
      </x:c>
      <x:c r="I24" s="1"/>
      <x:c r="J24" s="1"/>
      <x:c r="K24" s="6"/>
    </x:row>
    <x:row r="25">
      <x:c r="B25" s="1" t="s">
        <x:v>190</x:v>
      </x:c>
      <x:c r="C25" s="18">
        <x:v>0.3</x:v>
      </x:c>
      <x:c r="D25" s="18">
        <x:v>1</x:v>
      </x:c>
      <x:c r="E25" s="18">
        <x:v>0.4</x:v>
      </x:c>
      <x:c r="F25" s="18">
        <x:v>0</x:v>
      </x:c>
      <x:c r="G25" s="18">
        <x:v>1.6</x:v>
      </x:c>
      <x:c r="H25" s="32">
        <x:v>0.4</x:v>
      </x:c>
      <x:c r="I25" s="1"/>
      <x:c r="J25" s="1"/>
      <x:c r="K25" s="6"/>
    </x:row>
    <x:row r="26">
      <x:c r="B26" s="1" t="s">
        <x:v>191</x:v>
      </x:c>
      <x:c r="C26" s="18">
        <x:v>0.6</x:v>
      </x:c>
      <x:c r="D26" s="18">
        <x:v>-0.8</x:v>
      </x:c>
      <x:c r="E26" s="18">
        <x:v>44.4</x:v>
      </x:c>
      <x:c r="F26" s="18">
        <x:v>-6.1</x:v>
      </x:c>
      <x:c r="G26" s="18">
        <x:v>38.6</x:v>
      </x:c>
      <x:c r="H26" s="32">
        <x:v>0</x:v>
      </x:c>
      <x:c r="I26" s="1"/>
      <x:c r="J26" s="1"/>
      <x:c r="K26" s="6"/>
    </x:row>
    <x:row r="27">
      <x:c r="B27" s="17" t="s">
        <x:v>192</x:v>
      </x:c>
      <x:c r="C27" s="20" t="n">
        <x:f>SUM(C21,C24:C26)</x:f>
        <x:v>47.00000000000005</x:v>
      </x:c>
      <x:c r="D27" s="20" t="n">
        <x:f>SUM(D21,D24:D26)</x:f>
        <x:v>48.09999999999998</x:v>
      </x:c>
      <x:c r="E27" s="20" t="n">
        <x:f>SUM(E21,E24:E26)</x:f>
        <x:v>93.10000000000005</x:v>
      </x:c>
      <x:c r="F27" s="20" t="n">
        <x:f>SUM(F21,F24:F26)</x:f>
        <x:v>57.70000000000028</x:v>
      </x:c>
      <x:c r="G27" s="20" t="n">
        <x:f>SUM(G21,G24:G26)</x:f>
        <x:v>245.89999999999995</x:v>
      </x:c>
      <x:c r="H27" s="21" t="n">
        <x:f>SUM(H21,H24:H26)</x:f>
        <x:v>58.17759999999989</x:v>
      </x:c>
      <x:c r="I27" s="1"/>
      <x:c r="J27" s="1"/>
      <x:c r="K27" s="6"/>
    </x:row>
    <x:row r="28">
      <x:c r="B28" s="1" t="s">
        <x:v>193</x:v>
      </x:c>
      <x:c r="C28" s="18">
        <x:v>12.6</x:v>
      </x:c>
      <x:c r="D28" s="18">
        <x:v>13.5</x:v>
      </x:c>
      <x:c r="E28" s="18">
        <x:v>25.1</x:v>
      </x:c>
      <x:c r="F28" s="18">
        <x:v>7</x:v>
      </x:c>
      <x:c r="G28" s="18">
        <x:v>58.2</x:v>
      </x:c>
      <x:c r="H28" s="3" t="n">
        <x:f>H27*H55</x:f>
        <x:v>13.962623999999973</x:v>
      </x:c>
      <x:c r="I28" s="1"/>
      <x:c r="J28" s="1"/>
      <x:c r="K28" s="6"/>
    </x:row>
    <x:row r="29">
      <x:c r="B29" s="35" t="s">
        <x:v>194</x:v>
      </x:c>
      <x:c r="C29" s="8" t="n">
        <x:f>C28/C27</x:f>
        <x:v>0.26808510638297844</x:v>
      </x:c>
      <x:c r="D29" s="8" t="n">
        <x:f>D28/D27</x:f>
        <x:v>0.2806652806652808</x:v>
      </x:c>
      <x:c r="E29" s="8" t="n">
        <x:f>E28/E27</x:f>
        <x:v>0.2696025778732544</x:v>
      </x:c>
      <x:c r="F29" s="8" t="n">
        <x:f>F28/F27</x:f>
        <x:v>0.12131715771230443</x:v>
      </x:c>
      <x:c r="G29" s="8" t="n">
        <x:f>G28/G27</x:f>
        <x:v>0.2366815778771859</x:v>
      </x:c>
      <x:c r="H29" s="42" t="n">
        <x:f>H28/H27</x:f>
        <x:v>0.24</x:v>
      </x:c>
      <x:c r="I29" s="1"/>
      <x:c r="J29" s="1"/>
      <x:c r="K29" s="6"/>
    </x:row>
    <x:row r="30">
      <x:c r="B30" s="17" t="s">
        <x:v>42</x:v>
      </x:c>
      <x:c r="C30" s="20" t="n">
        <x:f>C27-C28</x:f>
        <x:v>34.40000000000005</x:v>
      </x:c>
      <x:c r="D30" s="20" t="n">
        <x:f>D27-D28</x:f>
        <x:v>34.59999999999998</x:v>
      </x:c>
      <x:c r="E30" s="20" t="n">
        <x:f>E27-E28</x:f>
        <x:v>68.00000000000006</x:v>
      </x:c>
      <x:c r="F30" s="20" t="n">
        <x:f>F27-F28</x:f>
        <x:v>50.70000000000028</x:v>
      </x:c>
      <x:c r="G30" s="20" t="n">
        <x:f>G27-G28</x:f>
        <x:v>187.69999999999993</x:v>
      </x:c>
      <x:c r="H30" s="21" t="n">
        <x:f>H27-H28</x:f>
        <x:v>44.21497599999992</x:v>
      </x:c>
      <x:c r="I30" s="1"/>
      <x:c r="J30" s="1"/>
      <x:c r="K30" s="6"/>
    </x:row>
    <x:row r="31">
      <x:c r="B31" s="1" t="s">
        <x:v>195</x:v>
      </x:c>
      <x:c r="C31" s="41" t="n">
        <x:f>'Share Count'!C13</x:f>
        <x:v>35.9</x:v>
      </x:c>
      <x:c r="D31" s="41" t="n">
        <x:f>'Share Count'!D13</x:f>
        <x:v>38.1</x:v>
      </x:c>
      <x:c r="E31" s="41" t="n">
        <x:f>'Share Count'!E13</x:f>
        <x:v>39.5</x:v>
      </x:c>
      <x:c r="F31" s="41" t="n">
        <x:f>'Share Count'!F13</x:f>
        <x:v>39.6</x:v>
      </x:c>
      <x:c r="G31" s="41" t="n">
        <x:f>'Share Count'!G13</x:f>
        <x:v>38.4</x:v>
      </x:c>
      <x:c r="H31" s="39" t="n">
        <x:f>'Share Count'!H13</x:f>
        <x:v>40.15</x:v>
      </x:c>
      <x:c r="I31" s="1"/>
      <x:c r="J31" s="1"/>
      <x:c r="K31" s="6"/>
    </x:row>
    <x:row r="32">
      <x:c r="B32" s="1" t="s">
        <x:v>196</x:v>
      </x:c>
      <x:c r="C32" s="58" t="n">
        <x:f>C30/C31</x:f>
        <x:v>0.9582172701949875</x:v>
      </x:c>
      <x:c r="D32" s="58" t="n">
        <x:f>D30/D31</x:f>
        <x:v>0.908136482939632</x:v>
      </x:c>
      <x:c r="E32" s="58" t="n">
        <x:f>E30/E31</x:f>
        <x:v>1.7215189873417736</x:v>
      </x:c>
      <x:c r="F32" s="58" t="n">
        <x:f>F30/F31</x:f>
        <x:v>1.2803030303030374</x:v>
      </x:c>
      <x:c r="G32" s="58" t="n">
        <x:f>G30/G31</x:f>
        <x:v>4.888020833333332</x:v>
      </x:c>
      <x:c r="H32" s="56" t="n">
        <x:f>H30/H31</x:f>
        <x:v>1.1012447322540455</x:v>
      </x:c>
      <x:c r="I32" s="1"/>
      <x:c r="J32" s="1"/>
      <x:c r="K32" s="6"/>
    </x:row>
    <x:row r="33">
      <x:c r="B33" s="1" t="s">
        <x:v>197</x:v>
      </x:c>
      <x:c r="C33" s="60" t="n">
        <x:f>Inputs!F12</x:f>
        <x:v>0.95</x:v>
      </x:c>
      <x:c r="D33" s="60" t="n">
        <x:f>Inputs!F13</x:f>
        <x:v>0.9</x:v>
      </x:c>
      <x:c r="E33" s="60" t="n">
        <x:f>Inputs!F14</x:f>
        <x:v>1.71</x:v>
      </x:c>
      <x:c r="F33" s="60" t="n">
        <x:f>Inputs!F15</x:f>
        <x:v>1.27</x:v>
      </x:c>
      <x:c r="G33" s="57">
        <x:v>4.86</x:v>
      </x:c>
      <x:c r="H33" s="56"/>
      <x:c r="I33" s="1"/>
      <x:c r="J33" s="1"/>
      <x:c r="K33" s="6"/>
    </x:row>
    <x:row r="34">
      <x:c r="B34" s="1" t="s">
        <x:v>198</x:v>
      </x:c>
      <x:c r="C34" s="18">
        <x:v>6.4</x:v>
      </x:c>
      <x:c r="D34" s="18">
        <x:v>14.2</x:v>
      </x:c>
      <x:c r="E34" s="18">
        <x:v>15.5</x:v>
      </x:c>
      <x:c r="F34" s="18">
        <x:v>17.9</x:v>
      </x:c>
      <x:c r="G34" s="18">
        <x:v>54</x:v>
      </x:c>
      <x:c r="H34" s="32">
        <x:v>14</x:v>
      </x:c>
      <x:c r="I34" s="1"/>
      <x:c r="J34" s="1" t="s">
        <x:v>199</x:v>
      </x:c>
      <x:c r="K34" s="6"/>
    </x:row>
    <x:row r="35">
      <x:c r="B35" s="1" t="s">
        <x:v>200</x:v>
      </x:c>
      <x:c r="C35" s="18">
        <x:v>0</x:v>
      </x:c>
      <x:c r="D35" s="18">
        <x:v>0</x:v>
      </x:c>
      <x:c r="E35" s="18">
        <x:v>-35.7</x:v>
      </x:c>
      <x:c r="F35" s="18">
        <x:v>6.2</x:v>
      </x:c>
      <x:c r="G35" s="18">
        <x:v>-29.5</x:v>
      </x:c>
      <x:c r="H35" s="32">
        <x:v>0</x:v>
      </x:c>
      <x:c r="I35" s="1"/>
      <x:c r="J35" s="1"/>
      <x:c r="K35" s="6"/>
    </x:row>
    <x:row r="36">
      <x:c r="B36" s="1" t="s">
        <x:v>201</x:v>
      </x:c>
      <x:c r="C36" s="18">
        <x:v>-0.7</x:v>
      </x:c>
      <x:c r="D36" s="18">
        <x:v>0.1</x:v>
      </x:c>
      <x:c r="E36" s="18">
        <x:v>0.4</x:v>
      </x:c>
      <x:c r="F36" s="18">
        <x:v>-1.2</x:v>
      </x:c>
      <x:c r="G36" s="18">
        <x:v>-1.4</x:v>
      </x:c>
      <x:c r="H36" s="32">
        <x:v>0</x:v>
      </x:c>
      <x:c r="I36" s="1"/>
      <x:c r="J36" s="1"/>
      <x:c r="K36" s="6"/>
    </x:row>
    <x:row r="37">
      <x:c r="B37" s="1" t="s">
        <x:v>202</x:v>
      </x:c>
      <x:c r="C37" s="18">
        <x:v>0.3</x:v>
      </x:c>
      <x:c r="D37" s="18">
        <x:v>0</x:v>
      </x:c>
      <x:c r="E37" s="18">
        <x:v>-4.6</x:v>
      </x:c>
      <x:c r="F37" s="18">
        <x:v>0.7</x:v>
      </x:c>
      <x:c r="G37" s="18">
        <x:v>-3.6</x:v>
      </x:c>
      <x:c r="H37" s="32">
        <x:v>0</x:v>
      </x:c>
      <x:c r="I37" s="1"/>
      <x:c r="J37" s="1"/>
      <x:c r="K37" s="6"/>
    </x:row>
    <x:row r="38">
      <x:c r="B38" s="1" t="s">
        <x:v>203</x:v>
      </x:c>
      <x:c r="C38" s="18">
        <x:v>-1.4</x:v>
      </x:c>
      <x:c r="D38" s="18">
        <x:v>-3.5</x:v>
      </x:c>
      <x:c r="E38" s="18">
        <x:v>6</x:v>
      </x:c>
      <x:c r="F38" s="18">
        <x:v>-13.3</x:v>
      </x:c>
      <x:c r="G38" s="18">
        <x:v>-12.2</x:v>
      </x:c>
      <x:c r="H38" s="3" t="n">
        <x:f>-H34*H56</x:f>
        <x:v>-3.36</x:v>
      </x:c>
      <x:c r="I38" s="1"/>
      <x:c r="J38" s="1"/>
      <x:c r="K38" s="6"/>
    </x:row>
    <x:row r="39">
      <x:c r="B39" s="17" t="s">
        <x:v>37</x:v>
      </x:c>
      <x:c r="C39" s="20" t="n">
        <x:f>SUM(C30,C34:C38)</x:f>
        <x:v>39.00000000000005</x:v>
      </x:c>
      <x:c r="D39" s="20" t="n">
        <x:f>SUM(D30,D34:D38)</x:f>
        <x:v>45.39999999999998</x:v>
      </x:c>
      <x:c r="E39" s="20" t="n">
        <x:f>SUM(E30,E34:E38)</x:f>
        <x:v>49.60000000000005</x:v>
      </x:c>
      <x:c r="F39" s="20" t="n">
        <x:f>SUM(F30,F34:F38)</x:f>
        <x:v>61.00000000000028</x:v>
      </x:c>
      <x:c r="G39" s="20" t="n">
        <x:f>SUM(G30,G34:G38)</x:f>
        <x:v>194.99999999999994</x:v>
      </x:c>
      <x:c r="H39" s="21" t="n">
        <x:f>SUM(H30,H34:H38)</x:f>
        <x:v>54.85497599999992</x:v>
      </x:c>
      <x:c r="I39" s="1"/>
      <x:c r="J39" s="1"/>
      <x:c r="K39" s="6"/>
    </x:row>
    <x:row r="40">
      <x:c r="B40" s="17" t="s">
        <x:v>204</x:v>
      </x:c>
      <x:c r="C40" s="61" t="n">
        <x:f>C72</x:f>
        <x:v>1.0799999999999998</x:v>
      </x:c>
      <x:c r="D40" s="61" t="n">
        <x:f>D72</x:f>
        <x:v>1.18</x:v>
      </x:c>
      <x:c r="E40" s="61" t="n">
        <x:f>E72</x:f>
        <x:v>1.25</x:v>
      </x:c>
      <x:c r="F40" s="61" t="n">
        <x:f>F72</x:f>
        <x:v>1.5299999999999998</x:v>
      </x:c>
      <x:c r="G40" s="61" t="n">
        <x:f>G72</x:f>
        <x:v>5.050000000000001</x:v>
      </x:c>
      <x:c r="H40" s="63" t="n">
        <x:f>H39/H31</x:f>
        <x:v>1.3662509589041076</x:v>
      </x:c>
      <x:c r="I40" s="1"/>
      <x:c r="J40" s="1"/>
      <x:c r="K40" s="6"/>
    </x:row>
    <x:row r="41">
      <x:c r="B41" s="1" t="s">
        <x:v>205</x:v>
      </x:c>
      <x:c r="C41" s="60" t="n">
        <x:f>Inputs!D12</x:f>
        <x:v>1.08</x:v>
      </x:c>
      <x:c r="D41" s="60" t="n">
        <x:f>Inputs!D13</x:f>
        <x:v>1.18</x:v>
      </x:c>
      <x:c r="E41" s="60" t="n">
        <x:f>Inputs!D14</x:f>
        <x:v>1.25</x:v>
      </x:c>
      <x:c r="F41" s="60" t="n">
        <x:f>Inputs!D15</x:f>
        <x:v>1.53</x:v>
      </x:c>
      <x:c r="G41" s="57">
        <x:v>5.05</x:v>
      </x:c>
      <x:c r="H41" s="56"/>
      <x:c r="I41" s="1"/>
      <x:c r="J41" s="1" t="s">
        <x:v>206</x:v>
      </x:c>
      <x:c r="K41" s="6"/>
    </x:row>
    <x:row r="42">
      <x:c r="B42" s="1" t="s">
        <x:v>207</x:v>
      </x:c>
      <x:c r="C42" s="4" t="n">
        <x:f>C40-C41</x:f>
        <x:v>-2.220446049250313e-16</x:v>
      </x:c>
      <x:c r="D42" s="4" t="n">
        <x:f>D40-D41</x:f>
        <x:v>0</x:v>
      </x:c>
      <x:c r="E42" s="4" t="n">
        <x:f>E40-E41</x:f>
        <x:v>0</x:v>
      </x:c>
      <x:c r="F42" s="4" t="n">
        <x:f>F40-F41</x:f>
        <x:v>-2.220446049250313e-16</x:v>
      </x:c>
      <x:c r="G42" s="4" t="n">
        <x:f>G40-G41</x:f>
        <x:v>8.881784197001252e-16</x:v>
      </x:c>
      <x:c r="H42" s="3"/>
      <x:c r="I42" s="1"/>
      <x:c r="J42" s="1"/>
      <x:c r="K42" s="6"/>
    </x:row>
    <x:row r="43">
      <x:c r="B43" s="35" t="s">
        <x:v>208</x:v>
      </x:c>
      <x:c r="C43" s="8"/>
      <x:c r="D43" s="8"/>
      <x:c r="E43" s="8"/>
      <x:c r="F43" s="8"/>
      <x:c r="G43" s="8"/>
      <x:c r="H43" s="42" t="n">
        <x:f>H30/C30-1</x:f>
        <x:v>0.2853190697674377</x:v>
      </x:c>
      <x:c r="I43" s="1"/>
      <x:c r="J43" s="1"/>
      <x:c r="K43" s="6"/>
    </x:row>
    <x:row r="44">
      <x:c r="B44" s="1" t="s">
        <x:v>209</x:v>
      </x:c>
      <x:c r="C44" s="41" t="n">
        <x:f>'Share Count'!C9</x:f>
        <x:v>35.7</x:v>
      </x:c>
      <x:c r="D44" s="41" t="n">
        <x:f>'Share Count'!D9</x:f>
        <x:v>37.8</x:v>
      </x:c>
      <x:c r="E44" s="41" t="n">
        <x:f>'Share Count'!E9</x:f>
        <x:v>39.3</x:v>
      </x:c>
      <x:c r="F44" s="41" t="n">
        <x:f>'Share Count'!F9</x:f>
        <x:v>39.4</x:v>
      </x:c>
      <x:c r="G44" s="41" t="n">
        <x:f>'Share Count'!G9</x:f>
        <x:v>38.3</x:v>
      </x:c>
      <x:c r="H44" s="39" t="n">
        <x:f>'Share Count'!H9</x:f>
        <x:v>39.95</x:v>
      </x:c>
      <x:c r="I44" s="1"/>
      <x:c r="J44" s="1"/>
      <x:c r="K44" s="6"/>
    </x:row>
    <x:row r="45">
      <x:c r="B45" s="1"/>
      <x:c r="C45" s="4"/>
      <x:c r="D45" s="4"/>
      <x:c r="E45" s="4"/>
      <x:c r="F45" s="4"/>
      <x:c r="G45" s="4"/>
      <x:c r="H45" s="3"/>
      <x:c r="I45" s="1"/>
      <x:c r="J45" s="1"/>
      <x:c r="K45" s="6"/>
    </x:row>
    <x:row r="46">
      <x:c r="B46" s="1"/>
      <x:c r="C46" s="4"/>
      <x:c r="D46" s="4"/>
      <x:c r="E46" s="4"/>
      <x:c r="F46" s="4"/>
      <x:c r="G46" s="4"/>
      <x:c r="H46" s="3"/>
      <x:c r="I46" s="1"/>
      <x:c r="J46" s="1"/>
      <x:c r="K46" s="6"/>
    </x:row>
    <x:row r="47">
      <x:c r="B47" s="1"/>
      <x:c r="C47" s="4"/>
      <x:c r="D47" s="4"/>
      <x:c r="E47" s="4"/>
      <x:c r="F47" s="4"/>
      <x:c r="G47" s="4"/>
      <x:c r="H47" s="3"/>
      <x:c r="I47" s="1"/>
      <x:c r="J47" s="1"/>
      <x:c r="K47" s="6"/>
    </x:row>
    <x:row r="48">
      <x:c r="B48" s="1" t="s">
        <x:v>210</x:v>
      </x:c>
      <x:c r="C48" s="4"/>
      <x:c r="D48" s="4"/>
      <x:c r="E48" s="4"/>
      <x:c r="F48" s="4"/>
      <x:c r="G48" s="4"/>
      <x:c r="H48" s="3"/>
      <x:c r="I48" s="1"/>
      <x:c r="J48" s="1"/>
      <x:c r="K48" s="6"/>
    </x:row>
    <x:row r="49">
      <x:c r="B49" s="35" t="s">
        <x:v>211</x:v>
      </x:c>
      <x:c r="C49" s="8"/>
      <x:c r="D49" s="8"/>
      <x:c r="E49" s="8"/>
      <x:c r="F49" s="8"/>
      <x:c r="G49" s="8"/>
      <x:c r="H49" s="44">
        <x:v>0.64</x:v>
      </x:c>
      <x:c r="I49" s="1"/>
      <x:c r="J49" s="1"/>
      <x:c r="K49" s="6"/>
    </x:row>
    <x:row r="50">
      <x:c r="B50" s="35" t="s">
        <x:v>212</x:v>
      </x:c>
      <x:c r="C50" s="8"/>
      <x:c r="D50" s="8"/>
      <x:c r="E50" s="8"/>
      <x:c r="F50" s="8"/>
      <x:c r="G50" s="8"/>
      <x:c r="H50" s="44">
        <x:v>0.19</x:v>
      </x:c>
      <x:c r="I50" s="1"/>
      <x:c r="J50" s="1"/>
      <x:c r="K50" s="6"/>
    </x:row>
    <x:row r="51">
      <x:c r="B51" s="35" t="s">
        <x:v>213</x:v>
      </x:c>
      <x:c r="C51" s="8"/>
      <x:c r="D51" s="8"/>
      <x:c r="E51" s="8"/>
      <x:c r="F51" s="8"/>
      <x:c r="G51" s="8"/>
      <x:c r="H51" s="44">
        <x:v>0.18</x:v>
      </x:c>
      <x:c r="I51" s="1"/>
      <x:c r="J51" s="1"/>
      <x:c r="K51" s="6"/>
    </x:row>
    <x:row r="52">
      <x:c r="B52" s="1" t="s">
        <x:v>214</x:v>
      </x:c>
      <x:c r="C52" s="4"/>
      <x:c r="D52" s="4"/>
      <x:c r="E52" s="4"/>
      <x:c r="F52" s="4"/>
      <x:c r="G52" s="4"/>
      <x:c r="H52" s="32">
        <x:v>0.5</x:v>
      </x:c>
      <x:c r="I52" s="1"/>
      <x:c r="J52" s="1"/>
      <x:c r="K52" s="6"/>
    </x:row>
    <x:row r="53">
      <x:c r="B53" s="1" t="s">
        <x:v>215</x:v>
      </x:c>
      <x:c r="C53" s="4"/>
      <x:c r="D53" s="4"/>
      <x:c r="E53" s="4"/>
      <x:c r="F53" s="4"/>
      <x:c r="G53" s="4"/>
      <x:c r="H53" s="32">
        <x:v>91</x:v>
      </x:c>
      <x:c r="I53" s="1"/>
      <x:c r="J53" s="1"/>
      <x:c r="K53" s="6"/>
    </x:row>
    <x:row r="54">
      <x:c r="B54" s="1" t="s">
        <x:v>216</x:v>
      </x:c>
      <x:c r="C54" s="4"/>
      <x:c r="D54" s="4"/>
      <x:c r="E54" s="4"/>
      <x:c r="F54" s="4"/>
      <x:c r="G54" s="4"/>
      <x:c r="H54" s="32">
        <x:v>1.5</x:v>
      </x:c>
      <x:c r="I54" s="1"/>
      <x:c r="J54" s="1"/>
      <x:c r="K54" s="6"/>
    </x:row>
    <x:row r="55">
      <x:c r="B55" s="35" t="s">
        <x:v>217</x:v>
      </x:c>
      <x:c r="C55" s="8"/>
      <x:c r="D55" s="8"/>
      <x:c r="E55" s="8"/>
      <x:c r="F55" s="8"/>
      <x:c r="G55" s="8"/>
      <x:c r="H55" s="44">
        <x:v>0.24</x:v>
      </x:c>
      <x:c r="I55" s="1"/>
      <x:c r="J55" s="1"/>
      <x:c r="K55" s="6"/>
    </x:row>
    <x:row r="56">
      <x:c r="B56" s="35" t="s">
        <x:v>218</x:v>
      </x:c>
      <x:c r="C56" s="8"/>
      <x:c r="D56" s="8"/>
      <x:c r="E56" s="8"/>
      <x:c r="F56" s="8"/>
      <x:c r="G56" s="8"/>
      <x:c r="H56" s="44">
        <x:v>0.24</x:v>
      </x:c>
      <x:c r="I56" s="1"/>
      <x:c r="J56" s="1"/>
      <x:c r="K56" s="6"/>
    </x:row>
    <x:row r="57">
      <x:c r="B57" s="6"/>
      <x:c r="C57" s="6"/>
      <x:c r="D57" s="6"/>
      <x:c r="E57" s="6"/>
      <x:c r="F57" s="6"/>
      <x:c r="G57" s="6"/>
      <x:c r="H57" s="13"/>
      <x:c r="I57" s="6"/>
      <x:c r="J57" s="6"/>
      <x:c r="K57" s="6"/>
    </x:row>
    <x:row r="58">
      <x:c r="B58" s="6"/>
      <x:c r="C58" s="6"/>
      <x:c r="D58" s="6"/>
      <x:c r="E58" s="6"/>
      <x:c r="F58" s="6"/>
      <x:c r="G58" s="6"/>
      <x:c r="H58" s="13"/>
      <x:c r="I58" s="6"/>
      <x:c r="J58" s="6"/>
      <x:c r="K58" s="6"/>
    </x:row>
    <x:row r="59">
      <x:c r="B59" s="1" t="s">
        <x:v>219</x:v>
      </x:c>
      <x:c r="C59" s="1"/>
      <x:c r="D59" s="1"/>
      <x:c r="E59" s="1"/>
      <x:c r="F59" s="1"/>
      <x:c r="G59" s="1"/>
      <x:c r="H59" s="36"/>
      <x:c r="I59" s="6"/>
      <x:c r="J59" s="6"/>
      <x:c r="K59" s="6"/>
    </x:row>
    <x:row r="60">
      <x:c r="B60" s="1" t="s">
        <x:v>220</x:v>
      </x:c>
      <x:c r="C60" s="58" t="n">
        <x:f>C33</x:f>
        <x:v>0.95</x:v>
      </x:c>
      <x:c r="D60" s="58" t="n">
        <x:f>D33</x:f>
        <x:v>0.9</x:v>
      </x:c>
      <x:c r="E60" s="58" t="n">
        <x:f>E33</x:f>
        <x:v>1.71</x:v>
      </x:c>
      <x:c r="F60" s="58" t="n">
        <x:f>F33</x:f>
        <x:v>1.27</x:v>
      </x:c>
      <x:c r="G60" s="58" t="n">
        <x:f>G33</x:f>
        <x:v>4.86</x:v>
      </x:c>
      <x:c r="H60" s="56" t="n">
        <x:f>H32</x:f>
        <x:v>1.1012447322540455</x:v>
      </x:c>
      <x:c r="I60" s="6"/>
      <x:c r="J60" s="6"/>
      <x:c r="K60" s="6"/>
    </x:row>
    <x:row r="61">
      <x:c r="B61" s="1" t="s">
        <x:v>221</x:v>
      </x:c>
      <x:c r="C61" s="57">
        <x:v>0.18</x:v>
      </x:c>
      <x:c r="D61" s="57">
        <x:v>0.37</x:v>
      </x:c>
      <x:c r="E61" s="57">
        <x:v>0.39</x:v>
      </x:c>
      <x:c r="F61" s="57">
        <x:v>0.45</x:v>
      </x:c>
      <x:c r="G61" s="57">
        <x:v>1.4</x:v>
      </x:c>
      <x:c r="H61" s="56" t="n">
        <x:f>H34/H31</x:f>
        <x:v>0.34869240348692404</x:v>
      </x:c>
      <x:c r="I61" s="6"/>
      <x:c r="J61" s="6"/>
      <x:c r="K61" s="6"/>
    </x:row>
    <x:row r="62">
      <x:c r="B62" s="1" t="s">
        <x:v>222</x:v>
      </x:c>
      <x:c r="C62" s="57">
        <x:v>0</x:v>
      </x:c>
      <x:c r="D62" s="57">
        <x:v>0</x:v>
      </x:c>
      <x:c r="E62" s="57">
        <x:v>-0.9</x:v>
      </x:c>
      <x:c r="F62" s="57">
        <x:v>0.16</x:v>
      </x:c>
      <x:c r="G62" s="57">
        <x:v>-0.77</x:v>
      </x:c>
      <x:c r="H62" s="59">
        <x:v>0</x:v>
      </x:c>
      <x:c r="I62" s="6"/>
      <x:c r="J62" s="6"/>
      <x:c r="K62" s="6"/>
    </x:row>
    <x:row r="63">
      <x:c r="B63" s="1" t="s">
        <x:v>223</x:v>
      </x:c>
      <x:c r="C63" s="57">
        <x:v>-0.02</x:v>
      </x:c>
      <x:c r="D63" s="57">
        <x:v>0</x:v>
      </x:c>
      <x:c r="E63" s="57">
        <x:v>0.01</x:v>
      </x:c>
      <x:c r="F63" s="57">
        <x:v>-0.04</x:v>
      </x:c>
      <x:c r="G63" s="57">
        <x:v>-0.02</x:v>
      </x:c>
      <x:c r="H63" s="59">
        <x:v>0</x:v>
      </x:c>
      <x:c r="I63" s="6"/>
      <x:c r="J63" s="6"/>
      <x:c r="K63" s="6"/>
    </x:row>
    <x:row r="64">
      <x:c r="B64" s="1" t="s">
        <x:v>224</x:v>
      </x:c>
      <x:c r="C64" s="57">
        <x:v>0</x:v>
      </x:c>
      <x:c r="D64" s="57">
        <x:v>0</x:v>
      </x:c>
      <x:c r="E64" s="57">
        <x:v>-0.25</x:v>
      </x:c>
      <x:c r="F64" s="57">
        <x:v>0</x:v>
      </x:c>
      <x:c r="G64" s="57">
        <x:v>-0.26</x:v>
      </x:c>
      <x:c r="H64" s="59">
        <x:v>0</x:v>
      </x:c>
      <x:c r="I64" s="6"/>
      <x:c r="J64" s="6"/>
      <x:c r="K64" s="6"/>
    </x:row>
    <x:row r="65">
      <x:c r="B65" s="1" t="s">
        <x:v>225</x:v>
      </x:c>
      <x:c r="C65" s="57">
        <x:v>0</x:v>
      </x:c>
      <x:c r="D65" s="57">
        <x:v>0</x:v>
      </x:c>
      <x:c r="E65" s="57">
        <x:v>0.12</x:v>
      </x:c>
      <x:c r="F65" s="57">
        <x:v>0</x:v>
      </x:c>
      <x:c r="G65" s="57">
        <x:v>0.13</x:v>
      </x:c>
      <x:c r="H65" s="59">
        <x:v>0</x:v>
      </x:c>
      <x:c r="I65" s="6"/>
      <x:c r="J65" s="6"/>
      <x:c r="K65" s="6"/>
    </x:row>
    <x:row r="66">
      <x:c r="B66" s="1" t="s">
        <x:v>226</x:v>
      </x:c>
      <x:c r="C66" s="57">
        <x:v>0</x:v>
      </x:c>
      <x:c r="D66" s="57">
        <x:v>0</x:v>
      </x:c>
      <x:c r="E66" s="57">
        <x:v>0.01</x:v>
      </x:c>
      <x:c r="F66" s="57">
        <x:v>0.02</x:v>
      </x:c>
      <x:c r="G66" s="57">
        <x:v>0.02</x:v>
      </x:c>
      <x:c r="H66" s="59">
        <x:v>0</x:v>
      </x:c>
      <x:c r="I66" s="6"/>
      <x:c r="J66" s="6"/>
      <x:c r="K66" s="6"/>
    </x:row>
    <x:row r="67">
      <x:c r="B67" s="1" t="s">
        <x:v>227</x:v>
      </x:c>
      <x:c r="C67" s="57">
        <x:v>0.03</x:v>
      </x:c>
      <x:c r="D67" s="57">
        <x:v>0</x:v>
      </x:c>
      <x:c r="E67" s="57">
        <x:v>0</x:v>
      </x:c>
      <x:c r="F67" s="57">
        <x:v>0</x:v>
      </x:c>
      <x:c r="G67" s="57">
        <x:v>0.03</x:v>
      </x:c>
      <x:c r="H67" s="59">
        <x:v>0</x:v>
      </x:c>
      <x:c r="I67" s="6"/>
      <x:c r="J67" s="6"/>
      <x:c r="K67" s="6"/>
    </x:row>
    <x:row r="68">
      <x:c r="B68" s="1" t="s">
        <x:v>228</x:v>
      </x:c>
      <x:c r="C68" s="57">
        <x:v>-0.02</x:v>
      </x:c>
      <x:c r="D68" s="57">
        <x:v>0</x:v>
      </x:c>
      <x:c r="E68" s="57">
        <x:v>0</x:v>
      </x:c>
      <x:c r="F68" s="57">
        <x:v>0</x:v>
      </x:c>
      <x:c r="G68" s="57">
        <x:v>-0.02</x:v>
      </x:c>
      <x:c r="H68" s="59">
        <x:v>0</x:v>
      </x:c>
      <x:c r="I68" s="6"/>
      <x:c r="J68" s="6"/>
      <x:c r="K68" s="6"/>
    </x:row>
    <x:row r="69">
      <x:c r="B69" s="1" t="s">
        <x:v>229</x:v>
      </x:c>
      <x:c r="C69" s="57">
        <x:v>0</x:v>
      </x:c>
      <x:c r="D69" s="57">
        <x:v>0</x:v>
      </x:c>
      <x:c r="E69" s="57">
        <x:v>0</x:v>
      </x:c>
      <x:c r="F69" s="57">
        <x:v>0</x:v>
      </x:c>
      <x:c r="G69" s="57">
        <x:v>0</x:v>
      </x:c>
      <x:c r="H69" s="59">
        <x:v>0</x:v>
      </x:c>
      <x:c r="I69" s="6"/>
      <x:c r="J69" s="6"/>
      <x:c r="K69" s="6"/>
    </x:row>
    <x:row r="70">
      <x:c r="B70" s="1" t="s">
        <x:v>230</x:v>
      </x:c>
      <x:c r="C70" s="57">
        <x:v>0</x:v>
      </x:c>
      <x:c r="D70" s="57">
        <x:v>0</x:v>
      </x:c>
      <x:c r="E70" s="57">
        <x:v>0</x:v>
      </x:c>
      <x:c r="F70" s="57">
        <x:v>0</x:v>
      </x:c>
      <x:c r="G70" s="57">
        <x:v>0</x:v>
      </x:c>
      <x:c r="H70" s="59">
        <x:v>0</x:v>
      </x:c>
      <x:c r="I70" s="6"/>
      <x:c r="J70" s="6"/>
      <x:c r="K70" s="6"/>
    </x:row>
    <x:row r="71">
      <x:c r="B71" s="1" t="s">
        <x:v>231</x:v>
      </x:c>
      <x:c r="C71" s="57">
        <x:v>-0.04</x:v>
      </x:c>
      <x:c r="D71" s="57">
        <x:v>-0.09</x:v>
      </x:c>
      <x:c r="E71" s="57">
        <x:v>0.16</x:v>
      </x:c>
      <x:c r="F71" s="57">
        <x:v>-0.33</x:v>
      </x:c>
      <x:c r="G71" s="57">
        <x:v>-0.32</x:v>
      </x:c>
      <x:c r="H71" s="56" t="n">
        <x:f>H38/H31</x:f>
        <x:v>-0.08368617683686176</x:v>
      </x:c>
      <x:c r="I71" s="6"/>
      <x:c r="J71" s="6"/>
      <x:c r="K71" s="6"/>
    </x:row>
    <x:row r="72">
      <x:c r="B72" s="17" t="s">
        <x:v>232</x:v>
      </x:c>
      <x:c r="C72" s="61" t="n">
        <x:f>SUM(C60:C71)</x:f>
        <x:v>1.0799999999999998</x:v>
      </x:c>
      <x:c r="D72" s="61" t="n">
        <x:f>SUM(D60:D71)</x:f>
        <x:v>1.18</x:v>
      </x:c>
      <x:c r="E72" s="61" t="n">
        <x:f>SUM(E60:E71)</x:f>
        <x:v>1.25</x:v>
      </x:c>
      <x:c r="F72" s="61" t="n">
        <x:f>SUM(F60:F71)</x:f>
        <x:v>1.5299999999999998</x:v>
      </x:c>
      <x:c r="G72" s="61" t="n">
        <x:f>SUM(G60:G71)</x:f>
        <x:v>5.050000000000001</x:v>
      </x:c>
      <x:c r="H72" s="63" t="n">
        <x:f>SUM(H60:H71)</x:f>
        <x:v>1.3662509589041079</x:v>
      </x:c>
      <x:c r="I72" s="6"/>
      <x:c r="J72" s="6"/>
      <x:c r="K72" s="6"/>
    </x:row>
    <x:row r="73">
      <x:c r="B73" s="1"/>
      <x:c r="C73" s="58"/>
      <x:c r="D73" s="58"/>
      <x:c r="E73" s="58"/>
      <x:c r="F73" s="58"/>
      <x:c r="G73" s="58"/>
      <x:c r="H73" s="56"/>
      <x:c r="I73" s="6"/>
      <x:c r="J73" s="6"/>
      <x:c r="K73" s="6"/>
    </x:row>
    <x:row r="74">
      <x:c r="B74" s="1" t="s">
        <x:v>233</x:v>
      </x:c>
      <x:c r="C74" s="58"/>
      <x:c r="D74" s="58"/>
      <x:c r="E74" s="58"/>
      <x:c r="F74" s="58"/>
      <x:c r="G74" s="58"/>
      <x:c r="H74" s="56" t="n">
        <x:f>H72-H39/H31</x:f>
        <x:v>2.220446049250313e-16</x:v>
      </x:c>
      <x:c r="I74" s="6"/>
      <x:c r="J74" s="6"/>
      <x:c r="K74" s="6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B80" s="1" t="s">
        <x:v>234</x:v>
      </x:c>
      <x:c r="C80" s="1"/>
      <x:c r="D80" s="1"/>
      <x:c r="E80" s="1"/>
      <x:c r="F80" s="1"/>
      <x:c r="G80" s="1"/>
      <x:c r="H80" s="36"/>
    </x:row>
    <x:row r="81">
      <x:c r="B81" s="35" t="s">
        <x:v>81</x:v>
      </x:c>
      <x:c r="C81" s="74" t="s">
        <x:v>38</x:v>
      </x:c>
      <x:c r="D81" s="74" t="s">
        <x:v>38</x:v>
      </x:c>
      <x:c r="E81" s="74" t="s">
        <x:v>38</x:v>
      </x:c>
      <x:c r="F81" s="74" t="s">
        <x:v>38</x:v>
      </x:c>
      <x:c r="G81" s="8" t="n">
        <x:f>(1+G84)/((1+G82)*(1+G83))-1</x:f>
        <x:v>0.17005909389363105</x:v>
      </x:c>
      <x:c r="H81" s="42" t="n">
        <x:f>(1+H84)/((1+H82)*(1+H83))-1</x:f>
        <x:v>0.08217291507268576</x:v>
      </x:c>
      <x:c r="J81" t="s">
        <x:v>235</x:v>
      </x:c>
    </x:row>
    <x:row r="82">
      <x:c r="B82" s="35" t="s">
        <x:v>236</x:v>
      </x:c>
      <x:c r="C82" s="74" t="s">
        <x:v>38</x:v>
      </x:c>
      <x:c r="D82" s="74" t="s">
        <x:v>38</x:v>
      </x:c>
      <x:c r="E82" s="74" t="s">
        <x:v>38</x:v>
      </x:c>
      <x:c r="F82" s="74" t="s">
        <x:v>38</x:v>
      </x:c>
      <x:c r="G82" s="48" t="n">
        <x:f>'Segment - Parts Supply'!K53/K9</x:f>
        <x:v>0.067336331250365</x:v>
      </x:c>
      <x:c r="H82" s="44" t="n">
        <x:f>'Segment - Parts Supply'!H51/C9</x:f>
        <x:v>0.07175071750717507</x:v>
      </x:c>
    </x:row>
    <x:row r="83">
      <x:c r="B83" s="35" t="s">
        <x:v>92</x:v>
      </x:c>
      <x:c r="C83" s="74" t="s">
        <x:v>38</x:v>
      </x:c>
      <x:c r="D83" s="74" t="s">
        <x:v>38</x:v>
      </x:c>
      <x:c r="E83" s="74" t="s">
        <x:v>38</x:v>
      </x:c>
      <x:c r="F83" s="74" t="s">
        <x:v>38</x:v>
      </x:c>
      <x:c r="G83" s="48">
        <x:v>0</x:v>
      </x:c>
      <x:c r="H83" s="44">
        <x:v>0</x:v>
      </x:c>
    </x:row>
    <x:row r="84">
      <x:c r="B84" s="35" t="s">
        <x:v>84</x:v>
      </x:c>
      <x:c r="C84" s="8" t="n">
        <x:f>C9/L9-1</x:f>
        <x:v>0.2290249433106577</x:v>
      </x:c>
      <x:c r="D84" s="8" t="n">
        <x:f>D9/M9-1</x:f>
        <x:v>0.20658611703387808</x:v>
      </x:c>
      <x:c r="E84" s="8" t="n">
        <x:f>E9/N9-1</x:f>
        <x:v>0.29500720115218426</x:v>
      </x:c>
      <x:c r="F84" s="8" t="n">
        <x:f>F9/O9-1</x:f>
        <x:v>0.2624292007551918</x:v>
      </x:c>
      <x:c r="G84" s="48" t="n">
        <x:f>G9/K9-1</x:f>
        <x:v>0.2488465806225546</x:v>
      </x:c>
      <x:c r="H84" s="44" t="n">
        <x:f>H9/C9-1</x:f>
        <x:v>0.15981959819598202</x:v>
      </x:c>
    </x:row>
    <x:row r="85">
      <x:c r="B85" s="35" t="s">
        <x:v>55</x:v>
      </x:c>
      <x:c r="C85" s="8"/>
      <x:c r="D85" s="8" t="n">
        <x:f>D9/C9-1</x:f>
        <x:v>0.0440754407544075</x:v>
      </x:c>
      <x:c r="E85" s="8" t="n">
        <x:f>E9/D9-1</x:f>
        <x:v>0.05929707441586496</x:v>
      </x:c>
      <x:c r="F85" s="8" t="n">
        <x:f>F9/E9-1</x:f>
        <x:v>0.11547729379054661</x:v>
      </x:c>
      <x:c r="G85" s="8"/>
      <x:c r="H85" s="42" t="n">
        <x:f>H9/F9-1</x:f>
        <x:v>-0.059887005649717495</x:v>
      </x:c>
    </x:row>
    <x:row r="86">
      <x:c r="B86" s="1"/>
      <x:c r="C86" s="1"/>
      <x:c r="D86" s="1"/>
      <x:c r="E86" s="1"/>
      <x:c r="F86" s="1"/>
      <x:c r="G86" s="1"/>
      <x:c r="H86" s="36"/>
    </x:row>
    <x:row r="87">
      <x:c r="B87" s="1"/>
      <x:c r="C87" s="1"/>
      <x:c r="D87" s="1"/>
      <x:c r="E87" s="1"/>
      <x:c r="F87" s="1"/>
      <x:c r="G87" s="1"/>
      <x:c r="H87" s="36"/>
    </x:row>
    <x:row r="88">
      <x:c r="B88" s="1" t="s">
        <x:v>237</x:v>
      </x:c>
      <x:c r="C88" s="1"/>
      <x:c r="D88" s="1"/>
      <x:c r="E88" s="1"/>
      <x:c r="F88" s="1"/>
      <x:c r="G88" s="1"/>
      <x:c r="H88" s="36"/>
    </x:row>
    <x:row r="89">
      <x:c r="B89" s="35" t="s">
        <x:v>81</x:v>
      </x:c>
      <x:c r="C89" s="74" t="s">
        <x:v>38</x:v>
      </x:c>
      <x:c r="D89" s="74" t="s">
        <x:v>38</x:v>
      </x:c>
      <x:c r="E89" s="74" t="s">
        <x:v>38</x:v>
      </x:c>
      <x:c r="F89" s="74" t="s">
        <x:v>38</x:v>
      </x:c>
      <x:c r="G89" s="8" t="n">
        <x:f>(1+G92)/((1+G90)*(1+G91))-1</x:f>
        <x:v>-0.024764445926790724</x:v>
      </x:c>
      <x:c r="H89" s="42" t="n">
        <x:f>(1+H92)/((1+H90)*(1+H91))-1</x:f>
        <x:v>0.09061000685400966</x:v>
      </x:c>
    </x:row>
    <x:row r="90">
      <x:c r="B90" s="35" t="s">
        <x:v>236</x:v>
      </x:c>
      <x:c r="C90" s="74" t="s">
        <x:v>38</x:v>
      </x:c>
      <x:c r="D90" s="74" t="s">
        <x:v>38</x:v>
      </x:c>
      <x:c r="E90" s="74" t="s">
        <x:v>38</x:v>
      </x:c>
      <x:c r="F90" s="74" t="s">
        <x:v>38</x:v>
      </x:c>
      <x:c r="G90" s="48" t="n">
        <x:f>'Segment - RE&amp;S'!K53/K10</x:f>
        <x:v>0.12272982587530425</x:v>
      </x:c>
      <x:c r="H90" s="44" t="n">
        <x:f>'Segment - RE&amp;S'!H51/C10</x:f>
        <x:v>0.15885623510722796</x:v>
      </x:c>
    </x:row>
    <x:row r="91">
      <x:c r="B91" s="35" t="s">
        <x:v>92</x:v>
      </x:c>
      <x:c r="C91" s="74" t="s">
        <x:v>38</x:v>
      </x:c>
      <x:c r="D91" s="74" t="s">
        <x:v>38</x:v>
      </x:c>
      <x:c r="E91" s="74" t="s">
        <x:v>38</x:v>
      </x:c>
      <x:c r="F91" s="74" t="s">
        <x:v>38</x:v>
      </x:c>
      <x:c r="G91" s="48">
        <x:v>0</x:v>
      </x:c>
      <x:c r="H91" s="44">
        <x:v>0</x:v>
      </x:c>
    </x:row>
    <x:row r="92">
      <x:c r="B92" s="35" t="s">
        <x:v>84</x:v>
      </x:c>
      <x:c r="C92" s="8" t="n">
        <x:f>C10/L10-1</x:f>
        <x:v>-0.04909365558912382</x:v>
      </x:c>
      <x:c r="D92" s="8" t="n">
        <x:f>D10/M10-1</x:f>
        <x:v>0.08333333333333326</x:v>
      </x:c>
      <x:c r="E92" s="8" t="n">
        <x:f>E10/N10-1</x:f>
        <x:v>0.16819571865443428</x:v>
      </x:c>
      <x:c r="F92" s="8" t="n">
        <x:f>F10/O10-1</x:f>
        <x:v>0.17422606191504642</x:v>
      </x:c>
      <x:c r="G92" s="48" t="n">
        <x:f>G10/K10-1</x:f>
        <x:v>0.09492604381202008</x:v>
      </x:c>
      <x:c r="H92" s="44" t="n">
        <x:f>H10/C10-1</x:f>
        <x:v>0.2638602065131057</x:v>
      </x:c>
    </x:row>
    <x:row r="93">
      <x:c r="B93" s="35" t="s">
        <x:v>55</x:v>
      </x:c>
      <x:c r="C93" s="8"/>
      <x:c r="D93" s="8" t="n">
        <x:f>D10/C10-1</x:f>
        <x:v>0.13582208101667992</x:v>
      </x:c>
      <x:c r="E93" s="8" t="n">
        <x:f>E10/D10-1</x:f>
        <x:v>0.06853146853146863</x:v>
      </x:c>
      <x:c r="F93" s="8" t="n">
        <x:f>F10/E10-1</x:f>
        <x:v>0.06740837696335067</x:v>
      </x:c>
      <x:c r="G93" s="8"/>
      <x:c r="H93" s="42" t="n">
        <x:f>H10/F10-1</x:f>
        <x:v>-0.024402207234825224</x:v>
      </x:c>
    </x:row>
    <x:row r="94">
      <x:c r="B94" s="1"/>
      <x:c r="C94" s="1"/>
      <x:c r="D94" s="1"/>
      <x:c r="E94" s="1"/>
      <x:c r="F94" s="1"/>
      <x:c r="G94" s="1"/>
      <x:c r="H94" s="36"/>
    </x:row>
    <x:row r="95">
      <x:c r="B95" s="1" t="s">
        <x:v>238</x:v>
      </x:c>
      <x:c r="C95" s="4" t="n">
        <x:f>C11-SUM(C9:C10)</x:f>
        <x:v>0</x:v>
      </x:c>
      <x:c r="D95" s="4" t="n">
        <x:f>D11-SUM(D9:D10)</x:f>
        <x:v>0</x:v>
      </x:c>
      <x:c r="E95" s="4" t="n">
        <x:f>E11-SUM(E9:E10)</x:f>
        <x:v>0</x:v>
      </x:c>
      <x:c r="F95" s="4" t="n">
        <x:f>F11-SUM(F9:F10)</x:f>
        <x:v>2.2737367544323206e-13</x:v>
      </x:c>
      <x:c r="G95" s="4" t="n">
        <x:f>G11-SUM(G9:G10)</x:f>
        <x:v>0</x:v>
      </x:c>
      <x:c r="H95" s="3" t="n">
        <x:f>H11-SUM(H9:H10)</x:f>
        <x:v>0</x:v>
      </x:c>
    </x:row>
    <x:row r="96">
      <x:c r="B96" s="1"/>
      <x:c r="C96" s="1"/>
      <x:c r="D96" s="1"/>
      <x:c r="E96" s="1"/>
      <x:c r="F96" s="1"/>
      <x:c r="G96" s="1"/>
      <x:c r="H96" s="36"/>
    </x:row>
    <x:row r="97">
      <x:c r="B97" s="1"/>
      <x:c r="C97" s="1"/>
      <x:c r="D97" s="1"/>
      <x:c r="E97" s="1"/>
      <x:c r="F97" s="1"/>
      <x:c r="G97" s="1"/>
      <x:c r="H97" s="36"/>
    </x:row>
    <x:row r="98">
      <x:c r="B98" s="1"/>
      <x:c r="C98" s="1"/>
      <x:c r="D98" s="1"/>
      <x:c r="E98" s="1"/>
      <x:c r="F98" s="1"/>
      <x:c r="G98" s="1"/>
      <x:c r="H98" s="36"/>
    </x:row>
    <x:row r="99">
      <x:c r="B99" s="1"/>
      <x:c r="C99" s="1"/>
      <x:c r="D99" s="1"/>
      <x:c r="E99" s="1"/>
      <x:c r="F99" s="1"/>
      <x:c r="G99" s="1"/>
      <x:c r="H99" s="36"/>
    </x:row>
    <x:row r="100">
      <x:c r="B100" s="1"/>
      <x:c r="C100" s="1"/>
      <x:c r="D100" s="1"/>
      <x:c r="E100" s="1"/>
      <x:c r="F100" s="1"/>
      <x:c r="G100" s="1"/>
      <x:c r="H100" s="36"/>
    </x:row>
    <x:row r="101">
      <x:c r="B101" s="1"/>
      <x:c r="C101" s="1"/>
      <x:c r="D101" s="1"/>
      <x:c r="E101" s="1"/>
      <x:c r="F101" s="1"/>
      <x:c r="G101" s="1"/>
      <x:c r="H101" s="36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c5b16a9341c44870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239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6"/>
    </x:row>
    <x:row r="9">
      <x:c r="B9" s="1" t="s">
        <x:v>240</x:v>
      </x:c>
      <x:c r="C9" s="18">
        <x:v>80</x:v>
      </x:c>
      <x:c r="D9" s="18">
        <x:v>75.6</x:v>
      </x:c>
      <x:c r="E9" s="18">
        <x:v>78.5</x:v>
      </x:c>
      <x:c r="F9" s="18">
        <x:v>84</x:v>
      </x:c>
      <x:c r="G9" s="4" t="n">
        <x:f>F9</x:f>
        <x:v>84</x:v>
      </x:c>
      <x:c r="H9" s="39" t="n">
        <x:f>'Cash Flow Statement'!H26+'Cash Flow Statement'!H25-H10</x:f>
        <x:v>117.21497599999994</x:v>
      </x:c>
      <x:c r="I9" s="1"/>
      <x:c r="J9" s="1"/>
      <x:c r="K9" s="6"/>
    </x:row>
    <x:row r="10">
      <x:c r="B10" s="1" t="s">
        <x:v>241</x:v>
      </x:c>
      <x:c r="C10" s="18">
        <x:v>11.6</x:v>
      </x:c>
      <x:c r="D10" s="18">
        <x:v>20.6</x:v>
      </x:c>
      <x:c r="E10" s="18">
        <x:v>21.6</x:v>
      </x:c>
      <x:c r="F10" s="18">
        <x:v>23.8</x:v>
      </x:c>
      <x:c r="G10" s="4" t="n">
        <x:f>F10</x:f>
        <x:v>23.8</x:v>
      </x:c>
      <x:c r="H10" s="3" t="n">
        <x:f>F10</x:f>
        <x:v>23.8</x:v>
      </x:c>
      <x:c r="I10" s="1"/>
      <x:c r="J10" s="1"/>
      <x:c r="K10" s="6"/>
    </x:row>
    <x:row r="11">
      <x:c r="B11" s="1" t="s">
        <x:v>242</x:v>
      </x:c>
      <x:c r="C11" s="18">
        <x:v>363.5</x:v>
      </x:c>
      <x:c r="D11" s="18">
        <x:v>401.9</x:v>
      </x:c>
      <x:c r="E11" s="18">
        <x:v>426.2</x:v>
      </x:c>
      <x:c r="F11" s="18">
        <x:v>386.8</x:v>
      </x:c>
      <x:c r="G11" s="4" t="n">
        <x:f>F11</x:f>
        <x:v>386.8</x:v>
      </x:c>
      <x:c r="H11" s="3" t="n">
        <x:f>F11+H38</x:f>
        <x:v>396.8</x:v>
      </x:c>
      <x:c r="I11" s="1"/>
      <x:c r="J11" s="1"/>
      <x:c r="K11" s="6"/>
    </x:row>
    <x:row r="12">
      <x:c r="B12" s="1" t="s">
        <x:v>243</x:v>
      </x:c>
      <x:c r="C12" s="18">
        <x:v>146.7</x:v>
      </x:c>
      <x:c r="D12" s="18">
        <x:v>152.6</x:v>
      </x:c>
      <x:c r="E12" s="18">
        <x:v>142.3</x:v>
      </x:c>
      <x:c r="F12" s="18">
        <x:v>148.4</x:v>
      </x:c>
      <x:c r="G12" s="4" t="n">
        <x:f>F12</x:f>
        <x:v>148.4</x:v>
      </x:c>
      <x:c r="H12" s="3" t="n">
        <x:f>F12</x:f>
        <x:v>148.4</x:v>
      </x:c>
      <x:c r="I12" s="1"/>
      <x:c r="J12" s="1"/>
      <x:c r="K12" s="6"/>
    </x:row>
    <x:row r="13">
      <x:c r="B13" s="1" t="s">
        <x:v>244</x:v>
      </x:c>
      <x:c r="C13" s="18">
        <x:v>861.5</x:v>
      </x:c>
      <x:c r="D13" s="18">
        <x:v>910.8</x:v>
      </x:c>
      <x:c r="E13" s="18">
        <x:v>958.2</x:v>
      </x:c>
      <x:c r="F13" s="18">
        <x:v>979</x:v>
      </x:c>
      <x:c r="G13" s="4" t="n">
        <x:f>F13</x:f>
        <x:v>979</x:v>
      </x:c>
      <x:c r="H13" s="3" t="n">
        <x:f>F13+H39</x:f>
        <x:v>989</x:v>
      </x:c>
      <x:c r="I13" s="1"/>
      <x:c r="J13" s="1"/>
      <x:c r="K13" s="6"/>
    </x:row>
    <x:row r="14">
      <x:c r="B14" s="1" t="s">
        <x:v>245</x:v>
      </x:c>
      <x:c r="C14" s="18">
        <x:v>103.6</x:v>
      </x:c>
      <x:c r="D14" s="18">
        <x:v>128.8</x:v>
      </x:c>
      <x:c r="E14" s="18">
        <x:v>136.9</x:v>
      </x:c>
      <x:c r="F14" s="18">
        <x:v>120.1</x:v>
      </x:c>
      <x:c r="G14" s="4" t="n">
        <x:f>F14</x:f>
        <x:v>120.1</x:v>
      </x:c>
      <x:c r="H14" s="3" t="n">
        <x:f>F14</x:f>
        <x:v>120.1</x:v>
      </x:c>
      <x:c r="I14" s="1"/>
      <x:c r="J14" s="1"/>
      <x:c r="K14" s="6"/>
    </x:row>
    <x:row r="15">
      <x:c r="B15" s="17" t="s">
        <x:v>246</x:v>
      </x:c>
      <x:c r="C15" s="20" t="n">
        <x:f>SUM(C9:C14)</x:f>
        <x:v>1566.8999999999999</x:v>
      </x:c>
      <x:c r="D15" s="20" t="n">
        <x:f>SUM(D9:D14)</x:f>
        <x:v>1690.3</x:v>
      </x:c>
      <x:c r="E15" s="20" t="n">
        <x:f>SUM(E9:E14)</x:f>
        <x:v>1763.7</x:v>
      </x:c>
      <x:c r="F15" s="20" t="n">
        <x:f>SUM(F9:F14)</x:f>
        <x:v>1742.1</x:v>
      </x:c>
      <x:c r="G15" s="20" t="n">
        <x:f>SUM(G9:G14)</x:f>
        <x:v>1742.1</x:v>
      </x:c>
      <x:c r="H15" s="21" t="n">
        <x:f>SUM(H9:H14)</x:f>
        <x:v>1795.3149759999997</x:v>
      </x:c>
      <x:c r="I15" s="1"/>
      <x:c r="J15" s="1"/>
      <x:c r="K15" s="6"/>
    </x:row>
    <x:row r="16">
      <x:c r="B16" s="1" t="s">
        <x:v>247</x:v>
      </x:c>
      <x:c r="C16" s="18">
        <x:v>161.9</x:v>
      </x:c>
      <x:c r="D16" s="18">
        <x:v>216.8</x:v>
      </x:c>
      <x:c r="E16" s="18">
        <x:v>163.2</x:v>
      </x:c>
      <x:c r="F16" s="18">
        <x:v>166.9</x:v>
      </x:c>
      <x:c r="G16" s="4" t="n">
        <x:f>F16</x:f>
        <x:v>166.9</x:v>
      </x:c>
      <x:c r="H16" s="39" t="n">
        <x:f>F16+'Cash Flow Statement'!H20-'Cash Flow Statement'!H12</x:f>
        <x:v>162.9</x:v>
      </x:c>
      <x:c r="I16" s="1"/>
      <x:c r="J16" s="1"/>
      <x:c r="K16" s="6"/>
    </x:row>
    <x:row r="17">
      <x:c r="B17" s="1" t="s">
        <x:v>248</x:v>
      </x:c>
      <x:c r="C17" s="18">
        <x:v>543.1</x:v>
      </x:c>
      <x:c r="D17" s="18">
        <x:v>552.2</x:v>
      </x:c>
      <x:c r="E17" s="18">
        <x:v>552.3</x:v>
      </x:c>
      <x:c r="F17" s="18">
        <x:v>580.3</x:v>
      </x:c>
      <x:c r="G17" s="4" t="n">
        <x:f>F17</x:f>
        <x:v>580.3</x:v>
      </x:c>
      <x:c r="H17" s="3" t="n">
        <x:f>F17</x:f>
        <x:v>580.3</x:v>
      </x:c>
      <x:c r="I17" s="1"/>
      <x:c r="J17" s="1"/>
      <x:c r="K17" s="6"/>
    </x:row>
    <x:row r="18">
      <x:c r="B18" s="1" t="s">
        <x:v>249</x:v>
      </x:c>
      <x:c r="C18" s="18">
        <x:v>225.9</x:v>
      </x:c>
      <x:c r="D18" s="18">
        <x:v>295.5</x:v>
      </x:c>
      <x:c r="E18" s="18">
        <x:v>288.6</x:v>
      </x:c>
      <x:c r="F18" s="18">
        <x:v>281.6</x:v>
      </x:c>
      <x:c r="G18" s="4" t="n">
        <x:f>F18</x:f>
        <x:v>281.6</x:v>
      </x:c>
      <x:c r="H18" s="3" t="n">
        <x:f>F18</x:f>
        <x:v>281.6</x:v>
      </x:c>
      <x:c r="I18" s="1"/>
      <x:c r="J18" s="1"/>
      <x:c r="K18" s="6"/>
    </x:row>
    <x:row r="19">
      <x:c r="B19" s="1" t="s">
        <x:v>250</x:v>
      </x:c>
      <x:c r="C19" s="18">
        <x:v>91</x:v>
      </x:c>
      <x:c r="D19" s="18">
        <x:v>105.1</x:v>
      </x:c>
      <x:c r="E19" s="18">
        <x:v>192.8</x:v>
      </x:c>
      <x:c r="F19" s="18">
        <x:v>210.8</x:v>
      </x:c>
      <x:c r="G19" s="4" t="n">
        <x:f>F19</x:f>
        <x:v>210.8</x:v>
      </x:c>
      <x:c r="H19" s="3" t="n">
        <x:f>F19</x:f>
        <x:v>210.8</x:v>
      </x:c>
      <x:c r="I19" s="1"/>
      <x:c r="J19" s="1"/>
      <x:c r="K19" s="6"/>
    </x:row>
    <x:row r="20">
      <x:c r="B20" s="1" t="s">
        <x:v>251</x:v>
      </x:c>
      <x:c r="C20" s="18">
        <x:v>173.4</x:v>
      </x:c>
      <x:c r="D20" s="18">
        <x:v>211.3</x:v>
      </x:c>
      <x:c r="E20" s="18">
        <x:v>188</x:v>
      </x:c>
      <x:c r="F20" s="18">
        <x:v>180.3</x:v>
      </x:c>
      <x:c r="G20" s="4" t="n">
        <x:f>F20</x:f>
        <x:v>180.3</x:v>
      </x:c>
      <x:c r="H20" s="3" t="n">
        <x:f>F20</x:f>
        <x:v>180.3</x:v>
      </x:c>
      <x:c r="I20" s="1"/>
      <x:c r="J20" s="1"/>
      <x:c r="K20" s="6"/>
    </x:row>
    <x:row r="21">
      <x:c r="B21" s="1" t="s">
        <x:v>252</x:v>
      </x:c>
      <x:c r="C21" s="18">
        <x:v>167.5</x:v>
      </x:c>
      <x:c r="D21" s="18">
        <x:v>171.3</x:v>
      </x:c>
      <x:c r="E21" s="18">
        <x:v>183.9</x:v>
      </x:c>
      <x:c r="F21" s="18">
        <x:v>193.9</x:v>
      </x:c>
      <x:c r="G21" s="4" t="n">
        <x:f>F21</x:f>
        <x:v>193.9</x:v>
      </x:c>
      <x:c r="H21" s="3" t="n">
        <x:f>F21</x:f>
        <x:v>193.9</x:v>
      </x:c>
      <x:c r="I21" s="1"/>
      <x:c r="J21" s="1"/>
      <x:c r="K21" s="6"/>
    </x:row>
    <x:row r="22">
      <x:c r="B22" s="17" t="s">
        <x:v>253</x:v>
      </x:c>
      <x:c r="C22" s="20" t="n">
        <x:f>SUM(C15:C21)</x:f>
        <x:v>2929.7000000000003</x:v>
      </x:c>
      <x:c r="D22" s="20" t="n">
        <x:f>SUM(D15:D21)</x:f>
        <x:v>3242.5000000000005</x:v>
      </x:c>
      <x:c r="E22" s="20" t="n">
        <x:f>SUM(E15:E21)</x:f>
        <x:v>3332.5</x:v>
      </x:c>
      <x:c r="F22" s="20" t="n">
        <x:f>SUM(F15:F21)</x:f>
        <x:v>3355.9000000000005</x:v>
      </x:c>
      <x:c r="G22" s="20" t="n">
        <x:f>SUM(G15:G21)</x:f>
        <x:v>3355.9000000000005</x:v>
      </x:c>
      <x:c r="H22" s="21" t="n">
        <x:f>SUM(H15:H21)</x:f>
        <x:v>3405.114976</x:v>
      </x:c>
      <x:c r="I22" s="1"/>
      <x:c r="J22" s="1"/>
      <x:c r="K22" s="6"/>
    </x:row>
    <x:row r="23">
      <x:c r="B23" s="1"/>
      <x:c r="C23" s="4"/>
      <x:c r="D23" s="4"/>
      <x:c r="E23" s="4"/>
      <x:c r="F23" s="4"/>
      <x:c r="G23" s="4"/>
      <x:c r="H23" s="3"/>
      <x:c r="I23" s="1"/>
      <x:c r="J23" s="1"/>
      <x:c r="K23" s="6"/>
    </x:row>
    <x:row r="24">
      <x:c r="B24" s="1" t="s">
        <x:v>254</x:v>
      </x:c>
      <x:c r="C24" s="18">
        <x:v>313.5</x:v>
      </x:c>
      <x:c r="D24" s="18">
        <x:v>341.8</x:v>
      </x:c>
      <x:c r="E24" s="18">
        <x:v>324</x:v>
      </x:c>
      <x:c r="F24" s="18">
        <x:v>295.6</x:v>
      </x:c>
      <x:c r="G24" s="4" t="n">
        <x:f>F24</x:f>
        <x:v>295.6</x:v>
      </x:c>
      <x:c r="H24" s="3" t="n">
        <x:f>F24+H40</x:f>
        <x:v>305.6</x:v>
      </x:c>
      <x:c r="I24" s="1"/>
      <x:c r="J24" s="1"/>
      <x:c r="K24" s="6"/>
    </x:row>
    <x:row r="25">
      <x:c r="B25" s="1" t="s">
        <x:v>255</x:v>
      </x:c>
      <x:c r="C25" s="18">
        <x:v>225</x:v>
      </x:c>
      <x:c r="D25" s="18">
        <x:v>252.4</x:v>
      </x:c>
      <x:c r="E25" s="18">
        <x:v>329</x:v>
      </x:c>
      <x:c r="F25" s="18">
        <x:v>317.6</x:v>
      </x:c>
      <x:c r="G25" s="4" t="n">
        <x:f>F25</x:f>
        <x:v>317.6</x:v>
      </x:c>
      <x:c r="H25" s="3" t="n">
        <x:f>F25</x:f>
        <x:v>317.6</x:v>
      </x:c>
      <x:c r="I25" s="1"/>
      <x:c r="J25" s="1"/>
      <x:c r="K25" s="6"/>
    </x:row>
    <x:row r="26">
      <x:c r="B26" s="17" t="s">
        <x:v>256</x:v>
      </x:c>
      <x:c r="C26" s="20" t="n">
        <x:f>SUM(C24:C25)</x:f>
        <x:v>538.5</x:v>
      </x:c>
      <x:c r="D26" s="20" t="n">
        <x:f>SUM(D24:D25)</x:f>
        <x:v>594.2</x:v>
      </x:c>
      <x:c r="E26" s="20" t="n">
        <x:f>SUM(E24:E25)</x:f>
        <x:v>653</x:v>
      </x:c>
      <x:c r="F26" s="20" t="n">
        <x:f>SUM(F24:F25)</x:f>
        <x:v>613.2</x:v>
      </x:c>
      <x:c r="G26" s="20" t="n">
        <x:f>SUM(G24:G25)</x:f>
        <x:v>613.2</x:v>
      </x:c>
      <x:c r="H26" s="21" t="n">
        <x:f>SUM(H24:H25)</x:f>
        <x:v>623.2</x:v>
      </x:c>
      <x:c r="I26" s="1"/>
      <x:c r="J26" s="1"/>
      <x:c r="K26" s="6"/>
    </x:row>
    <x:row r="27">
      <x:c r="B27" s="1" t="s">
        <x:v>257</x:v>
      </x:c>
      <x:c r="C27" s="18">
        <x:v>1022.1</x:v>
      </x:c>
      <x:c r="D27" s="18">
        <x:v>952.7</x:v>
      </x:c>
      <x:c r="E27" s="18">
        <x:v>888.3</x:v>
      </x:c>
      <x:c r="F27" s="18">
        <x:v>893.9</x:v>
      </x:c>
      <x:c r="G27" s="4" t="n">
        <x:f>F27</x:f>
        <x:v>893.9</x:v>
      </x:c>
      <x:c r="H27" s="39" t="n">
        <x:f>F27-'Cash Flow Statement'!H21</x:f>
        <x:v>888.9</x:v>
      </x:c>
      <x:c r="I27" s="1"/>
      <x:c r="J27" s="1"/>
      <x:c r="K27" s="6"/>
    </x:row>
    <x:row r="28">
      <x:c r="B28" s="1" t="s">
        <x:v>258</x:v>
      </x:c>
      <x:c r="C28" s="18">
        <x:v>77.9</x:v>
      </x:c>
      <x:c r="D28" s="18">
        <x:v>91.6</x:v>
      </x:c>
      <x:c r="E28" s="18">
        <x:v>91.4</x:v>
      </x:c>
      <x:c r="F28" s="18">
        <x:v>101.1</x:v>
      </x:c>
      <x:c r="G28" s="4" t="n">
        <x:f>F28</x:f>
        <x:v>101.1</x:v>
      </x:c>
      <x:c r="H28" s="3" t="n">
        <x:f>F28</x:f>
        <x:v>101.1</x:v>
      </x:c>
      <x:c r="I28" s="1"/>
      <x:c r="J28" s="1"/>
      <x:c r="K28" s="6"/>
    </x:row>
    <x:row r="29">
      <x:c r="B29" s="1" t="s">
        <x:v>259</x:v>
      </x:c>
      <x:c r="C29" s="18">
        <x:v>21.5</x:v>
      </x:c>
      <x:c r="D29" s="18">
        <x:v>21.2</x:v>
      </x:c>
      <x:c r="E29" s="18">
        <x:v>18</x:v>
      </x:c>
      <x:c r="F29" s="18">
        <x:v>23.1</x:v>
      </x:c>
      <x:c r="G29" s="4" t="n">
        <x:f>F29</x:f>
        <x:v>23.1</x:v>
      </x:c>
      <x:c r="H29" s="3" t="n">
        <x:f>F29</x:f>
        <x:v>23.1</x:v>
      </x:c>
      <x:c r="I29" s="1"/>
      <x:c r="J29" s="1"/>
      <x:c r="K29" s="6"/>
    </x:row>
    <x:row r="30">
      <x:c r="B30" s="1" t="s">
        <x:v>260</x:v>
      </x:c>
      <x:c r="C30" s="18">
        <x:v>20.4</x:v>
      </x:c>
      <x:c r="D30" s="18">
        <x:v>21.6</x:v>
      </x:c>
      <x:c r="E30" s="18">
        <x:v>38.4</x:v>
      </x:c>
      <x:c r="F30" s="18">
        <x:v>20.8</x:v>
      </x:c>
      <x:c r="G30" s="4" t="n">
        <x:f>F30</x:f>
        <x:v>20.8</x:v>
      </x:c>
      <x:c r="H30" s="3" t="n">
        <x:f>F30</x:f>
        <x:v>20.8</x:v>
      </x:c>
      <x:c r="I30" s="1"/>
      <x:c r="J30" s="1"/>
      <x:c r="K30" s="6"/>
    </x:row>
    <x:row r="31">
      <x:c r="B31" s="17" t="s">
        <x:v>261</x:v>
      </x:c>
      <x:c r="C31" s="20" t="n">
        <x:f>SUM(C26:C30)</x:f>
        <x:v>1680.4</x:v>
      </x:c>
      <x:c r="D31" s="20" t="n">
        <x:f>SUM(D26:D30)</x:f>
        <x:v>1681.3</x:v>
      </x:c>
      <x:c r="E31" s="20" t="n">
        <x:f>SUM(E26:E30)</x:f>
        <x:v>1689.1000000000001</x:v>
      </x:c>
      <x:c r="F31" s="20" t="n">
        <x:f>SUM(F26:F30)</x:f>
        <x:v>1652.0999999999997</x:v>
      </x:c>
      <x:c r="G31" s="20" t="n">
        <x:f>SUM(G26:G30)</x:f>
        <x:v>1652.0999999999997</x:v>
      </x:c>
      <x:c r="H31" s="21" t="n">
        <x:f>SUM(H26:H30)</x:f>
        <x:v>1657.0999999999997</x:v>
      </x:c>
      <x:c r="I31" s="1"/>
      <x:c r="J31" s="1"/>
      <x:c r="K31" s="6"/>
    </x:row>
    <x:row r="32">
      <x:c r="B32" s="17" t="s">
        <x:v>262</x:v>
      </x:c>
      <x:c r="C32" s="5">
        <x:v>1249.3</x:v>
      </x:c>
      <x:c r="D32" s="5">
        <x:v>1561.2</x:v>
      </x:c>
      <x:c r="E32" s="5">
        <x:v>1643.4</x:v>
      </x:c>
      <x:c r="F32" s="5">
        <x:v>1703.8</x:v>
      </x:c>
      <x:c r="G32" s="20" t="n">
        <x:f>F32</x:f>
        <x:v>1703.8</x:v>
      </x:c>
      <x:c r="H32" s="37" t="n">
        <x:f>F32+'Income Statement'!H30</x:f>
        <x:v>1748.014976</x:v>
      </x:c>
      <x:c r="I32" s="1"/>
      <x:c r="J32" s="1"/>
      <x:c r="K32" s="6"/>
    </x:row>
    <x:row r="33">
      <x:c r="B33" s="17" t="s">
        <x:v>263</x:v>
      </x:c>
      <x:c r="C33" s="20" t="n">
        <x:f>SUM(C31:C32)</x:f>
        <x:v>2929.7</x:v>
      </x:c>
      <x:c r="D33" s="20" t="n">
        <x:f>SUM(D31:D32)</x:f>
        <x:v>3242.5</x:v>
      </x:c>
      <x:c r="E33" s="20" t="n">
        <x:f>SUM(E31:E32)</x:f>
        <x:v>3332.5</x:v>
      </x:c>
      <x:c r="F33" s="20" t="n">
        <x:f>SUM(F31:F32)</x:f>
        <x:v>3355.8999999999996</x:v>
      </x:c>
      <x:c r="G33" s="20" t="n">
        <x:f>SUM(G31:G32)</x:f>
        <x:v>3355.8999999999996</x:v>
      </x:c>
      <x:c r="H33" s="21" t="n">
        <x:f>SUM(H31:H32)</x:f>
        <x:v>3405.114976</x:v>
      </x:c>
      <x:c r="I33" s="1"/>
      <x:c r="J33" s="1"/>
      <x:c r="K33" s="6"/>
    </x:row>
    <x:row r="34">
      <x:c r="B34" s="17" t="s">
        <x:v>264</x:v>
      </x:c>
      <x:c r="C34" s="20" t="n">
        <x:f>C22-C33</x:f>
        <x:v>4.547473508864641e-13</x:v>
      </x:c>
      <x:c r="D34" s="20" t="n">
        <x:f>D22-D33</x:f>
        <x:v>4.547473508864641e-13</x:v>
      </x:c>
      <x:c r="E34" s="20" t="n">
        <x:f>E22-E33</x:f>
        <x:v>0</x:v>
      </x:c>
      <x:c r="F34" s="20" t="n">
        <x:f>F22-F33</x:f>
        <x:v>9.094947017729282e-13</x:v>
      </x:c>
      <x:c r="G34" s="20" t="n">
        <x:f>G22-G33</x:f>
        <x:v>9.094947017729282e-13</x:v>
      </x:c>
      <x:c r="H34" s="21" t="n">
        <x:f>H22-H33</x:f>
        <x:v>0</x:v>
      </x:c>
      <x:c r="I34" s="1"/>
      <x:c r="J34" s="1" t="s">
        <x:v>265</x:v>
      </x:c>
      <x:c r="K34" s="6"/>
    </x:row>
    <x:row r="35">
      <x:c r="B35" s="1"/>
      <x:c r="C35" s="4"/>
      <x:c r="D35" s="4"/>
      <x:c r="E35" s="4"/>
      <x:c r="F35" s="4"/>
      <x:c r="G35" s="4"/>
      <x:c r="H35" s="3"/>
      <x:c r="I35" s="1"/>
      <x:c r="J35" s="1"/>
      <x:c r="K35" s="6"/>
    </x:row>
    <x:row r="36">
      <x:c r="B36" s="1"/>
      <x:c r="C36" s="4"/>
      <x:c r="D36" s="4"/>
      <x:c r="E36" s="4"/>
      <x:c r="F36" s="4"/>
      <x:c r="G36" s="4"/>
      <x:c r="H36" s="3"/>
      <x:c r="I36" s="1"/>
      <x:c r="J36" s="1"/>
      <x:c r="K36" s="6"/>
    </x:row>
    <x:row r="37">
      <x:c r="B37" s="1" t="s">
        <x:v>266</x:v>
      </x:c>
      <x:c r="C37" s="4"/>
      <x:c r="D37" s="4"/>
      <x:c r="E37" s="4"/>
      <x:c r="F37" s="4"/>
      <x:c r="G37" s="4"/>
      <x:c r="H37" s="3"/>
      <x:c r="I37" s="1"/>
      <x:c r="J37" s="1"/>
      <x:c r="K37" s="6"/>
    </x:row>
    <x:row r="38">
      <x:c r="B38" s="1" t="s">
        <x:v>267</x:v>
      </x:c>
      <x:c r="C38" s="4"/>
      <x:c r="D38" s="4"/>
      <x:c r="E38" s="4"/>
      <x:c r="F38" s="4"/>
      <x:c r="G38" s="4"/>
      <x:c r="H38" s="32">
        <x:v>10</x:v>
      </x:c>
      <x:c r="I38" s="1"/>
      <x:c r="J38" s="1"/>
      <x:c r="K38" s="6"/>
    </x:row>
    <x:row r="39">
      <x:c r="B39" s="1" t="s">
        <x:v>268</x:v>
      </x:c>
      <x:c r="C39" s="4"/>
      <x:c r="D39" s="4"/>
      <x:c r="E39" s="4"/>
      <x:c r="F39" s="4"/>
      <x:c r="G39" s="4"/>
      <x:c r="H39" s="32">
        <x:v>10</x:v>
      </x:c>
      <x:c r="I39" s="1"/>
      <x:c r="J39" s="1"/>
      <x:c r="K39" s="6"/>
    </x:row>
    <x:row r="40">
      <x:c r="B40" s="1" t="s">
        <x:v>269</x:v>
      </x:c>
      <x:c r="C40" s="4"/>
      <x:c r="D40" s="4"/>
      <x:c r="E40" s="4"/>
      <x:c r="F40" s="4"/>
      <x:c r="G40" s="4"/>
      <x:c r="H40" s="32">
        <x:v>10</x:v>
      </x:c>
      <x:c r="I40" s="1"/>
      <x:c r="J40" s="1"/>
      <x:c r="K40" s="6"/>
    </x:row>
    <x:row r="41">
      <x:c r="H41" s="2"/>
    </x:row>
    <x:row r="42">
      <x:c r="H42" s="2"/>
    </x:row>
    <x:row r="43">
      <x:c r="H43" s="2"/>
    </x:row>
    <x:row r="44">
      <x:c r="H44" s="2"/>
    </x:row>
    <x:row r="45">
      <x:c r="H45" s="2"/>
    </x:row>
    <x:row r="46">
      <x:c r="H46" s="2"/>
    </x:row>
    <x:row r="47">
      <x:c r="H47" s="2"/>
    </x:row>
    <x:row r="48">
      <x:c r="H48" s="2"/>
    </x:row>
    <x:row r="49">
      <x:c r="H49" s="2"/>
    </x:row>
    <x:row r="50">
      <x:c r="H50" s="2"/>
    </x:row>
    <x:row r="51">
      <x:c r="H51" s="2"/>
    </x:row>
    <x:row r="52">
      <x:c r="H52" s="2"/>
    </x:row>
    <x:row r="53">
      <x:c r="H53" s="2"/>
    </x:row>
    <x:row r="54">
      <x:c r="H54" s="2"/>
    </x:row>
    <x:row r="55">
      <x:c r="H55" s="2"/>
    </x:row>
    <x:row r="56">
      <x:c r="H56" s="2"/>
    </x:row>
    <x:row r="57">
      <x:c r="H57" s="2"/>
    </x:row>
    <x:row r="58">
      <x:c r="H58" s="2"/>
    </x:row>
    <x:row r="59">
      <x:c r="H59" s="2"/>
    </x:row>
    <x:row r="60">
      <x:c r="H60" s="2"/>
    </x:row>
    <x:row r="61">
      <x:c r="H61" s="2"/>
    </x:row>
    <x:row r="62">
      <x:c r="H62" s="2"/>
    </x:row>
    <x:row r="63">
      <x:c r="H63" s="2"/>
    </x:row>
    <x:row r="64">
      <x:c r="H64" s="2"/>
    </x:row>
    <x:row r="65">
      <x:c r="H65" s="2"/>
    </x:row>
    <x:row r="66">
      <x:c r="H66" s="2"/>
    </x:row>
    <x:row r="67">
      <x:c r="H67" s="2"/>
    </x:row>
    <x:row r="68">
      <x:c r="H68" s="2"/>
    </x:row>
    <x:row r="69">
      <x:c r="H69" s="2"/>
    </x:row>
    <x:row r="70">
      <x:c r="H70" s="2"/>
    </x:row>
    <x:row r="71">
      <x:c r="H71" s="2"/>
    </x:row>
    <x:row r="72">
      <x:c r="H72" s="2"/>
    </x:row>
    <x:row r="73">
      <x:c r="H73" s="2"/>
    </x:row>
    <x:row r="74">
      <x:c r="H74" s="2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270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6"/>
    </x:row>
    <x:row r="9">
      <x:c r="B9" s="1" t="s">
        <x:v>42</x:v>
      </x:c>
      <x:c r="C9" s="41" t="n">
        <x:f>'Income Statement'!C30</x:f>
        <x:v>34.40000000000005</x:v>
      </x:c>
      <x:c r="D9" s="41" t="n">
        <x:f>'Income Statement'!D30</x:f>
        <x:v>34.59999999999998</x:v>
      </x:c>
      <x:c r="E9" s="41" t="n">
        <x:f>'Income Statement'!E30</x:f>
        <x:v>68.00000000000006</x:v>
      </x:c>
      <x:c r="F9" s="41" t="n">
        <x:f>'Income Statement'!F30</x:f>
        <x:v>50.70000000000028</x:v>
      </x:c>
      <x:c r="G9" s="41" t="n">
        <x:f>'Income Statement'!G30</x:f>
        <x:v>187.69999999999993</x:v>
      </x:c>
      <x:c r="H9" s="39" t="n">
        <x:f>'Income Statement'!H30</x:f>
        <x:v>44.21497599999992</x:v>
      </x:c>
      <x:c r="I9" s="1"/>
      <x:c r="J9" s="1"/>
      <x:c r="K9" s="6"/>
    </x:row>
    <x:row r="10">
      <x:c r="B10" s="1" t="s">
        <x:v>271</x:v>
      </x:c>
      <x:c r="C10" s="4" t="n">
        <x:f>C43</x:f>
        <x:v>5.3</x:v>
      </x:c>
      <x:c r="D10" s="4" t="n">
        <x:f>D43</x:f>
        <x:v>4.3</x:v>
      </x:c>
      <x:c r="E10" s="4" t="n">
        <x:f>E43</x:f>
        <x:v>3.7</x:v>
      </x:c>
      <x:c r="F10" s="4" t="n">
        <x:f>F43</x:f>
        <x:v>4.5</x:v>
      </x:c>
      <x:c r="G10" s="4" t="n">
        <x:f>G43</x:f>
        <x:v>17.8</x:v>
      </x:c>
      <x:c r="H10" s="3"/>
      <x:c r="I10" s="1"/>
      <x:c r="J10" s="1"/>
      <x:c r="K10" s="6"/>
    </x:row>
    <x:row r="11">
      <x:c r="B11" s="1" t="s">
        <x:v>272</x:v>
      </x:c>
      <x:c r="C11" s="4" t="n">
        <x:f>SUM(C42,C44:C50)</x:f>
        <x:v>-2.7</x:v>
      </x:c>
      <x:c r="D11" s="4" t="n">
        <x:f>SUM(D42,D44:D50)</x:f>
        <x:v>2.1</x:v>
      </x:c>
      <x:c r="E11" s="4" t="n">
        <x:f>SUM(E42,E44:E50)</x:f>
        <x:v>-45.6</x:v>
      </x:c>
      <x:c r="F11" s="4" t="n">
        <x:f>SUM(F42,F44:F50)</x:f>
        <x:v>2.8</x:v>
      </x:c>
      <x:c r="G11" s="4" t="n">
        <x:f>SUM(G42,G44:G50)</x:f>
        <x:v>-43.4</x:v>
      </x:c>
      <x:c r="H11" s="3"/>
      <x:c r="I11" s="1"/>
      <x:c r="J11" s="1"/>
      <x:c r="K11" s="6"/>
    </x:row>
    <x:row r="12">
      <x:c r="B12" s="1" t="s">
        <x:v>273</x:v>
      </x:c>
      <x:c r="C12" s="4" t="n">
        <x:f>C41</x:f>
        <x:v>13.8</x:v>
      </x:c>
      <x:c r="D12" s="4" t="n">
        <x:f>D41</x:f>
        <x:v>17.1</x:v>
      </x:c>
      <x:c r="E12" s="4" t="n">
        <x:f>E41</x:f>
        <x:v>20.2</x:v>
      </x:c>
      <x:c r="F12" s="4" t="n">
        <x:f>F41</x:f>
        <x:v>21</x:v>
      </x:c>
      <x:c r="G12" s="4" t="n">
        <x:f>G41</x:f>
        <x:v>72.1</x:v>
      </x:c>
      <x:c r="H12" s="32">
        <x:v>14</x:v>
      </x:c>
      <x:c r="I12" s="1"/>
      <x:c r="J12" s="1"/>
      <x:c r="K12" s="6"/>
    </x:row>
    <x:row r="13">
      <x:c r="B13" s="1" t="s">
        <x:v>267</x:v>
      </x:c>
      <x:c r="C13" s="4" t="n">
        <x:f>C51</x:f>
        <x:v>-8.5</x:v>
      </x:c>
      <x:c r="D13" s="4" t="n">
        <x:f>D51</x:f>
        <x:v>-2.1</x:v>
      </x:c>
      <x:c r="E13" s="4" t="n">
        <x:f>E51</x:f>
        <x:v>-24.5</x:v>
      </x:c>
      <x:c r="F13" s="4" t="n">
        <x:f>F51</x:f>
        <x:v>42.8</x:v>
      </x:c>
      <x:c r="G13" s="4" t="n">
        <x:f>G51</x:f>
        <x:v>7.7</x:v>
      </x:c>
      <x:c r="H13" s="39" t="n">
        <x:f>'Balance Sheet'!F11-'Balance Sheet'!H11</x:f>
        <x:v>-10</x:v>
      </x:c>
      <x:c r="I13" s="1"/>
      <x:c r="J13" s="1"/>
      <x:c r="K13" s="6"/>
    </x:row>
    <x:row r="14">
      <x:c r="B14" s="1" t="s">
        <x:v>268</x:v>
      </x:c>
      <x:c r="C14" s="4" t="n">
        <x:f>C53</x:f>
        <x:v>-51.8</x:v>
      </x:c>
      <x:c r="D14" s="4" t="n">
        <x:f>D53</x:f>
        <x:v>33.5</x:v>
      </x:c>
      <x:c r="E14" s="4" t="n">
        <x:f>E53</x:f>
        <x:v>-47.2</x:v>
      </x:c>
      <x:c r="F14" s="4" t="n">
        <x:f>F53</x:f>
        <x:v>-3.5</x:v>
      </x:c>
      <x:c r="G14" s="4" t="n">
        <x:f>G53</x:f>
        <x:v>-69</x:v>
      </x:c>
      <x:c r="H14" s="39" t="n">
        <x:f>'Balance Sheet'!F13-'Balance Sheet'!H13</x:f>
        <x:v>-10</x:v>
      </x:c>
      <x:c r="I14" s="1"/>
      <x:c r="J14" s="1"/>
      <x:c r="K14" s="6"/>
    </x:row>
    <x:row r="15">
      <x:c r="B15" s="1" t="s">
        <x:v>269</x:v>
      </x:c>
      <x:c r="C15" s="4" t="n">
        <x:f>C56</x:f>
        <x:v>10</x:v>
      </x:c>
      <x:c r="D15" s="4" t="n">
        <x:f>D56</x:f>
        <x:v>-9.6</x:v>
      </x:c>
      <x:c r="E15" s="4" t="n">
        <x:f>E56</x:f>
        <x:v>-17.9</x:v>
      </x:c>
      <x:c r="F15" s="4" t="n">
        <x:f>F56</x:f>
        <x:v>-32.4</x:v>
      </x:c>
      <x:c r="G15" s="4" t="n">
        <x:f>G56</x:f>
        <x:v>-49.9</x:v>
      </x:c>
      <x:c r="H15" s="39" t="n">
        <x:f>'Balance Sheet'!H24-'Balance Sheet'!F24</x:f>
        <x:v>10</x:v>
      </x:c>
      <x:c r="I15" s="1"/>
      <x:c r="J15" s="1"/>
      <x:c r="K15" s="6"/>
    </x:row>
    <x:row r="16">
      <x:c r="B16" s="1" t="s">
        <x:v>274</x:v>
      </x:c>
      <x:c r="C16" s="4" t="n">
        <x:f>SUM(C52,C54:C55,C57:C58)</x:f>
        <x:v>-45.4</x:v>
      </x:c>
      <x:c r="D16" s="4" t="n">
        <x:f>SUM(D52,D54:D55,D57:D58)</x:f>
        <x:v>-66.3</x:v>
      </x:c>
      <x:c r="E16" s="4" t="n">
        <x:f>SUM(E52,E54:E55,E57:E58)</x:f>
        <x:v>118</x:v>
      </x:c>
      <x:c r="F16" s="4" t="n">
        <x:f>SUM(F52,F54:F55,F57:F58)</x:f>
        <x:v>-30.6</x:v>
      </x:c>
      <x:c r="G16" s="4" t="n">
        <x:f>SUM(G52,G54:G55,G57:G58)</x:f>
        <x:v>-24.3</x:v>
      </x:c>
      <x:c r="H16" s="32">
        <x:v>0</x:v>
      </x:c>
      <x:c r="I16" s="1"/>
      <x:c r="J16" s="1"/>
      <x:c r="K16" s="6"/>
    </x:row>
    <x:row r="17">
      <x:c r="B17" s="17" t="s">
        <x:v>275</x:v>
      </x:c>
      <x:c r="C17" s="20" t="n">
        <x:f>SUM(C9:C16)</x:f>
        <x:v>-44.899999999999956</x:v>
      </x:c>
      <x:c r="D17" s="20" t="n">
        <x:f>SUM(D9:D16)</x:f>
        <x:v>13.59999999999998</x:v>
      </x:c>
      <x:c r="E17" s="20" t="n">
        <x:f>SUM(E9:E16)</x:f>
        <x:v>74.70000000000005</x:v>
      </x:c>
      <x:c r="F17" s="20" t="n">
        <x:f>SUM(F9:F16)</x:f>
        <x:v>55.30000000000029</x:v>
      </x:c>
      <x:c r="G17" s="20" t="n">
        <x:f>SUM(G9:G16)</x:f>
        <x:v>98.69999999999992</x:v>
      </x:c>
      <x:c r="H17" s="21" t="n">
        <x:f>SUM(H9,H12:H16)</x:f>
        <x:v>48.21497599999992</x:v>
      </x:c>
      <x:c r="I17" s="1"/>
      <x:c r="J17" s="1"/>
      <x:c r="K17" s="6"/>
    </x:row>
    <x:row r="18">
      <x:c r="B18" s="1" t="s">
        <x:v>276</x:v>
      </x:c>
      <x:c r="C18" s="4" t="n">
        <x:f>C65</x:f>
        <x:v>-8.7</x:v>
      </x:c>
      <x:c r="D18" s="4" t="n">
        <x:f>D65</x:f>
        <x:v>-7.4</x:v>
      </x:c>
      <x:c r="E18" s="4" t="n">
        <x:f>E65</x:f>
        <x:v>-8.5</x:v>
      </x:c>
      <x:c r="F18" s="4" t="n">
        <x:f>F65</x:f>
        <x:v>-12</x:v>
      </x:c>
      <x:c r="G18" s="4" t="n">
        <x:f>G65</x:f>
        <x:v>-36.6</x:v>
      </x:c>
      <x:c r="H18" s="3" t="n">
        <x:f>-H20</x:f>
        <x:v>-10</x:v>
      </x:c>
      <x:c r="I18" s="1"/>
      <x:c r="J18" s="1"/>
      <x:c r="K18" s="6"/>
    </x:row>
    <x:row r="19">
      <x:c r="B19" s="1" t="s">
        <x:v>277</x:v>
      </x:c>
      <x:c r="C19" s="4" t="n">
        <x:f>SUM(C66:C70)</x:f>
        <x:v>-15.100000000000001</x:v>
      </x:c>
      <x:c r="D19" s="4" t="n">
        <x:f>SUM(D66:D70)</x:f>
        <x:v>-205.89999999999998</x:v>
      </x:c>
      <x:c r="E19" s="4" t="n">
        <x:f>SUM(E66:E70)</x:f>
        <x:v>-6.1999999999999975</x:v>
      </x:c>
      <x:c r="F19" s="4" t="n">
        <x:f>SUM(F66:F70)</x:f>
        <x:v>-44.9</x:v>
      </x:c>
      <x:c r="G19" s="4" t="n">
        <x:f>SUM(G66:G70)</x:f>
        <x:v>-272.1</x:v>
      </x:c>
      <x:c r="H19" s="32">
        <x:v>0</x:v>
      </x:c>
      <x:c r="I19" s="1"/>
      <x:c r="J19" s="1"/>
      <x:c r="K19" s="6"/>
    </x:row>
    <x:row r="20">
      <x:c r="B20" s="1" t="s">
        <x:v>278</x:v>
      </x:c>
      <x:c r="C20" s="4"/>
      <x:c r="D20" s="4"/>
      <x:c r="E20" s="4"/>
      <x:c r="F20" s="4"/>
      <x:c r="G20" s="4"/>
      <x:c r="H20" s="32">
        <x:v>10</x:v>
      </x:c>
      <x:c r="I20" s="1"/>
      <x:c r="J20" s="1"/>
      <x:c r="K20" s="6"/>
    </x:row>
    <x:row r="21">
      <x:c r="B21" s="1" t="s">
        <x:v>279</x:v>
      </x:c>
      <x:c r="C21" s="4"/>
      <x:c r="D21" s="4"/>
      <x:c r="E21" s="4"/>
      <x:c r="F21" s="4"/>
      <x:c r="G21" s="4"/>
      <x:c r="H21" s="32">
        <x:v>5</x:v>
      </x:c>
      <x:c r="I21" s="1"/>
      <x:c r="J21" s="1"/>
      <x:c r="K21" s="6"/>
    </x:row>
    <x:row r="22">
      <x:c r="B22" s="17" t="s">
        <x:v>280</x:v>
      </x:c>
      <x:c r="C22" s="20" t="n">
        <x:f>SUM(C18:C19)</x:f>
        <x:v>-23.8</x:v>
      </x:c>
      <x:c r="D22" s="20" t="n">
        <x:f>SUM(D18:D19)</x:f>
        <x:v>-213.29999999999998</x:v>
      </x:c>
      <x:c r="E22" s="20" t="n">
        <x:f>SUM(E18:E19)</x:f>
        <x:v>-14.699999999999998</x:v>
      </x:c>
      <x:c r="F22" s="20" t="n">
        <x:f>SUM(F18:F19)</x:f>
        <x:v>-56.9</x:v>
      </x:c>
      <x:c r="G22" s="20" t="n">
        <x:f>SUM(G18:G19)</x:f>
        <x:v>-308.70000000000005</x:v>
      </x:c>
      <x:c r="H22" s="21" t="n">
        <x:f>SUM(H18:H19)</x:f>
        <x:v>-10</x:v>
      </x:c>
      <x:c r="I22" s="1"/>
      <x:c r="J22" s="1"/>
      <x:c r="K22" s="6"/>
    </x:row>
    <x:row r="23">
      <x:c r="B23" s="1" t="s">
        <x:v>281</x:v>
      </x:c>
      <x:c r="C23" s="4" t="n">
        <x:f>SUM(C72:C78)</x:f>
        <x:v>51.1</x:v>
      </x:c>
      <x:c r="D23" s="4" t="n">
        <x:f>SUM(D72:D78)</x:f>
        <x:v>204.29999999999998</x:v>
      </x:c>
      <x:c r="E23" s="4" t="n">
        <x:f>SUM(E72:E78)</x:f>
        <x:v>-56.1</x:v>
      </x:c>
      <x:c r="F23" s="4" t="n">
        <x:f>SUM(F72:F78)</x:f>
        <x:v>9.3</x:v>
      </x:c>
      <x:c r="G23" s="4" t="n">
        <x:f>SUM(G72:G78)</x:f>
        <x:v>208.59999999999997</x:v>
      </x:c>
      <x:c r="H23" s="3" t="n">
        <x:f>-H21</x:f>
        <x:v>-5</x:v>
      </x:c>
      <x:c r="I23" s="1"/>
      <x:c r="J23" s="1"/>
      <x:c r="K23" s="6"/>
    </x:row>
    <x:row r="24">
      <x:c r="B24" s="17" t="s">
        <x:v>282</x:v>
      </x:c>
      <x:c r="C24" s="20" t="n">
        <x:f>C23</x:f>
        <x:v>51.1</x:v>
      </x:c>
      <x:c r="D24" s="20" t="n">
        <x:f>D23</x:f>
        <x:v>204.29999999999998</x:v>
      </x:c>
      <x:c r="E24" s="20" t="n">
        <x:f>E23</x:f>
        <x:v>-56.1</x:v>
      </x:c>
      <x:c r="F24" s="20" t="n">
        <x:f>F23</x:f>
        <x:v>9.3</x:v>
      </x:c>
      <x:c r="G24" s="20" t="n">
        <x:f>G23</x:f>
        <x:v>208.59999999999997</x:v>
      </x:c>
      <x:c r="H24" s="21" t="n">
        <x:f>H23</x:f>
        <x:v>-5</x:v>
      </x:c>
      <x:c r="I24" s="1"/>
      <x:c r="J24" s="1"/>
      <x:c r="K24" s="6"/>
    </x:row>
    <x:row r="25">
      <x:c r="B25" s="17" t="s">
        <x:v>283</x:v>
      </x:c>
      <x:c r="C25" s="20" t="n">
        <x:f>SUM(C17,C22,C24)</x:f>
        <x:v>-17.59999999999996</x:v>
      </x:c>
      <x:c r="D25" s="20" t="n">
        <x:f>SUM(D17,D22,D24)</x:f>
        <x:v>4.599999999999994</x:v>
      </x:c>
      <x:c r="E25" s="20" t="n">
        <x:f>SUM(E17,E22,E24)</x:f>
        <x:v>3.9000000000000483</x:v>
      </x:c>
      <x:c r="F25" s="20" t="n">
        <x:f>SUM(F17,F22,F24)</x:f>
        <x:v>7.700000000000291</x:v>
      </x:c>
      <x:c r="G25" s="20" t="n">
        <x:f>SUM(G17,G22,G24)</x:f>
        <x:v>-1.4000000000001478</x:v>
      </x:c>
      <x:c r="H25" s="21" t="n">
        <x:f>SUM(H17,H22,H24)</x:f>
        <x:v>33.21497599999992</x:v>
      </x:c>
      <x:c r="I25" s="1"/>
      <x:c r="J25" s="1"/>
      <x:c r="K25" s="6"/>
    </x:row>
    <x:row r="26">
      <x:c r="B26" s="1" t="s">
        <x:v>284</x:v>
      </x:c>
      <x:c r="C26" s="18">
        <x:v>109.2</x:v>
      </x:c>
      <x:c r="D26" s="18">
        <x:v>91.6</x:v>
      </x:c>
      <x:c r="E26" s="18">
        <x:v>96.2</x:v>
      </x:c>
      <x:c r="F26" s="18">
        <x:v>100.1</x:v>
      </x:c>
      <x:c r="G26" s="18">
        <x:v>109.2</x:v>
      </x:c>
      <x:c r="H26" s="39" t="n">
        <x:f>'Balance Sheet'!F9+'Balance Sheet'!F10</x:f>
        <x:v>107.8</x:v>
      </x:c>
      <x:c r="I26" s="1"/>
      <x:c r="J26" s="1" t="s">
        <x:v>285</x:v>
      </x:c>
      <x:c r="K26" s="6"/>
    </x:row>
    <x:row r="27">
      <x:c r="B27" s="17" t="s">
        <x:v>286</x:v>
      </x:c>
      <x:c r="C27" s="50" t="n">
        <x:f>'Balance Sheet'!C9+'Balance Sheet'!C10</x:f>
        <x:v>91.6</x:v>
      </x:c>
      <x:c r="D27" s="50" t="n">
        <x:f>'Balance Sheet'!D9+'Balance Sheet'!D10</x:f>
        <x:v>96.19999999999999</x:v>
      </x:c>
      <x:c r="E27" s="50" t="n">
        <x:f>'Balance Sheet'!E9+'Balance Sheet'!E10</x:f>
        <x:v>100.1</x:v>
      </x:c>
      <x:c r="F27" s="50" t="n">
        <x:f>'Balance Sheet'!F9+'Balance Sheet'!F10</x:f>
        <x:v>107.8</x:v>
      </x:c>
      <x:c r="G27" s="50" t="n">
        <x:f>'Balance Sheet'!G9+'Balance Sheet'!G10</x:f>
        <x:v>107.8</x:v>
      </x:c>
      <x:c r="H27" s="37" t="n">
        <x:f>'Balance Sheet'!H9+'Balance Sheet'!H10</x:f>
        <x:v>141.01497599999993</x:v>
      </x:c>
      <x:c r="I27" s="1"/>
      <x:c r="J27" s="1"/>
      <x:c r="K27" s="6"/>
    </x:row>
    <x:row r="28">
      <x:c r="B28" s="17" t="s">
        <x:v>287</x:v>
      </x:c>
      <x:c r="C28" s="20" t="n">
        <x:f>C25-(C27-C26)</x:f>
        <x:v>4.973799150320701e-14</x:v>
      </x:c>
      <x:c r="D28" s="20" t="n">
        <x:f>D25-(D27-D26)</x:f>
        <x:v>0</x:v>
      </x:c>
      <x:c r="E28" s="20" t="n">
        <x:f>E25-(E27-E26)</x:f>
        <x:v>5.684341886080802e-14</x:v>
      </x:c>
      <x:c r="F28" s="20" t="n">
        <x:f>F25-(F27-F26)</x:f>
        <x:v>2.877698079828406e-13</x:v>
      </x:c>
      <x:c r="G28" s="20" t="n">
        <x:f>G25-(G27-G26)</x:f>
        <x:v>-1.4210854715202004e-13</x:v>
      </x:c>
      <x:c r="H28" s="21" t="n">
        <x:f>H25-(H27-H26)</x:f>
        <x:v>-1.4210854715202004e-14</x:v>
      </x:c>
      <x:c r="I28" s="1"/>
      <x:c r="J28" s="1"/>
      <x:c r="K28" s="6"/>
    </x:row>
    <x:row r="29">
      <x:c r="B29" s="1"/>
      <x:c r="C29" s="4"/>
      <x:c r="D29" s="4"/>
      <x:c r="E29" s="4"/>
      <x:c r="F29" s="4"/>
      <x:c r="G29" s="4"/>
      <x:c r="H29" s="3"/>
      <x:c r="I29" s="1"/>
      <x:c r="J29" s="1"/>
      <x:c r="K29" s="6"/>
    </x:row>
    <x:row r="30">
      <x:c r="B30" s="1" t="s">
        <x:v>288</x:v>
      </x:c>
      <x:c r="C30" s="27" t="n">
        <x:f>C17/'Revenue summary'!C29</x:f>
        <x:v>-0.06070849107625737</x:v>
      </x:c>
      <x:c r="D30" s="27" t="n">
        <x:f>D17/'Revenue summary'!D29</x:f>
        <x:v>0.017100465233245293</x:v>
      </x:c>
      <x:c r="E30" s="27" t="n">
        <x:f>E17/'Revenue summary'!E29</x:f>
        <x:v>0.08839190628328014</x:v>
      </x:c>
      <x:c r="F30" s="27" t="n">
        <x:f>F17/'Revenue summary'!F29</x:f>
        <x:v>0.059590517241379606</x:v>
      </x:c>
      <x:c r="G30" s="27" t="n">
        <x:f>G17/'Revenue summary'!G29</x:f>
        <x:v>0.029836759371221256</x:v>
      </x:c>
      <x:c r="H30" s="49" t="n">
        <x:f>H17/'Revenue summary'!H29</x:f>
        <x:v>0.05454182805429855</x:v>
      </x:c>
      <x:c r="I30" s="1"/>
      <x:c r="J30" s="1"/>
      <x:c r="K30" s="6"/>
    </x:row>
    <x:row r="31">
      <x:c r="B31" s="17" t="s">
        <x:v>289</x:v>
      </x:c>
      <x:c r="C31" s="20" t="n">
        <x:f>SUM(C17,C18)</x:f>
        <x:v>-53.59999999999995</x:v>
      </x:c>
      <x:c r="D31" s="20" t="n">
        <x:f>SUM(D17,D18)</x:f>
        <x:v>6.19999999999998</x:v>
      </x:c>
      <x:c r="E31" s="20" t="n">
        <x:f>SUM(E17,E18)</x:f>
        <x:v>66.20000000000005</x:v>
      </x:c>
      <x:c r="F31" s="20" t="n">
        <x:f>SUM(F17,F18)</x:f>
        <x:v>43.30000000000029</x:v>
      </x:c>
      <x:c r="G31" s="20" t="n">
        <x:f>SUM(G17,G18)</x:f>
        <x:v>62.099999999999916</x:v>
      </x:c>
      <x:c r="H31" s="21" t="n">
        <x:f>SUM(H17,H18)</x:f>
        <x:v>38.21497599999992</x:v>
      </x:c>
      <x:c r="I31" s="1"/>
      <x:c r="J31" s="1"/>
      <x:c r="K31" s="6"/>
    </x:row>
    <x:row r="32">
      <x:c r="B32" s="6"/>
      <x:c r="C32" s="6"/>
      <x:c r="D32" s="6"/>
      <x:c r="E32" s="6"/>
      <x:c r="F32" s="6"/>
      <x:c r="G32" s="6"/>
      <x:c r="H32" s="13"/>
      <x:c r="I32" s="6"/>
      <x:c r="J32" s="6"/>
      <x:c r="K32" s="6"/>
    </x:row>
    <x:row r="33">
      <x:c r="B33" s="6"/>
      <x:c r="C33" s="6"/>
      <x:c r="D33" s="6"/>
      <x:c r="E33" s="6"/>
      <x:c r="F33" s="6"/>
      <x:c r="G33" s="6"/>
      <x:c r="H33" s="13"/>
      <x:c r="I33" s="6"/>
      <x:c r="J33" s="6"/>
      <x:c r="K33" s="6"/>
    </x:row>
    <x:row r="34">
      <x:c r="B34" s="6"/>
      <x:c r="C34" s="6"/>
      <x:c r="D34" s="6"/>
      <x:c r="E34" s="6"/>
      <x:c r="F34" s="6"/>
      <x:c r="G34" s="6"/>
      <x:c r="H34" s="13"/>
      <x:c r="I34" s="6"/>
      <x:c r="J34" s="6"/>
      <x:c r="K34" s="6"/>
    </x:row>
    <x:row r="35">
      <x:c r="B35" s="6"/>
      <x:c r="C35" s="6"/>
      <x:c r="D35" s="6"/>
      <x:c r="E35" s="6"/>
      <x:c r="F35" s="6"/>
      <x:c r="G35" s="6"/>
      <x:c r="H35" s="13"/>
      <x:c r="I35" s="6"/>
      <x:c r="J35" s="6"/>
      <x:c r="K35" s="6"/>
    </x:row>
    <x:row r="36">
      <x:c r="B36" s="6"/>
      <x:c r="C36" s="6"/>
      <x:c r="D36" s="6"/>
      <x:c r="E36" s="6"/>
      <x:c r="F36" s="6"/>
      <x:c r="G36" s="6"/>
      <x:c r="H36" s="13"/>
      <x:c r="I36" s="6"/>
      <x:c r="J36" s="6"/>
      <x:c r="K36" s="6"/>
    </x:row>
    <x:row r="37">
      <x:c r="B37" s="6"/>
      <x:c r="C37" s="6"/>
      <x:c r="D37" s="6"/>
      <x:c r="E37" s="6"/>
      <x:c r="F37" s="6"/>
      <x:c r="G37" s="6"/>
      <x:c r="H37" s="13"/>
      <x:c r="I37" s="6"/>
      <x:c r="J37" s="6"/>
      <x:c r="K37" s="6"/>
    </x:row>
    <x:row r="38">
      <x:c r="B38" s="6"/>
      <x:c r="C38" s="6"/>
      <x:c r="D38" s="6"/>
      <x:c r="E38" s="6"/>
      <x:c r="F38" s="6"/>
      <x:c r="G38" s="6"/>
      <x:c r="H38" s="13"/>
      <x:c r="I38" s="6"/>
      <x:c r="J38" s="6"/>
      <x:c r="K38" s="6"/>
    </x:row>
    <x:row r="39">
      <x:c r="B39" s="1" t="s">
        <x:v>290</x:v>
      </x:c>
      <x:c r="C39" s="1"/>
      <x:c r="D39" s="1"/>
      <x:c r="E39" s="1"/>
      <x:c r="F39" s="1"/>
      <x:c r="G39" s="1"/>
      <x:c r="H39" s="36"/>
      <x:c r="I39" s="6"/>
      <x:c r="J39" s="6"/>
      <x:c r="K39" s="6"/>
    </x:row>
    <x:row r="40">
      <x:c r="B40" s="1" t="s">
        <x:v>291</x:v>
      </x:c>
      <x:c r="C40" s="41" t="n">
        <x:f>'Income Statement'!C30</x:f>
        <x:v>34.40000000000005</x:v>
      </x:c>
      <x:c r="D40" s="41" t="n">
        <x:f>'Income Statement'!D30</x:f>
        <x:v>34.59999999999998</x:v>
      </x:c>
      <x:c r="E40" s="41" t="n">
        <x:f>'Income Statement'!E30</x:f>
        <x:v>68.00000000000006</x:v>
      </x:c>
      <x:c r="F40" s="41" t="n">
        <x:f>'Income Statement'!F30</x:f>
        <x:v>50.70000000000028</x:v>
      </x:c>
      <x:c r="G40" s="41" t="n">
        <x:f>'Income Statement'!G30</x:f>
        <x:v>187.69999999999993</x:v>
      </x:c>
      <x:c r="H40" s="3"/>
      <x:c r="I40" s="6"/>
      <x:c r="J40" s="6"/>
      <x:c r="K40" s="6"/>
    </x:row>
    <x:row r="41">
      <x:c r="B41" s="1" t="s">
        <x:v>292</x:v>
      </x:c>
      <x:c r="C41" s="18">
        <x:v>13.8</x:v>
      </x:c>
      <x:c r="D41" s="18">
        <x:v>17.1</x:v>
      </x:c>
      <x:c r="E41" s="18">
        <x:v>20.2</x:v>
      </x:c>
      <x:c r="F41" s="18">
        <x:v>21</x:v>
      </x:c>
      <x:c r="G41" s="18">
        <x:v>72.1</x:v>
      </x:c>
      <x:c r="H41" s="3"/>
      <x:c r="I41" s="6"/>
      <x:c r="J41" s="6"/>
      <x:c r="K41" s="6"/>
    </x:row>
    <x:row r="42">
      <x:c r="B42" s="1" t="s">
        <x:v>293</x:v>
      </x:c>
      <x:c r="C42" s="18">
        <x:v>0.7</x:v>
      </x:c>
      <x:c r="D42" s="18">
        <x:v>0.9</x:v>
      </x:c>
      <x:c r="E42" s="18">
        <x:v>0.8</x:v>
      </x:c>
      <x:c r="F42" s="18">
        <x:v>0.8</x:v>
      </x:c>
      <x:c r="G42" s="18">
        <x:v>3.2</x:v>
      </x:c>
      <x:c r="H42" s="3"/>
      <x:c r="I42" s="6"/>
      <x:c r="J42" s="6"/>
      <x:c r="K42" s="6"/>
    </x:row>
    <x:row r="43">
      <x:c r="B43" s="1" t="s">
        <x:v>294</x:v>
      </x:c>
      <x:c r="C43" s="18">
        <x:v>5.3</x:v>
      </x:c>
      <x:c r="D43" s="18">
        <x:v>4.3</x:v>
      </x:c>
      <x:c r="E43" s="18">
        <x:v>3.7</x:v>
      </x:c>
      <x:c r="F43" s="18">
        <x:v>4.5</x:v>
      </x:c>
      <x:c r="G43" s="18">
        <x:v>17.8</x:v>
      </x:c>
      <x:c r="H43" s="3"/>
      <x:c r="I43" s="6"/>
      <x:c r="J43" s="6"/>
      <x:c r="K43" s="6"/>
    </x:row>
    <x:row r="44">
      <x:c r="B44" s="1" t="s">
        <x:v>222</x:v>
      </x:c>
      <x:c r="C44" s="18">
        <x:v>0</x:v>
      </x:c>
      <x:c r="D44" s="18">
        <x:v>0</x:v>
      </x:c>
      <x:c r="E44" s="18">
        <x:v>-35.7</x:v>
      </x:c>
      <x:c r="F44" s="18">
        <x:v>6.2</x:v>
      </x:c>
      <x:c r="G44" s="18">
        <x:v>-29.5</x:v>
      </x:c>
      <x:c r="H44" s="3"/>
      <x:c r="I44" s="6"/>
      <x:c r="J44" s="6"/>
      <x:c r="K44" s="6"/>
    </x:row>
    <x:row r="45">
      <x:c r="B45" s="1" t="s">
        <x:v>295</x:v>
      </x:c>
      <x:c r="C45" s="18">
        <x:v>0</x:v>
      </x:c>
      <x:c r="D45" s="18">
        <x:v>0</x:v>
      </x:c>
      <x:c r="E45" s="18">
        <x:v>-9.8</x:v>
      </x:c>
      <x:c r="F45" s="18">
        <x:v>0</x:v>
      </x:c>
      <x:c r="G45" s="18">
        <x:v>-9.8</x:v>
      </x:c>
      <x:c r="H45" s="3"/>
      <x:c r="I45" s="6"/>
      <x:c r="J45" s="6"/>
      <x:c r="K45" s="6"/>
    </x:row>
    <x:row r="46">
      <x:c r="B46" s="1" t="s">
        <x:v>184</x:v>
      </x:c>
      <x:c r="C46" s="18">
        <x:v>0.6</x:v>
      </x:c>
      <x:c r="D46" s="18">
        <x:v>1.1</x:v>
      </x:c>
      <x:c r="E46" s="18">
        <x:v>0.5</x:v>
      </x:c>
      <x:c r="F46" s="18">
        <x:v>-0.1</x:v>
      </x:c>
      <x:c r="G46" s="18">
        <x:v>2.1</x:v>
      </x:c>
      <x:c r="H46" s="3"/>
      <x:c r="I46" s="6"/>
      <x:c r="J46" s="6"/>
      <x:c r="K46" s="6"/>
    </x:row>
    <x:row r="47">
      <x:c r="B47" s="1" t="s">
        <x:v>296</x:v>
      </x:c>
      <x:c r="C47" s="18">
        <x:v>0</x:v>
      </x:c>
      <x:c r="D47" s="18">
        <x:v>0</x:v>
      </x:c>
      <x:c r="E47" s="18">
        <x:v>0</x:v>
      </x:c>
      <x:c r="F47" s="18">
        <x:v>-3.2</x:v>
      </x:c>
      <x:c r="G47" s="18">
        <x:v>-3.2</x:v>
      </x:c>
      <x:c r="H47" s="3"/>
      <x:c r="I47" s="6"/>
      <x:c r="J47" s="6"/>
      <x:c r="K47" s="6"/>
    </x:row>
    <x:row r="48">
      <x:c r="B48" s="1" t="s">
        <x:v>297</x:v>
      </x:c>
      <x:c r="C48" s="18">
        <x:v>-3</x:v>
      </x:c>
      <x:c r="D48" s="18">
        <x:v>0.1</x:v>
      </x:c>
      <x:c r="E48" s="18">
        <x:v>-1.4</x:v>
      </x:c>
      <x:c r="F48" s="4" t="n">
        <x:f>G48-SUM(C48:E48)</x:f>
        <x:v>-2.9000000000000004</x:v>
      </x:c>
      <x:c r="G48" s="18">
        <x:v>-7.2</x:v>
      </x:c>
      <x:c r="H48" s="3"/>
      <x:c r="I48" s="6"/>
      <x:c r="J48" s="6"/>
      <x:c r="K48" s="6"/>
    </x:row>
    <x:row r="49">
      <x:c r="B49" s="1" t="s">
        <x:v>298</x:v>
      </x:c>
      <x:c r="C49" s="18">
        <x:v>-1</x:v>
      </x:c>
      <x:c r="D49" s="18">
        <x:v>0</x:v>
      </x:c>
      <x:c r="E49" s="18">
        <x:v>0</x:v>
      </x:c>
      <x:c r="F49" s="18">
        <x:v>1</x:v>
      </x:c>
      <x:c r="G49" s="18">
        <x:v>0</x:v>
      </x:c>
      <x:c r="H49" s="3"/>
      <x:c r="I49" s="6"/>
      <x:c r="J49" s="6"/>
      <x:c r="K49" s="6"/>
    </x:row>
    <x:row r="50">
      <x:c r="B50" s="1" t="s">
        <x:v>299</x:v>
      </x:c>
      <x:c r="C50" s="18">
        <x:v>0</x:v>
      </x:c>
      <x:c r="D50" s="18">
        <x:v>0</x:v>
      </x:c>
      <x:c r="E50" s="18">
        <x:v>0</x:v>
      </x:c>
      <x:c r="F50" s="18">
        <x:v>1</x:v>
      </x:c>
      <x:c r="G50" s="18">
        <x:v>1</x:v>
      </x:c>
      <x:c r="H50" s="3"/>
      <x:c r="I50" s="6"/>
      <x:c r="J50" s="6"/>
      <x:c r="K50" s="6"/>
    </x:row>
    <x:row r="51">
      <x:c r="B51" s="1" t="s">
        <x:v>300</x:v>
      </x:c>
      <x:c r="C51" s="18">
        <x:v>-8.5</x:v>
      </x:c>
      <x:c r="D51" s="18">
        <x:v>-2.1</x:v>
      </x:c>
      <x:c r="E51" s="18">
        <x:v>-24.5</x:v>
      </x:c>
      <x:c r="F51" s="18">
        <x:v>42.8</x:v>
      </x:c>
      <x:c r="G51" s="18">
        <x:v>7.7</x:v>
      </x:c>
      <x:c r="H51" s="3"/>
      <x:c r="I51" s="6"/>
      <x:c r="J51" s="6"/>
      <x:c r="K51" s="6"/>
    </x:row>
    <x:row r="52">
      <x:c r="B52" s="1" t="s">
        <x:v>301</x:v>
      </x:c>
      <x:c r="C52" s="18">
        <x:v>-6.4</x:v>
      </x:c>
      <x:c r="D52" s="18">
        <x:v>10.1</x:v>
      </x:c>
      <x:c r="E52" s="18">
        <x:v>10.5</x:v>
      </x:c>
      <x:c r="F52" s="18">
        <x:v>-6.1</x:v>
      </x:c>
      <x:c r="G52" s="18">
        <x:v>8.1</x:v>
      </x:c>
      <x:c r="H52" s="3"/>
      <x:c r="I52" s="6"/>
      <x:c r="J52" s="6"/>
      <x:c r="K52" s="6"/>
    </x:row>
    <x:row r="53">
      <x:c r="B53" s="1" t="s">
        <x:v>302</x:v>
      </x:c>
      <x:c r="C53" s="18">
        <x:v>-51.8</x:v>
      </x:c>
      <x:c r="D53" s="18">
        <x:v>33.5</x:v>
      </x:c>
      <x:c r="E53" s="18">
        <x:v>-47.2</x:v>
      </x:c>
      <x:c r="F53" s="18">
        <x:v>-3.5</x:v>
      </x:c>
      <x:c r="G53" s="18">
        <x:v>-69</x:v>
      </x:c>
      <x:c r="H53" s="3"/>
      <x:c r="I53" s="6"/>
      <x:c r="J53" s="6"/>
      <x:c r="K53" s="6"/>
    </x:row>
    <x:row r="54">
      <x:c r="B54" s="1" t="s">
        <x:v>303</x:v>
      </x:c>
      <x:c r="C54" s="18">
        <x:v>3.5</x:v>
      </x:c>
      <x:c r="D54" s="18">
        <x:v>-21</x:v>
      </x:c>
      <x:c r="E54" s="18">
        <x:v>-1</x:v>
      </x:c>
      <x:c r="F54" s="18">
        <x:v>6.6</x:v>
      </x:c>
      <x:c r="G54" s="18">
        <x:v>-11.9</x:v>
      </x:c>
      <x:c r="H54" s="3"/>
      <x:c r="I54" s="6"/>
      <x:c r="J54" s="6"/>
      <x:c r="K54" s="6"/>
    </x:row>
    <x:row r="55">
      <x:c r="B55" s="1" t="s">
        <x:v>304</x:v>
      </x:c>
      <x:c r="C55" s="18">
        <x:v>-3.5</x:v>
      </x:c>
      <x:c r="D55" s="18">
        <x:v>-41.1</x:v>
      </x:c>
      <x:c r="E55" s="18">
        <x:v>19</x:v>
      </x:c>
      <x:c r="F55" s="18">
        <x:v>3.3</x:v>
      </x:c>
      <x:c r="G55" s="18">
        <x:v>-22.3</x:v>
      </x:c>
      <x:c r="H55" s="3"/>
      <x:c r="I55" s="6"/>
      <x:c r="J55" s="6"/>
      <x:c r="K55" s="6"/>
    </x:row>
    <x:row r="56">
      <x:c r="B56" s="1" t="s">
        <x:v>269</x:v>
      </x:c>
      <x:c r="C56" s="18">
        <x:v>10</x:v>
      </x:c>
      <x:c r="D56" s="18">
        <x:v>-9.6</x:v>
      </x:c>
      <x:c r="E56" s="18">
        <x:v>-17.9</x:v>
      </x:c>
      <x:c r="F56" s="18">
        <x:v>-32.4</x:v>
      </x:c>
      <x:c r="G56" s="18">
        <x:v>-49.9</x:v>
      </x:c>
      <x:c r="H56" s="3"/>
      <x:c r="I56" s="6"/>
      <x:c r="J56" s="6"/>
      <x:c r="K56" s="6"/>
    </x:row>
    <x:row r="57">
      <x:c r="B57" s="1" t="s">
        <x:v>305</x:v>
      </x:c>
      <x:c r="C57" s="18">
        <x:v>-26.7</x:v>
      </x:c>
      <x:c r="D57" s="18">
        <x:v>-2.3</x:v>
      </x:c>
      <x:c r="E57" s="18">
        <x:v>71.6</x:v>
      </x:c>
      <x:c r="F57" s="18">
        <x:v>-21</x:v>
      </x:c>
      <x:c r="G57" s="18">
        <x:v>21.6</x:v>
      </x:c>
      <x:c r="H57" s="3"/>
      <x:c r="I57" s="6"/>
      <x:c r="J57" s="6"/>
      <x:c r="K57" s="6"/>
    </x:row>
    <x:row r="58">
      <x:c r="B58" s="1" t="s">
        <x:v>306</x:v>
      </x:c>
      <x:c r="C58" s="18">
        <x:v>-12.3</x:v>
      </x:c>
      <x:c r="D58" s="18">
        <x:v>-12</x:v>
      </x:c>
      <x:c r="E58" s="18">
        <x:v>17.9</x:v>
      </x:c>
      <x:c r="F58" s="18">
        <x:v>-13.4</x:v>
      </x:c>
      <x:c r="G58" s="18">
        <x:v>-19.8</x:v>
      </x:c>
      <x:c r="H58" s="3"/>
      <x:c r="I58" s="6"/>
      <x:c r="J58" s="6"/>
      <x:c r="K58" s="6"/>
    </x:row>
    <x:row r="59">
      <x:c r="B59" s="1" t="s">
        <x:v>307</x:v>
      </x:c>
      <x:c r="C59" s="4" t="n">
        <x:f>SUM(C40:C58)</x:f>
        <x:v>-44.89999999999995</x:v>
      </x:c>
      <x:c r="D59" s="4" t="n">
        <x:f>SUM(D40:D58)</x:f>
        <x:v>13.599999999999977</x:v>
      </x:c>
      <x:c r="E59" s="4" t="n">
        <x:f>SUM(E40:E58)</x:f>
        <x:v>74.70000000000005</x:v>
      </x:c>
      <x:c r="F59" s="4" t="n">
        <x:f>SUM(F40:F58)</x:f>
        <x:v>55.300000000000274</x:v>
      </x:c>
      <x:c r="G59" s="4" t="n">
        <x:f>SUM(G40:G58)</x:f>
        <x:v>98.69999999999992</x:v>
      </x:c>
      <x:c r="H59" s="3"/>
      <x:c r="I59" s="6"/>
      <x:c r="J59" s="6"/>
      <x:c r="K59" s="6"/>
    </x:row>
    <x:row r="60">
      <x:c r="B60" s="1"/>
      <x:c r="C60" s="4"/>
      <x:c r="D60" s="4"/>
      <x:c r="E60" s="4"/>
      <x:c r="F60" s="4"/>
      <x:c r="G60" s="4"/>
      <x:c r="H60" s="3"/>
      <x:c r="I60" s="6"/>
      <x:c r="J60" s="6"/>
      <x:c r="K60" s="6"/>
    </x:row>
    <x:row r="61">
      <x:c r="B61" s="1"/>
      <x:c r="C61" s="4"/>
      <x:c r="D61" s="4"/>
      <x:c r="E61" s="4"/>
      <x:c r="F61" s="4"/>
      <x:c r="G61" s="4"/>
      <x:c r="H61" s="3"/>
      <x:c r="I61" s="6"/>
      <x:c r="J61" s="6"/>
      <x:c r="K61" s="6"/>
    </x:row>
    <x:row r="62">
      <x:c r="B62" s="1"/>
      <x:c r="C62" s="4"/>
      <x:c r="D62" s="4"/>
      <x:c r="E62" s="4"/>
      <x:c r="F62" s="4"/>
      <x:c r="G62" s="4"/>
      <x:c r="H62" s="3"/>
      <x:c r="I62" s="6"/>
      <x:c r="J62" s="6"/>
      <x:c r="K62" s="6"/>
    </x:row>
    <x:row r="63">
      <x:c r="B63" s="1"/>
      <x:c r="C63" s="4"/>
      <x:c r="D63" s="4"/>
      <x:c r="E63" s="4"/>
      <x:c r="F63" s="4"/>
      <x:c r="G63" s="4"/>
      <x:c r="H63" s="3"/>
      <x:c r="I63" s="6"/>
      <x:c r="J63" s="6"/>
      <x:c r="K63" s="6"/>
    </x:row>
    <x:row r="64">
      <x:c r="B64" s="1" t="s">
        <x:v>308</x:v>
      </x:c>
      <x:c r="C64" s="4"/>
      <x:c r="D64" s="4"/>
      <x:c r="E64" s="4"/>
      <x:c r="F64" s="4"/>
      <x:c r="G64" s="4"/>
      <x:c r="H64" s="3"/>
      <x:c r="I64" s="6"/>
      <x:c r="J64" s="6"/>
      <x:c r="K64" s="6"/>
    </x:row>
    <x:row r="65">
      <x:c r="B65" s="1" t="s">
        <x:v>309</x:v>
      </x:c>
      <x:c r="C65" s="18">
        <x:v>-8.7</x:v>
      </x:c>
      <x:c r="D65" s="18">
        <x:v>-7.4</x:v>
      </x:c>
      <x:c r="E65" s="18">
        <x:v>-8.5</x:v>
      </x:c>
      <x:c r="F65" s="18">
        <x:v>-12</x:v>
      </x:c>
      <x:c r="G65" s="18">
        <x:v>-36.6</x:v>
      </x:c>
      <x:c r="H65" s="3"/>
      <x:c r="I65" s="6"/>
      <x:c r="J65" s="6"/>
      <x:c r="K65" s="6"/>
    </x:row>
    <x:row r="66">
      <x:c r="B66" s="1" t="s">
        <x:v>310</x:v>
      </x:c>
      <x:c r="C66" s="18">
        <x:v>-11.9</x:v>
      </x:c>
      <x:c r="D66" s="18">
        <x:v>-209.7</x:v>
      </x:c>
      <x:c r="E66" s="18">
        <x:v>-0.4</x:v>
      </x:c>
      <x:c r="F66" s="18">
        <x:v>-37.4</x:v>
      </x:c>
      <x:c r="G66" s="18">
        <x:v>-259.4</x:v>
      </x:c>
      <x:c r="H66" s="3"/>
      <x:c r="I66" s="6"/>
      <x:c r="J66" s="6"/>
      <x:c r="K66" s="6"/>
    </x:row>
    <x:row r="67">
      <x:c r="B67" s="1" t="s">
        <x:v>311</x:v>
      </x:c>
      <x:c r="C67" s="18">
        <x:v>0</x:v>
      </x:c>
      <x:c r="D67" s="18">
        <x:v>0</x:v>
      </x:c>
      <x:c r="E67" s="18">
        <x:v>24.8</x:v>
      </x:c>
      <x:c r="F67" s="18">
        <x:v>0.3</x:v>
      </x:c>
      <x:c r="G67" s="18">
        <x:v>25.1</x:v>
      </x:c>
      <x:c r="H67" s="3"/>
      <x:c r="I67" s="6"/>
      <x:c r="J67" s="6"/>
      <x:c r="K67" s="6"/>
    </x:row>
    <x:row r="68">
      <x:c r="B68" s="1" t="s">
        <x:v>312</x:v>
      </x:c>
      <x:c r="C68" s="18">
        <x:v>0</x:v>
      </x:c>
      <x:c r="D68" s="18">
        <x:v>0</x:v>
      </x:c>
      <x:c r="E68" s="18">
        <x:v>0</x:v>
      </x:c>
      <x:c r="F68" s="18">
        <x:v>0.6</x:v>
      </x:c>
      <x:c r="G68" s="18">
        <x:v>0.6</x:v>
      </x:c>
      <x:c r="H68" s="3"/>
      <x:c r="I68" s="6"/>
      <x:c r="J68" s="6"/>
      <x:c r="K68" s="6"/>
    </x:row>
    <x:row r="69">
      <x:c r="B69" s="1" t="s">
        <x:v>313</x:v>
      </x:c>
      <x:c r="C69" s="18">
        <x:v>0</x:v>
      </x:c>
      <x:c r="D69" s="18">
        <x:v>0</x:v>
      </x:c>
      <x:c r="E69" s="18">
        <x:v>-24.5</x:v>
      </x:c>
      <x:c r="F69" s="18">
        <x:v>-4.3</x:v>
      </x:c>
      <x:c r="G69" s="18">
        <x:v>-28.8</x:v>
      </x:c>
      <x:c r="H69" s="3"/>
      <x:c r="I69" s="6"/>
      <x:c r="J69" s="6"/>
      <x:c r="K69" s="6"/>
    </x:row>
    <x:row r="70">
      <x:c r="B70" s="1" t="s">
        <x:v>314</x:v>
      </x:c>
      <x:c r="C70" s="18">
        <x:v>-3.2</x:v>
      </x:c>
      <x:c r="D70" s="18">
        <x:v>3.8</x:v>
      </x:c>
      <x:c r="E70" s="18">
        <x:v>-6.1</x:v>
      </x:c>
      <x:c r="F70" s="18">
        <x:v>-4.1</x:v>
      </x:c>
      <x:c r="G70" s="18">
        <x:v>-9.6</x:v>
      </x:c>
      <x:c r="H70" s="3"/>
      <x:c r="I70" s="6"/>
      <x:c r="J70" s="6"/>
      <x:c r="K70" s="6"/>
    </x:row>
    <x:row r="71">
      <x:c r="B71" s="1" t="s">
        <x:v>315</x:v>
      </x:c>
      <x:c r="C71" s="4"/>
      <x:c r="D71" s="4"/>
      <x:c r="E71" s="4"/>
      <x:c r="F71" s="4"/>
      <x:c r="G71" s="4"/>
      <x:c r="H71" s="3"/>
      <x:c r="I71" s="6"/>
      <x:c r="J71" s="6"/>
      <x:c r="K71" s="6"/>
    </x:row>
    <x:row r="72">
      <x:c r="B72" s="1" t="s">
        <x:v>316</x:v>
      </x:c>
      <x:c r="C72" s="18">
        <x:v>0</x:v>
      </x:c>
      <x:c r="D72" s="18">
        <x:v>273.9</x:v>
      </x:c>
      <x:c r="E72" s="18">
        <x:v>0</x:v>
      </x:c>
      <x:c r="F72" s="18">
        <x:v>0</x:v>
      </x:c>
      <x:c r="G72" s="18">
        <x:v>273.9</x:v>
      </x:c>
      <x:c r="H72" s="3"/>
      <x:c r="I72" s="6"/>
      <x:c r="J72" s="6"/>
      <x:c r="K72" s="6"/>
    </x:row>
    <x:row r="73">
      <x:c r="B73" s="1" t="s">
        <x:v>317</x:v>
      </x:c>
      <x:c r="C73" s="18">
        <x:v>153</x:v>
      </x:c>
      <x:c r="D73" s="18">
        <x:v>0</x:v>
      </x:c>
      <x:c r="E73" s="18">
        <x:v>0</x:v>
      </x:c>
      <x:c r="F73" s="18">
        <x:v>0</x:v>
      </x:c>
      <x:c r="G73" s="18">
        <x:v>153</x:v>
      </x:c>
      <x:c r="H73" s="3"/>
      <x:c r="I73" s="6"/>
      <x:c r="J73" s="6"/>
      <x:c r="K73" s="6"/>
    </x:row>
    <x:row r="74">
      <x:c r="B74" s="1" t="s">
        <x:v>318</x:v>
      </x:c>
      <x:c r="C74" s="18">
        <x:v>-97</x:v>
      </x:c>
      <x:c r="D74" s="18">
        <x:v>-70</x:v>
      </x:c>
      <x:c r="E74" s="18">
        <x:v>-65</x:v>
      </x:c>
      <x:c r="F74" s="18">
        <x:v>5</x:v>
      </x:c>
      <x:c r="G74" s="18">
        <x:v>-227</x:v>
      </x:c>
      <x:c r="H74" s="3"/>
      <x:c r="I74" s="6"/>
      <x:c r="J74" s="6"/>
      <x:c r="K74" s="6"/>
    </x:row>
    <x:row r="75">
      <x:c r="B75" s="1" t="s">
        <x:v>319</x:v>
      </x:c>
      <x:c r="C75" s="18">
        <x:v>0</x:v>
      </x:c>
      <x:c r="D75" s="18">
        <x:v>0</x:v>
      </x:c>
      <x:c r="E75" s="18">
        <x:v>0</x:v>
      </x:c>
      <x:c r="F75" s="18">
        <x:v>0</x:v>
      </x:c>
      <x:c r="G75" s="18">
        <x:v>0</x:v>
      </x:c>
      <x:c r="H75" s="3"/>
      <x:c r="I75" s="6"/>
      <x:c r="J75" s="6"/>
      <x:c r="K75" s="6"/>
    </x:row>
    <x:row r="76">
      <x:c r="B76" s="1" t="s">
        <x:v>320</x:v>
      </x:c>
      <x:c r="C76" s="18">
        <x:v>-2.4</x:v>
      </x:c>
      <x:c r="D76" s="18">
        <x:v>0.4</x:v>
      </x:c>
      <x:c r="E76" s="18">
        <x:v>8.9</x:v>
      </x:c>
      <x:c r="F76" s="18">
        <x:v>4.3</x:v>
      </x:c>
      <x:c r="G76" s="18">
        <x:v>11.2</x:v>
      </x:c>
      <x:c r="H76" s="3"/>
      <x:c r="I76" s="6"/>
      <x:c r="J76" s="6"/>
      <x:c r="K76" s="6"/>
    </x:row>
    <x:row r="77">
      <x:c r="B77" s="1" t="s">
        <x:v>321</x:v>
      </x:c>
      <x:c r="C77" s="18">
        <x:v>-2.5</x:v>
      </x:c>
      <x:c r="D77" s="18">
        <x:v>0</x:v>
      </x:c>
      <x:c r="E77" s="18">
        <x:v>0</x:v>
      </x:c>
      <x:c r="F77" s="18">
        <x:v>0</x:v>
      </x:c>
      <x:c r="G77" s="18">
        <x:v>-2.5</x:v>
      </x:c>
      <x:c r="H77" s="3"/>
      <x:c r="I77" s="6"/>
      <x:c r="J77" s="6"/>
      <x:c r="K77" s="6"/>
    </x:row>
    <x:row r="78">
      <x:c r="B78" s="1" t="s">
        <x:v>322</x:v>
      </x:c>
      <x:c r="C78" s="18">
        <x:v>0</x:v>
      </x:c>
      <x:c r="D78" s="18">
        <x:v>0</x:v>
      </x:c>
      <x:c r="E78" s="18">
        <x:v>0</x:v>
      </x:c>
      <x:c r="F78" s="18">
        <x:v>0</x:v>
      </x:c>
      <x:c r="G78" s="18">
        <x:v>0</x:v>
      </x:c>
      <x:c r="H78" s="3"/>
      <x:c r="I78" s="6"/>
      <x:c r="J78" s="6"/>
      <x:c r="K78" s="6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36adadc04eb44d80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8" customWidth="1"/>
    <x:col min="11" max="11" width="20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323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72" t="s">
        <x:v>324</x:v>
      </x:c>
    </x:row>
    <x:row r="9">
      <x:c r="B9" s="1" t="s">
        <x:v>325</x:v>
      </x:c>
      <x:c r="C9" s="73" t="s">
        <x:v>38</x:v>
      </x:c>
      <x:c r="D9" s="73" t="s">
        <x:v>38</x:v>
      </x:c>
      <x:c r="E9" s="73" t="s">
        <x:v>38</x:v>
      </x:c>
      <x:c r="F9" s="73" t="s">
        <x:v>38</x:v>
      </x:c>
      <x:c r="G9" s="4" t="n">
        <x:f>SUM(G18,G24,G30,G36)</x:f>
        <x:v>2362.2</x:v>
      </x:c>
      <x:c r="H9" s="3" t="n">
        <x:f>SUM(H18,H24,H30,H36)</x:f>
        <x:v>630.1024677909561</x:v>
      </x:c>
      <x:c r="I9" s="1"/>
      <x:c r="J9" s="1" t="s">
        <x:v>326</x:v>
      </x:c>
      <x:c r="K9" s="6"/>
    </x:row>
    <x:row r="10">
      <x:c r="B10" s="1" t="s">
        <x:v>327</x:v>
      </x:c>
      <x:c r="C10" s="73" t="s">
        <x:v>38</x:v>
      </x:c>
      <x:c r="D10" s="73" t="s">
        <x:v>38</x:v>
      </x:c>
      <x:c r="E10" s="73" t="s">
        <x:v>38</x:v>
      </x:c>
      <x:c r="F10" s="73" t="s">
        <x:v>38</x:v>
      </x:c>
      <x:c r="G10" s="4" t="n">
        <x:f>SUM(G19,G25,G31,G37)</x:f>
        <x:v>506.6</x:v>
      </x:c>
      <x:c r="H10" s="3" t="n">
        <x:f>SUM(H19,H25,H31,H37)</x:f>
        <x:v>135.24251511757302</x:v>
      </x:c>
      <x:c r="I10" s="1"/>
      <x:c r="J10" s="1"/>
      <x:c r="K10" s="6"/>
    </x:row>
    <x:row r="11">
      <x:c r="B11" s="1" t="s">
        <x:v>328</x:v>
      </x:c>
      <x:c r="C11" s="73" t="s">
        <x:v>38</x:v>
      </x:c>
      <x:c r="D11" s="73" t="s">
        <x:v>38</x:v>
      </x:c>
      <x:c r="E11" s="73" t="s">
        <x:v>38</x:v>
      </x:c>
      <x:c r="F11" s="73" t="s">
        <x:v>38</x:v>
      </x:c>
      <x:c r="G11" s="4" t="n">
        <x:f>SUM(G20,G26,G32,G38)</x:f>
        <x:v>368.3</x:v>
      </x:c>
      <x:c r="H11" s="3" t="n">
        <x:f>SUM(H20,H26,H32,H38)</x:f>
        <x:v>99.19764139486921</x:v>
      </x:c>
      <x:c r="I11" s="1"/>
      <x:c r="J11" s="1"/>
      <x:c r="K11" s="6"/>
    </x:row>
    <x:row r="12">
      <x:c r="B12" s="1" t="s">
        <x:v>329</x:v>
      </x:c>
      <x:c r="C12" s="73" t="s">
        <x:v>38</x:v>
      </x:c>
      <x:c r="D12" s="73" t="s">
        <x:v>38</x:v>
      </x:c>
      <x:c r="E12" s="73" t="s">
        <x:v>38</x:v>
      </x:c>
      <x:c r="F12" s="73" t="s">
        <x:v>38</x:v>
      </x:c>
      <x:c r="G12" s="4" t="n">
        <x:f>SUM(G21,G27,G33,G39)</x:f>
        <x:v>70.89999999999999</x:v>
      </x:c>
      <x:c r="H12" s="3" t="n">
        <x:f>SUM(H21,H27,H33,H39)</x:f>
        <x:v>19.457375696601595</x:v>
      </x:c>
      <x:c r="I12" s="1"/>
      <x:c r="J12" s="1"/>
      <x:c r="K12" s="6"/>
    </x:row>
    <x:row r="13">
      <x:c r="B13" s="17" t="s">
        <x:v>330</x:v>
      </x:c>
      <x:c r="C13" s="20"/>
      <x:c r="D13" s="20"/>
      <x:c r="E13" s="20"/>
      <x:c r="F13" s="20"/>
      <x:c r="G13" s="20" t="n">
        <x:f>SUM(G9:G12)</x:f>
        <x:v>3308</x:v>
      </x:c>
      <x:c r="H13" s="21" t="n">
        <x:f>SUM(H9:H12)</x:f>
        <x:v>883.9999999999999</x:v>
      </x:c>
      <x:c r="I13" s="1"/>
      <x:c r="J13" s="1"/>
      <x:c r="K13" s="6"/>
    </x:row>
    <x:row r="14">
      <x:c r="B14" s="17" t="s">
        <x:v>331</x:v>
      </x:c>
      <x:c r="C14" s="20"/>
      <x:c r="D14" s="20"/>
      <x:c r="E14" s="20"/>
      <x:c r="F14" s="20"/>
      <x:c r="G14" s="50" t="n">
        <x:f>G13-'Revenue summary'!G29</x:f>
        <x:v>0</x:v>
      </x:c>
      <x:c r="H14" s="37" t="n">
        <x:f>H13-'Revenue summary'!H29</x:f>
        <x:v>-1.1368683772161603e-13</x:v>
      </x:c>
      <x:c r="I14" s="1"/>
      <x:c r="J14" s="1"/>
      <x:c r="K14" s="6"/>
    </x:row>
    <x:row r="15">
      <x:c r="B15" s="35" t="s">
        <x:v>332</x:v>
      </x:c>
      <x:c r="C15" s="8"/>
      <x:c r="D15" s="8"/>
      <x:c r="E15" s="8"/>
      <x:c r="F15" s="8"/>
      <x:c r="G15" s="8" t="n">
        <x:f>G9/G13</x:f>
        <x:v>0.714087061668682</x:v>
      </x:c>
      <x:c r="H15" s="42" t="n">
        <x:f>H9/H13</x:f>
        <x:v>0.712785597048593</x:v>
      </x:c>
      <x:c r="I15" s="1"/>
      <x:c r="J15" s="1"/>
      <x:c r="K15" s="6"/>
    </x:row>
    <x:row r="16">
      <x:c r="B16" s="1"/>
      <x:c r="C16" s="4"/>
      <x:c r="D16" s="4"/>
      <x:c r="E16" s="4"/>
      <x:c r="F16" s="4"/>
      <x:c r="G16" s="4"/>
      <x:c r="H16" s="3"/>
      <x:c r="I16" s="1"/>
      <x:c r="J16" s="1"/>
      <x:c r="K16" s="6"/>
    </x:row>
    <x:row r="17">
      <x:c r="B17" s="1" t="s">
        <x:v>333</x:v>
      </x:c>
      <x:c r="C17" s="4"/>
      <x:c r="D17" s="4"/>
      <x:c r="E17" s="4"/>
      <x:c r="F17" s="4"/>
      <x:c r="G17" s="4"/>
      <x:c r="H17" s="3"/>
      <x:c r="I17" s="1"/>
      <x:c r="J17" s="1" t="s">
        <x:v>334</x:v>
      </x:c>
      <x:c r="K17" s="6"/>
    </x:row>
    <x:row r="18">
      <x:c r="B18" s="1" t="s">
        <x:v>335</x:v>
      </x:c>
      <x:c r="C18" s="4"/>
      <x:c r="D18" s="4"/>
      <x:c r="E18" s="4"/>
      <x:c r="F18" s="4"/>
      <x:c r="G18" s="18">
        <x:v>840.6</x:v>
      </x:c>
      <x:c r="H18" s="39" t="n">
        <x:f>G18*'Revenue summary'!H9/'Revenue summary'!G9</x:f>
        <x:v>231.66364186327888</x:v>
      </x:c>
      <x:c r="I18" s="1"/>
      <x:c r="J18" s="1"/>
      <x:c r="K18" s="6">
        <x:v>631.6</x:v>
      </x:c>
    </x:row>
    <x:row r="19">
      <x:c r="B19" s="1" t="s">
        <x:v>336</x:v>
      </x:c>
      <x:c r="C19" s="4"/>
      <x:c r="D19" s="4"/>
      <x:c r="E19" s="4"/>
      <x:c r="F19" s="4"/>
      <x:c r="G19" s="18">
        <x:v>331.4</x:v>
      </x:c>
      <x:c r="H19" s="32" t="n">
        <x:f>G19*'Revenue summary'!H9/'Revenue summary'!G9</x:f>
        <x:v>91.33158566915372</x:v>
      </x:c>
      <x:c r="I19" s="1"/>
      <x:c r="J19" s="1"/>
      <x:c r="K19" s="6">
        <x:v>263.2</x:v>
      </x:c>
    </x:row>
    <x:row r="20">
      <x:c r="B20" s="1" t="s">
        <x:v>337</x:v>
      </x:c>
      <x:c r="C20" s="4"/>
      <x:c r="D20" s="4"/>
      <x:c r="E20" s="4"/>
      <x:c r="F20" s="4"/>
      <x:c r="G20" s="18">
        <x:v>250.4</x:v>
      </x:c>
      <x:c r="H20" s="32" t="n">
        <x:f>G20*'Revenue summary'!H9/'Revenue summary'!G9</x:f>
        <x:v>69.00853666733884</x:v>
      </x:c>
      <x:c r="I20" s="1"/>
      <x:c r="J20" s="1"/>
      <x:c r="K20" s="6">
        <x:v>166.1</x:v>
      </x:c>
    </x:row>
    <x:row r="21">
      <x:c r="B21" s="1" t="s">
        <x:v>338</x:v>
      </x:c>
      <x:c r="C21" s="4"/>
      <x:c r="D21" s="4"/>
      <x:c r="E21" s="4"/>
      <x:c r="F21" s="4"/>
      <x:c r="G21" s="18">
        <x:v>65.3</x:v>
      </x:c>
      <x:c r="H21" s="39" t="n">
        <x:f>G21*'Revenue summary'!H9/'Revenue summary'!G9</x:f>
        <x:v>17.99623580022854</x:v>
      </x:c>
      <x:c r="I21" s="1"/>
      <x:c r="J21" s="1"/>
      <x:c r="K21" s="6">
        <x:v>38.7</x:v>
      </x:c>
    </x:row>
    <x:row r="22">
      <x:c r="B22" s="17" t="s">
        <x:v>339</x:v>
      </x:c>
      <x:c r="C22" s="20"/>
      <x:c r="D22" s="20"/>
      <x:c r="E22" s="20"/>
      <x:c r="F22" s="20"/>
      <x:c r="G22" s="20" t="n">
        <x:f>SUM(G18:G21)</x:f>
        <x:v>1487.7</x:v>
      </x:c>
      <x:c r="H22" s="21" t="n">
        <x:f>SUM(H18:H21)</x:f>
        <x:v>410</x:v>
      </x:c>
      <x:c r="I22" s="1"/>
      <x:c r="J22" s="1"/>
      <x:c r="K22" s="6"/>
    </x:row>
    <x:row r="23">
      <x:c r="B23" s="1" t="s">
        <x:v>340</x:v>
      </x:c>
      <x:c r="C23" s="4"/>
      <x:c r="D23" s="4"/>
      <x:c r="E23" s="4"/>
      <x:c r="F23" s="4"/>
      <x:c r="G23" s="4"/>
      <x:c r="H23" s="3"/>
      <x:c r="I23" s="1"/>
      <x:c r="J23" s="1"/>
      <x:c r="K23" s="6"/>
    </x:row>
    <x:row r="24">
      <x:c r="B24" s="1" t="s">
        <x:v>335</x:v>
      </x:c>
      <x:c r="C24" s="4"/>
      <x:c r="D24" s="4"/>
      <x:c r="E24" s="4"/>
      <x:c r="F24" s="4"/>
      <x:c r="G24" s="18">
        <x:v>881.1</x:v>
      </x:c>
      <x:c r="H24" s="39" t="n">
        <x:f>G24*'Revenue summary'!H14/'Revenue summary'!G14</x:f>
        <x:v>229.89470762398224</x:v>
      </x:c>
      <x:c r="I24" s="1"/>
      <x:c r="J24" s="1"/>
      <x:c r="K24" s="6">
        <x:v>735.9</x:v>
      </x:c>
    </x:row>
    <x:row r="25">
      <x:c r="B25" s="1" t="s">
        <x:v>336</x:v>
      </x:c>
      <x:c r="C25" s="4"/>
      <x:c r="D25" s="4"/>
      <x:c r="E25" s="4"/>
      <x:c r="F25" s="4"/>
      <x:c r="G25" s="18">
        <x:v>99.7</x:v>
      </x:c>
      <x:c r="H25" s="32" t="n">
        <x:f>G25*'Revenue summary'!H14/'Revenue summary'!G14</x:f>
        <x:v>26.01350851221318</x:v>
      </x:c>
      <x:c r="I25" s="1"/>
      <x:c r="J25" s="1"/>
      <x:c r="K25" s="6">
        <x:v>100.1</x:v>
      </x:c>
    </x:row>
    <x:row r="26">
      <x:c r="B26" s="1" t="s">
        <x:v>337</x:v>
      </x:c>
      <x:c r="C26" s="4"/>
      <x:c r="D26" s="4"/>
      <x:c r="E26" s="4"/>
      <x:c r="F26" s="4"/>
      <x:c r="G26" s="18">
        <x:v>94.4</x:v>
      </x:c>
      <x:c r="H26" s="32" t="n">
        <x:f>G26*'Revenue summary'!H14/'Revenue summary'!G14</x:f>
        <x:v>24.630643967431535</x:v>
      </x:c>
      <x:c r="I26" s="1"/>
      <x:c r="J26" s="1"/>
      <x:c r="K26" s="6">
        <x:v>86.8</x:v>
      </x:c>
    </x:row>
    <x:row r="27">
      <x:c r="B27" s="1" t="s">
        <x:v>338</x:v>
      </x:c>
      <x:c r="C27" s="4"/>
      <x:c r="D27" s="4"/>
      <x:c r="E27" s="4"/>
      <x:c r="F27" s="4"/>
      <x:c r="G27" s="18">
        <x:v>5.6</x:v>
      </x:c>
      <x:c r="H27" s="39" t="n">
        <x:f>G27*'Revenue summary'!H14/'Revenue summary'!G14</x:f>
        <x:v>1.4611398963730569</x:v>
      </x:c>
      <x:c r="I27" s="1"/>
      <x:c r="J27" s="1"/>
      <x:c r="K27" s="6">
        <x:v>8.2</x:v>
      </x:c>
    </x:row>
    <x:row r="28">
      <x:c r="B28" s="17" t="s">
        <x:v>339</x:v>
      </x:c>
      <x:c r="C28" s="20"/>
      <x:c r="D28" s="20"/>
      <x:c r="E28" s="20"/>
      <x:c r="F28" s="20"/>
      <x:c r="G28" s="20" t="n">
        <x:f>SUM(G24:G27)</x:f>
        <x:v>1080.8</x:v>
      </x:c>
      <x:c r="H28" s="21" t="n">
        <x:f>SUM(H24:H27)</x:f>
        <x:v>282.00000000000006</x:v>
      </x:c>
      <x:c r="I28" s="1"/>
      <x:c r="J28" s="1"/>
      <x:c r="K28" s="6"/>
    </x:row>
    <x:row r="29">
      <x:c r="B29" s="1" t="s">
        <x:v>341</x:v>
      </x:c>
      <x:c r="C29" s="4"/>
      <x:c r="D29" s="4"/>
      <x:c r="E29" s="4"/>
      <x:c r="F29" s="4"/>
      <x:c r="G29" s="4"/>
      <x:c r="H29" s="3"/>
      <x:c r="I29" s="1"/>
      <x:c r="J29" s="1"/>
      <x:c r="K29" s="6"/>
    </x:row>
    <x:row r="30">
      <x:c r="B30" s="1" t="s">
        <x:v>335</x:v>
      </x:c>
      <x:c r="C30" s="4"/>
      <x:c r="D30" s="4"/>
      <x:c r="E30" s="4"/>
      <x:c r="F30" s="4"/>
      <x:c r="G30" s="18">
        <x:v>499.9</x:v>
      </x:c>
      <x:c r="H30" s="39" t="n">
        <x:f>G30*'Revenue summary'!H19/'Revenue summary'!G19</x:f>
        <x:v>135.35018913000198</x:v>
      </x:c>
      <x:c r="I30" s="1"/>
      <x:c r="J30" s="1"/>
      <x:c r="K30" s="6">
        <x:v>493.1</x:v>
      </x:c>
    </x:row>
    <x:row r="31">
      <x:c r="B31" s="1" t="s">
        <x:v>336</x:v>
      </x:c>
      <x:c r="C31" s="4"/>
      <x:c r="D31" s="4"/>
      <x:c r="E31" s="4"/>
      <x:c r="F31" s="4"/>
      <x:c r="G31" s="18">
        <x:v>2.1</x:v>
      </x:c>
      <x:c r="H31" s="32" t="n">
        <x:f>G31*'Revenue summary'!H19/'Revenue summary'!G19</x:f>
        <x:v>0.568584511248258</x:v>
      </x:c>
      <x:c r="I31" s="1"/>
      <x:c r="J31" s="1"/>
      <x:c r="K31" s="6">
        <x:v>2.1</x:v>
      </x:c>
    </x:row>
    <x:row r="32">
      <x:c r="B32" s="1" t="s">
        <x:v>337</x:v>
      </x:c>
      <x:c r="C32" s="4"/>
      <x:c r="D32" s="4"/>
      <x:c r="E32" s="4"/>
      <x:c r="F32" s="4"/>
      <x:c r="G32" s="18">
        <x:v>0.3</x:v>
      </x:c>
      <x:c r="H32" s="32" t="n">
        <x:f>G32*'Revenue summary'!H19/'Revenue summary'!G19</x:f>
        <x:v>0.08122635874975113</x:v>
      </x:c>
      <x:c r="I32" s="1"/>
      <x:c r="J32" s="1"/>
      <x:c r="K32" s="6">
        <x:v>0.2</x:v>
      </x:c>
    </x:row>
    <x:row r="33">
      <x:c r="B33" s="1" t="s">
        <x:v>338</x:v>
      </x:c>
      <x:c r="C33" s="4"/>
      <x:c r="D33" s="4"/>
      <x:c r="E33" s="4"/>
      <x:c r="F33" s="4"/>
      <x:c r="G33" s="18">
        <x:v>0</x:v>
      </x:c>
      <x:c r="H33" s="39" t="n">
        <x:f>G33*'Revenue summary'!H19/'Revenue summary'!G19</x:f>
        <x:v>0</x:v>
      </x:c>
      <x:c r="I33" s="1"/>
      <x:c r="J33" s="1"/>
      <x:c r="K33" s="6">
        <x:v>0</x:v>
      </x:c>
    </x:row>
    <x:row r="34">
      <x:c r="B34" s="17" t="s">
        <x:v>339</x:v>
      </x:c>
      <x:c r="C34" s="20"/>
      <x:c r="D34" s="20"/>
      <x:c r="E34" s="20"/>
      <x:c r="F34" s="20"/>
      <x:c r="G34" s="20" t="n">
        <x:f>SUM(G30:G33)</x:f>
        <x:v>502.3</x:v>
      </x:c>
      <x:c r="H34" s="21" t="n">
        <x:f>SUM(H30:H33)</x:f>
        <x:v>135.99999999999997</x:v>
      </x:c>
      <x:c r="I34" s="1"/>
      <x:c r="J34" s="1"/>
      <x:c r="K34" s="6"/>
    </x:row>
    <x:row r="35">
      <x:c r="B35" s="1" t="s">
        <x:v>342</x:v>
      </x:c>
      <x:c r="C35" s="4"/>
      <x:c r="D35" s="4"/>
      <x:c r="E35" s="4"/>
      <x:c r="F35" s="4"/>
      <x:c r="G35" s="4"/>
      <x:c r="H35" s="3"/>
      <x:c r="I35" s="1"/>
      <x:c r="J35" s="1"/>
      <x:c r="K35" s="6"/>
    </x:row>
    <x:row r="36">
      <x:c r="B36" s="1" t="s">
        <x:v>335</x:v>
      </x:c>
      <x:c r="C36" s="4"/>
      <x:c r="D36" s="4"/>
      <x:c r="E36" s="4"/>
      <x:c r="F36" s="4"/>
      <x:c r="G36" s="18">
        <x:v>140.6</x:v>
      </x:c>
      <x:c r="H36" s="39" t="n">
        <x:f>G36*'Revenue summary'!H24/'Revenue summary'!G24</x:f>
        <x:v>33.193929173693085</x:v>
      </x:c>
      <x:c r="I36" s="1"/>
      <x:c r="J36" s="1"/>
      <x:c r="K36" s="6">
        <x:v>167.6</x:v>
      </x:c>
    </x:row>
    <x:row r="37">
      <x:c r="B37" s="1" t="s">
        <x:v>336</x:v>
      </x:c>
      <x:c r="C37" s="4"/>
      <x:c r="D37" s="4"/>
      <x:c r="E37" s="4"/>
      <x:c r="F37" s="4"/>
      <x:c r="G37" s="18">
        <x:v>73.4</x:v>
      </x:c>
      <x:c r="H37" s="32" t="n">
        <x:f>G37*'Revenue summary'!H24/'Revenue summary'!G24</x:f>
        <x:v>17.328836424957846</x:v>
      </x:c>
      <x:c r="I37" s="1"/>
      <x:c r="J37" s="1"/>
      <x:c r="K37" s="6">
        <x:v>66.4</x:v>
      </x:c>
    </x:row>
    <x:row r="38">
      <x:c r="B38" s="1" t="s">
        <x:v>337</x:v>
      </x:c>
      <x:c r="C38" s="4"/>
      <x:c r="D38" s="4"/>
      <x:c r="E38" s="4"/>
      <x:c r="F38" s="4"/>
      <x:c r="G38" s="18">
        <x:v>23.2</x:v>
      </x:c>
      <x:c r="H38" s="32" t="n">
        <x:f>G38*'Revenue summary'!H24/'Revenue summary'!G24</x:f>
        <x:v>5.477234401349073</x:v>
      </x:c>
      <x:c r="I38" s="1"/>
      <x:c r="J38" s="1"/>
      <x:c r="K38" s="6">
        <x:v>20.5</x:v>
      </x:c>
    </x:row>
    <x:row r="39">
      <x:c r="B39" s="1" t="s">
        <x:v>338</x:v>
      </x:c>
      <x:c r="C39" s="4"/>
      <x:c r="D39" s="4"/>
      <x:c r="E39" s="4"/>
      <x:c r="F39" s="4"/>
      <x:c r="G39" s="18">
        <x:v>0</x:v>
      </x:c>
      <x:c r="H39" s="39" t="n">
        <x:f>G39*'Revenue summary'!H24/'Revenue summary'!G24</x:f>
        <x:v>0</x:v>
      </x:c>
      <x:c r="I39" s="1"/>
      <x:c r="J39" s="1"/>
      <x:c r="K39" s="6">
        <x:v>0</x:v>
      </x:c>
    </x:row>
    <x:row r="40">
      <x:c r="B40" s="17" t="s">
        <x:v>339</x:v>
      </x:c>
      <x:c r="C40" s="20"/>
      <x:c r="D40" s="20"/>
      <x:c r="E40" s="20"/>
      <x:c r="F40" s="20"/>
      <x:c r="G40" s="20" t="n">
        <x:f>SUM(G36:G39)</x:f>
        <x:v>237.2</x:v>
      </x:c>
      <x:c r="H40" s="21" t="n">
        <x:f>SUM(H36:H39)</x:f>
        <x:v>56.00000000000001</x:v>
      </x:c>
      <x:c r="I40" s="1"/>
      <x:c r="J40" s="1"/>
      <x:c r="K40" s="6"/>
    </x:row>
    <x:row r="41">
      <x:c r="B41" s="1"/>
      <x:c r="C41" s="4"/>
      <x:c r="D41" s="4"/>
      <x:c r="E41" s="4"/>
      <x:c r="F41" s="4"/>
      <x:c r="G41" s="4"/>
      <x:c r="H41" s="3"/>
      <x:c r="I41" s="1"/>
      <x:c r="J41" s="1"/>
      <x:c r="K41" s="6"/>
    </x:row>
    <x:row r="42">
      <x:c r="B42" s="1"/>
      <x:c r="C42" s="4"/>
      <x:c r="D42" s="4"/>
      <x:c r="E42" s="4"/>
      <x:c r="F42" s="4"/>
      <x:c r="G42" s="4"/>
      <x:c r="H42" s="3"/>
      <x:c r="I42" s="1"/>
      <x:c r="J42" s="1"/>
      <x:c r="K42" s="6"/>
    </x:row>
    <x:row r="43">
      <x:c r="H43" s="2"/>
    </x:row>
    <x:row r="44">
      <x:c r="B44" s="1" t="s">
        <x:v>343</x:v>
      </x:c>
      <x:c r="C44" s="1"/>
      <x:c r="D44" s="1"/>
      <x:c r="E44" s="1"/>
      <x:c r="F44" s="1"/>
      <x:c r="G44" s="1"/>
      <x:c r="H44" s="36"/>
      <x:c r="I44" s="1"/>
      <x:c r="J44" s="1" t="s">
        <x:v>344</x:v>
      </x:c>
      <x:c r="K44" s="1"/>
    </x:row>
    <x:row r="45">
      <x:c r="B45" s="1"/>
      <x:c r="C45" s="1"/>
      <x:c r="D45" s="1"/>
      <x:c r="E45" s="1"/>
      <x:c r="F45" s="1"/>
      <x:c r="G45" s="1"/>
      <x:c r="H45" s="36"/>
      <x:c r="I45" s="1"/>
      <x:c r="J45" s="1"/>
      <x:c r="K45" s="1"/>
    </x:row>
    <x:row r="46">
      <x:c r="B46" s="1"/>
      <x:c r="C46" s="1"/>
      <x:c r="D46" s="1"/>
      <x:c r="E46" s="1"/>
      <x:c r="F46" s="1"/>
      <x:c r="G46" s="1"/>
      <x:c r="H46" s="36"/>
      <x:c r="I46" s="1"/>
      <x:c r="J46" s="1"/>
      <x:c r="K46" s="1"/>
    </x:row>
    <x:row r="47">
      <x:c r="B47" s="1"/>
      <x:c r="C47" s="1"/>
      <x:c r="D47" s="1"/>
      <x:c r="E47" s="1"/>
      <x:c r="F47" s="1"/>
      <x:c r="G47" s="1"/>
      <x:c r="H47" s="36"/>
      <x:c r="I47" s="1"/>
      <x:c r="J47" s="1"/>
      <x:c r="K47" s="1"/>
    </x:row>
    <x:row r="48">
      <x:c r="B48" s="35" t="s">
        <x:v>345</x:v>
      </x:c>
      <x:c r="C48" s="1"/>
      <x:c r="D48" s="1"/>
      <x:c r="E48" s="1"/>
      <x:c r="F48" s="1"/>
      <x:c r="G48" s="74" t="n">
        <x:f>G18/K18-1</x:f>
        <x:v>0.3309056364787841</x:v>
      </x:c>
      <x:c r="H48" s="75" t="s">
        <x:v>38</x:v>
      </x:c>
      <x:c r="I48" s="1"/>
      <x:c r="J48" s="1"/>
      <x:c r="K48" s="1"/>
    </x:row>
    <x:row r="49">
      <x:c r="B49" s="35" t="s">
        <x:v>346</x:v>
      </x:c>
      <x:c r="C49" s="1"/>
      <x:c r="D49" s="1"/>
      <x:c r="E49" s="1"/>
      <x:c r="F49" s="1"/>
      <x:c r="G49" s="74" t="n">
        <x:f>G19/K19-1</x:f>
        <x:v>0.2591185410334347</x:v>
      </x:c>
      <x:c r="H49" s="75" t="s">
        <x:v>38</x:v>
      </x:c>
      <x:c r="I49" s="1"/>
      <x:c r="J49" s="1"/>
      <x:c r="K49" s="1"/>
    </x:row>
    <x:row r="50">
      <x:c r="B50" s="35" t="s">
        <x:v>347</x:v>
      </x:c>
      <x:c r="C50" s="1"/>
      <x:c r="D50" s="1"/>
      <x:c r="E50" s="1"/>
      <x:c r="F50" s="1"/>
      <x:c r="G50" s="74" t="n">
        <x:f>G20/K20-1</x:f>
        <x:v>0.5075255869957858</x:v>
      </x:c>
      <x:c r="H50" s="75" t="s">
        <x:v>38</x:v>
      </x:c>
      <x:c r="I50" s="1"/>
      <x:c r="J50" s="1"/>
      <x:c r="K50" s="1"/>
    </x:row>
    <x:row r="51">
      <x:c r="B51" s="35" t="s">
        <x:v>348</x:v>
      </x:c>
      <x:c r="C51" s="1"/>
      <x:c r="D51" s="1"/>
      <x:c r="E51" s="1"/>
      <x:c r="F51" s="1"/>
      <x:c r="G51" s="74" t="n">
        <x:f>G21/K21-1</x:f>
        <x:v>0.6873385012919895</x:v>
      </x:c>
      <x:c r="H51" s="75" t="s">
        <x:v>38</x:v>
      </x:c>
      <x:c r="I51" s="1"/>
      <x:c r="J51" s="1"/>
      <x:c r="K51" s="1"/>
    </x:row>
    <x:row r="52">
      <x:c r="B52" s="1"/>
      <x:c r="C52" s="1"/>
      <x:c r="D52" s="1"/>
      <x:c r="E52" s="1"/>
      <x:c r="F52" s="1"/>
      <x:c r="G52" s="69"/>
      <x:c r="H52" s="70"/>
      <x:c r="I52" s="1"/>
      <x:c r="J52" s="1"/>
      <x:c r="K52" s="1"/>
    </x:row>
    <x:row r="53">
      <x:c r="B53" s="1"/>
      <x:c r="C53" s="1"/>
      <x:c r="D53" s="1"/>
      <x:c r="E53" s="1"/>
      <x:c r="F53" s="1"/>
      <x:c r="G53" s="69"/>
      <x:c r="H53" s="70"/>
      <x:c r="I53" s="1"/>
      <x:c r="J53" s="1"/>
      <x:c r="K53" s="1"/>
    </x:row>
    <x:row r="54">
      <x:c r="B54" s="35" t="s">
        <x:v>345</x:v>
      </x:c>
      <x:c r="C54" s="1"/>
      <x:c r="D54" s="1"/>
      <x:c r="E54" s="1"/>
      <x:c r="F54" s="1"/>
      <x:c r="G54" s="74" t="n">
        <x:f>G24/K24-1</x:f>
        <x:v>0.19730941704035887</x:v>
      </x:c>
      <x:c r="H54" s="75" t="s">
        <x:v>38</x:v>
      </x:c>
      <x:c r="I54" s="1"/>
      <x:c r="J54" s="1"/>
      <x:c r="K54" s="1"/>
    </x:row>
    <x:row r="55">
      <x:c r="B55" s="35" t="s">
        <x:v>346</x:v>
      </x:c>
      <x:c r="C55" s="1"/>
      <x:c r="D55" s="1"/>
      <x:c r="E55" s="1"/>
      <x:c r="F55" s="1"/>
      <x:c r="G55" s="74" t="n">
        <x:f>G25/K25-1</x:f>
        <x:v>-0.003996003996003861</x:v>
      </x:c>
      <x:c r="H55" s="75" t="s">
        <x:v>38</x:v>
      </x:c>
      <x:c r="I55" s="1"/>
      <x:c r="J55" s="1"/>
      <x:c r="K55" s="1"/>
    </x:row>
    <x:row r="56">
      <x:c r="B56" s="35" t="s">
        <x:v>347</x:v>
      </x:c>
      <x:c r="C56" s="1"/>
      <x:c r="D56" s="1"/>
      <x:c r="E56" s="1"/>
      <x:c r="F56" s="1"/>
      <x:c r="G56" s="74" t="n">
        <x:f>G26/K26-1</x:f>
        <x:v>0.08755760368663612</x:v>
      </x:c>
      <x:c r="H56" s="75" t="s">
        <x:v>38</x:v>
      </x:c>
      <x:c r="I56" s="1"/>
      <x:c r="J56" s="1"/>
      <x:c r="K56" s="1"/>
    </x:row>
    <x:row r="57">
      <x:c r="B57" s="35" t="s">
        <x:v>348</x:v>
      </x:c>
      <x:c r="C57" s="1"/>
      <x:c r="D57" s="1"/>
      <x:c r="E57" s="1"/>
      <x:c r="F57" s="1"/>
      <x:c r="G57" s="74" t="n">
        <x:f>G27/K27-1</x:f>
        <x:v>-0.31707317073170727</x:v>
      </x:c>
      <x:c r="H57" s="75" t="s">
        <x:v>38</x:v>
      </x:c>
      <x:c r="I57" s="1"/>
      <x:c r="J57" s="1"/>
      <x:c r="K57" s="1"/>
    </x:row>
    <x:row r="58">
      <x:c r="B58" s="1"/>
      <x:c r="C58" s="1"/>
      <x:c r="D58" s="1"/>
      <x:c r="E58" s="1"/>
      <x:c r="F58" s="1"/>
      <x:c r="G58" s="69"/>
      <x:c r="H58" s="70"/>
      <x:c r="I58" s="1"/>
      <x:c r="J58" s="1"/>
      <x:c r="K58" s="1"/>
    </x:row>
    <x:row r="59">
      <x:c r="B59" s="1"/>
      <x:c r="C59" s="1"/>
      <x:c r="D59" s="1"/>
      <x:c r="E59" s="1"/>
      <x:c r="F59" s="1"/>
      <x:c r="G59" s="69"/>
      <x:c r="H59" s="70"/>
      <x:c r="I59" s="1"/>
      <x:c r="J59" s="1"/>
      <x:c r="K59" s="1"/>
    </x:row>
    <x:row r="60">
      <x:c r="B60" s="35" t="s">
        <x:v>345</x:v>
      </x:c>
      <x:c r="C60" s="1"/>
      <x:c r="D60" s="1"/>
      <x:c r="E60" s="1"/>
      <x:c r="F60" s="1"/>
      <x:c r="G60" s="74" t="n">
        <x:f>G30/K30-1</x:f>
        <x:v>0.013790306225917481</x:v>
      </x:c>
      <x:c r="H60" s="75" t="s">
        <x:v>38</x:v>
      </x:c>
      <x:c r="I60" s="1"/>
      <x:c r="J60" s="1"/>
      <x:c r="K60" s="1"/>
    </x:row>
    <x:row r="61">
      <x:c r="B61" s="35" t="s">
        <x:v>346</x:v>
      </x:c>
      <x:c r="C61" s="1"/>
      <x:c r="D61" s="1"/>
      <x:c r="E61" s="1"/>
      <x:c r="F61" s="1"/>
      <x:c r="G61" s="74" t="n">
        <x:f>G31/K31-1</x:f>
        <x:v>0</x:v>
      </x:c>
      <x:c r="H61" s="75" t="s">
        <x:v>38</x:v>
      </x:c>
      <x:c r="I61" s="1"/>
      <x:c r="J61" s="1"/>
      <x:c r="K61" s="1"/>
    </x:row>
    <x:row r="62">
      <x:c r="B62" s="35" t="s">
        <x:v>347</x:v>
      </x:c>
      <x:c r="C62" s="1"/>
      <x:c r="D62" s="1"/>
      <x:c r="E62" s="1"/>
      <x:c r="F62" s="1"/>
      <x:c r="G62" s="74" t="n">
        <x:f>G32/K32-1</x:f>
        <x:v>0.4999999999999998</x:v>
      </x:c>
      <x:c r="H62" s="75" t="s">
        <x:v>38</x:v>
      </x:c>
      <x:c r="I62" s="1"/>
      <x:c r="J62" s="1"/>
      <x:c r="K62" s="1"/>
    </x:row>
    <x:row r="63">
      <x:c r="B63" s="35" t="s">
        <x:v>348</x:v>
      </x:c>
      <x:c r="C63" s="1"/>
      <x:c r="D63" s="1"/>
      <x:c r="E63" s="1"/>
      <x:c r="F63" s="1"/>
      <x:c r="G63" s="74" t="s">
        <x:v>38</x:v>
      </x:c>
      <x:c r="H63" s="75" t="s">
        <x:v>38</x:v>
      </x:c>
      <x:c r="I63" s="1"/>
      <x:c r="J63" s="1"/>
      <x:c r="K63" s="1"/>
    </x:row>
    <x:row r="64">
      <x:c r="B64" s="1"/>
      <x:c r="C64" s="1"/>
      <x:c r="D64" s="1"/>
      <x:c r="E64" s="1"/>
      <x:c r="F64" s="1"/>
      <x:c r="G64" s="69"/>
      <x:c r="H64" s="70"/>
      <x:c r="I64" s="1"/>
      <x:c r="J64" s="1"/>
      <x:c r="K64" s="1"/>
    </x:row>
    <x:row r="65">
      <x:c r="B65" s="1"/>
      <x:c r="C65" s="1"/>
      <x:c r="D65" s="1"/>
      <x:c r="E65" s="1"/>
      <x:c r="F65" s="1"/>
      <x:c r="G65" s="69"/>
      <x:c r="H65" s="70"/>
      <x:c r="I65" s="1"/>
      <x:c r="J65" s="1"/>
      <x:c r="K65" s="1"/>
    </x:row>
    <x:row r="66">
      <x:c r="B66" s="35" t="s">
        <x:v>345</x:v>
      </x:c>
      <x:c r="C66" s="1"/>
      <x:c r="D66" s="1"/>
      <x:c r="E66" s="1"/>
      <x:c r="F66" s="1"/>
      <x:c r="G66" s="74" t="n">
        <x:f>G36/K36-1</x:f>
        <x:v>-0.16109785202863958</x:v>
      </x:c>
      <x:c r="H66" s="75" t="s">
        <x:v>38</x:v>
      </x:c>
      <x:c r="I66" s="1"/>
      <x:c r="J66" s="1"/>
      <x:c r="K66" s="1"/>
    </x:row>
    <x:row r="67">
      <x:c r="B67" s="35" t="s">
        <x:v>346</x:v>
      </x:c>
      <x:c r="C67" s="1"/>
      <x:c r="D67" s="1"/>
      <x:c r="E67" s="1"/>
      <x:c r="F67" s="1"/>
      <x:c r="G67" s="74" t="n">
        <x:f>G37/K37-1</x:f>
        <x:v>0.10542168674698793</x:v>
      </x:c>
      <x:c r="H67" s="75" t="s">
        <x:v>38</x:v>
      </x:c>
      <x:c r="I67" s="1"/>
      <x:c r="J67" s="1"/>
      <x:c r="K67" s="1"/>
    </x:row>
    <x:row r="68">
      <x:c r="B68" s="35" t="s">
        <x:v>347</x:v>
      </x:c>
      <x:c r="C68" s="1"/>
      <x:c r="D68" s="1"/>
      <x:c r="E68" s="1"/>
      <x:c r="F68" s="1"/>
      <x:c r="G68" s="74" t="n">
        <x:f>G38/K38-1</x:f>
        <x:v>0.13170731707317063</x:v>
      </x:c>
      <x:c r="H68" s="75" t="s">
        <x:v>38</x:v>
      </x:c>
      <x:c r="I68" s="1"/>
      <x:c r="J68" s="1"/>
      <x:c r="K68" s="1"/>
    </x:row>
    <x:row r="69">
      <x:c r="B69" s="35" t="s">
        <x:v>348</x:v>
      </x:c>
      <x:c r="C69" s="1"/>
      <x:c r="D69" s="1"/>
      <x:c r="E69" s="1"/>
      <x:c r="F69" s="1"/>
      <x:c r="G69" s="74" t="s">
        <x:v>38</x:v>
      </x:c>
      <x:c r="H69" s="75" t="s">
        <x:v>38</x:v>
      </x:c>
      <x:c r="I69" s="1"/>
      <x:c r="J69" s="1"/>
      <x:c r="K69" s="1"/>
    </x:row>
    <x:row r="70">
      <x:c r="B70" s="1"/>
      <x:c r="C70" s="1"/>
      <x:c r="D70" s="1"/>
      <x:c r="E70" s="1"/>
      <x:c r="F70" s="1"/>
      <x:c r="G70" s="1"/>
      <x:c r="H70" s="36"/>
      <x:c r="I70" s="1"/>
      <x:c r="J70" s="1"/>
      <x:c r="K70" s="1"/>
    </x:row>
    <x:row r="71">
      <x:c r="H71" s="2"/>
    </x:row>
    <x:row r="72">
      <x:c r="H72" s="2"/>
    </x:row>
    <x:row r="73">
      <x:c r="H73" s="2"/>
    </x:row>
    <x:row r="74">
      <x:c r="H74" s="2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c05b9f776f3c4c5a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7" width="13" customWidth="1"/>
    <x:col min="8" max="8" width="14" customWidth="1"/>
    <x:col min="10" max="10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349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1"/>
      <x:c r="C8" s="1"/>
      <x:c r="D8" s="1"/>
      <x:c r="E8" s="1"/>
      <x:c r="F8" s="1"/>
      <x:c r="G8" s="1"/>
      <x:c r="H8" s="36"/>
      <x:c r="I8" s="1"/>
      <x:c r="J8" s="1"/>
      <x:c r="K8" s="6"/>
    </x:row>
    <x:row r="9">
      <x:c r="B9" s="17" t="s">
        <x:v>209</x:v>
      </x:c>
      <x:c r="C9" s="5">
        <x:v>35.7</x:v>
      </x:c>
      <x:c r="D9" s="5">
        <x:v>37.8</x:v>
      </x:c>
      <x:c r="E9" s="5">
        <x:v>39.3</x:v>
      </x:c>
      <x:c r="F9" s="5">
        <x:v>39.4</x:v>
      </x:c>
      <x:c r="G9" s="5">
        <x:v>38.3</x:v>
      </x:c>
      <x:c r="H9" s="54">
        <x:v>39.95</x:v>
      </x:c>
      <x:c r="I9" s="1"/>
      <x:c r="J9" s="1" t="s">
        <x:v>350</x:v>
      </x:c>
      <x:c r="K9" s="6"/>
    </x:row>
    <x:row r="10">
      <x:c r="B10" s="35" t="s">
        <x:v>105</x:v>
      </x:c>
      <x:c r="C10" s="8"/>
      <x:c r="D10" s="8"/>
      <x:c r="E10" s="8"/>
      <x:c r="F10" s="8"/>
      <x:c r="G10" s="8"/>
      <x:c r="H10" s="42" t="n">
        <x:f>H9/C9-1</x:f>
        <x:v>0.11904761904761907</x:v>
      </x:c>
      <x:c r="I10" s="1"/>
      <x:c r="J10" s="1"/>
      <x:c r="K10" s="6"/>
    </x:row>
    <x:row r="11">
      <x:c r="B11" s="1" t="s">
        <x:v>351</x:v>
      </x:c>
      <x:c r="C11" s="4"/>
      <x:c r="D11" s="4" t="n">
        <x:f>D9-C9</x:f>
        <x:v>2.0999999999999943</x:v>
      </x:c>
      <x:c r="E11" s="4" t="n">
        <x:f>E9-D9</x:f>
        <x:v>1.5</x:v>
      </x:c>
      <x:c r="F11" s="4" t="n">
        <x:f>F9-E9</x:f>
        <x:v>0.10000000000000142</x:v>
      </x:c>
      <x:c r="G11" s="4"/>
      <x:c r="H11" s="3" t="n">
        <x:f>H9-F9</x:f>
        <x:v>0.5500000000000043</x:v>
      </x:c>
      <x:c r="I11" s="1"/>
      <x:c r="J11" s="1"/>
      <x:c r="K11" s="6"/>
    </x:row>
    <x:row r="12">
      <x:c r="B12" s="1"/>
      <x:c r="C12" s="4"/>
      <x:c r="D12" s="4"/>
      <x:c r="E12" s="4"/>
      <x:c r="F12" s="4"/>
      <x:c r="G12" s="4"/>
      <x:c r="H12" s="3"/>
      <x:c r="I12" s="1"/>
      <x:c r="J12" s="1"/>
      <x:c r="K12" s="6"/>
    </x:row>
    <x:row r="13">
      <x:c r="B13" s="17" t="s">
        <x:v>195</x:v>
      </x:c>
      <x:c r="C13" s="5">
        <x:v>35.9</x:v>
      </x:c>
      <x:c r="D13" s="5">
        <x:v>38.1</x:v>
      </x:c>
      <x:c r="E13" s="5">
        <x:v>39.5</x:v>
      </x:c>
      <x:c r="F13" s="5">
        <x:v>39.6</x:v>
      </x:c>
      <x:c r="G13" s="5">
        <x:v>38.4</x:v>
      </x:c>
      <x:c r="H13" s="54">
        <x:v>40.15</x:v>
      </x:c>
      <x:c r="I13" s="1"/>
      <x:c r="J13" s="1"/>
      <x:c r="K13" s="6"/>
    </x:row>
    <x:row r="14">
      <x:c r="B14" s="35" t="s">
        <x:v>105</x:v>
      </x:c>
      <x:c r="C14" s="8"/>
      <x:c r="D14" s="8"/>
      <x:c r="E14" s="8"/>
      <x:c r="F14" s="8"/>
      <x:c r="G14" s="8"/>
      <x:c r="H14" s="42" t="n">
        <x:f>H13/C13-1</x:f>
        <x:v>0.11838440111420612</x:v>
      </x:c>
      <x:c r="I14" s="1"/>
      <x:c r="J14" s="1"/>
      <x:c r="K14" s="6"/>
    </x:row>
    <x:row r="15">
      <x:c r="B15" s="1" t="s">
        <x:v>351</x:v>
      </x:c>
      <x:c r="C15" s="4"/>
      <x:c r="D15" s="4" t="n">
        <x:f>D13-C13</x:f>
        <x:v>2.200000000000003</x:v>
      </x:c>
      <x:c r="E15" s="4" t="n">
        <x:f>E13-D13</x:f>
        <x:v>1.3999999999999986</x:v>
      </x:c>
      <x:c r="F15" s="4" t="n">
        <x:f>F13-E13</x:f>
        <x:v>0.10000000000000142</x:v>
      </x:c>
      <x:c r="G15" s="4"/>
      <x:c r="H15" s="3" t="n">
        <x:f>H13-F13</x:f>
        <x:v>0.5499999999999972</x:v>
      </x:c>
      <x:c r="I15" s="1"/>
      <x:c r="J15" s="1"/>
      <x:c r="K15" s="6"/>
    </x:row>
    <x:row r="16">
      <x:c r="B16" s="1"/>
      <x:c r="C16" s="4"/>
      <x:c r="D16" s="4"/>
      <x:c r="E16" s="4"/>
      <x:c r="F16" s="4"/>
      <x:c r="G16" s="4"/>
      <x:c r="H16" s="3"/>
      <x:c r="I16" s="1"/>
      <x:c r="J16" s="1"/>
      <x:c r="K16" s="6"/>
    </x:row>
    <x:row r="17">
      <x:c r="B17" s="1" t="s">
        <x:v>352</x:v>
      </x:c>
      <x:c r="C17" s="4" t="n">
        <x:f>C13-C9</x:f>
        <x:v>0.19999999999999574</x:v>
      </x:c>
      <x:c r="D17" s="4" t="n">
        <x:f>D13-D9</x:f>
        <x:v>0.30000000000000426</x:v>
      </x:c>
      <x:c r="E17" s="4" t="n">
        <x:f>E13-E9</x:f>
        <x:v>0.20000000000000284</x:v>
      </x:c>
      <x:c r="F17" s="4" t="n">
        <x:f>F13-F9</x:f>
        <x:v>0.20000000000000284</x:v>
      </x:c>
      <x:c r="G17" s="4" t="n">
        <x:f>G13-G9</x:f>
        <x:v>0.10000000000000142</x:v>
      </x:c>
      <x:c r="H17" s="3" t="n">
        <x:f>H13-H9</x:f>
        <x:v>0.19999999999999574</x:v>
      </x:c>
      <x:c r="I17" s="1"/>
      <x:c r="J17" s="1"/>
      <x:c r="K17" s="6"/>
    </x:row>
    <x:row r="18">
      <x:c r="B18" s="1"/>
      <x:c r="C18" s="4"/>
      <x:c r="D18" s="4"/>
      <x:c r="E18" s="4"/>
      <x:c r="F18" s="4"/>
      <x:c r="G18" s="4"/>
      <x:c r="H18" s="3"/>
      <x:c r="I18" s="1"/>
      <x:c r="J18" s="1"/>
      <x:c r="K18" s="6"/>
    </x:row>
    <x:row r="19">
      <x:c r="B19" s="1" t="s">
        <x:v>353</x:v>
      </x:c>
      <x:c r="C19" s="4"/>
      <x:c r="D19" s="4"/>
      <x:c r="E19" s="4"/>
      <x:c r="F19" s="4"/>
      <x:c r="G19" s="18">
        <x:v>0</x:v>
      </x:c>
      <x:c r="H19" s="32">
        <x:v>0</x:v>
      </x:c>
      <x:c r="I19" s="1"/>
      <x:c r="J19" s="1"/>
      <x:c r="K19" s="6"/>
    </x:row>
    <x:row r="20">
      <x:c r="B20" s="1" t="s">
        <x:v>354</x:v>
      </x:c>
      <x:c r="C20" s="73" t="s">
        <x:v>38</x:v>
      </x:c>
      <x:c r="D20" s="73" t="s">
        <x:v>38</x:v>
      </x:c>
      <x:c r="E20" s="73" t="s">
        <x:v>38</x:v>
      </x:c>
      <x:c r="F20" s="73" t="s">
        <x:v>38</x:v>
      </x:c>
      <x:c r="G20" s="73" t="s">
        <x:v>38</x:v>
      </x:c>
      <x:c r="H20" s="76" t="s">
        <x:v>38</x:v>
      </x:c>
      <x:c r="I20" s="1"/>
      <x:c r="J20" s="1" t="s">
        <x:v>355</x:v>
      </x:c>
      <x:c r="K20" s="6"/>
    </x:row>
    <x:row r="21">
      <x:c r="B21" s="1" t="s">
        <x:v>356</x:v>
      </x:c>
      <x:c r="C21" s="4"/>
      <x:c r="D21" s="4"/>
      <x:c r="E21" s="4"/>
      <x:c r="F21" s="4"/>
      <x:c r="G21" s="18">
        <x:v>273.9</x:v>
      </x:c>
      <x:c r="H21" s="3"/>
      <x:c r="I21" s="1"/>
      <x:c r="J21" s="1"/>
      <x:c r="K21" s="6"/>
    </x:row>
    <x:row r="22">
      <x:c r="B22" s="1"/>
      <x:c r="C22" s="4"/>
      <x:c r="D22" s="4"/>
      <x:c r="E22" s="4"/>
      <x:c r="F22" s="4"/>
      <x:c r="G22" s="4"/>
      <x:c r="H22" s="3"/>
      <x:c r="I22" s="1"/>
      <x:c r="J22" s="1"/>
      <x:c r="K22" s="6"/>
    </x:row>
    <x:row r="23">
      <x:c r="B23" s="17" t="s">
        <x:v>357</x:v>
      </x:c>
      <x:c r="C23" s="20" t="n">
        <x:f>C13</x:f>
        <x:v>35.9</x:v>
      </x:c>
      <x:c r="D23" s="20" t="n">
        <x:f>D13</x:f>
        <x:v>38.1</x:v>
      </x:c>
      <x:c r="E23" s="20" t="n">
        <x:f>E13</x:f>
        <x:v>39.5</x:v>
      </x:c>
      <x:c r="F23" s="20" t="n">
        <x:f>F13</x:f>
        <x:v>39.6</x:v>
      </x:c>
      <x:c r="G23" s="20" t="n">
        <x:f>G13</x:f>
        <x:v>38.4</x:v>
      </x:c>
      <x:c r="H23" s="21" t="n">
        <x:f>H13</x:f>
        <x:v>40.15</x:v>
      </x:c>
      <x:c r="I23" s="1"/>
      <x:c r="J23" s="1"/>
      <x:c r="K23" s="6"/>
    </x:row>
    <x:row r="24">
      <x:c r="B24" s="1" t="s">
        <x:v>358</x:v>
      </x:c>
      <x:c r="C24" s="4" t="n">
        <x:f>C23-C13</x:f>
        <x:v>0</x:v>
      </x:c>
      <x:c r="D24" s="4" t="n">
        <x:f>D23-D13</x:f>
        <x:v>0</x:v>
      </x:c>
      <x:c r="E24" s="4" t="n">
        <x:f>E23-E13</x:f>
        <x:v>0</x:v>
      </x:c>
      <x:c r="F24" s="4" t="n">
        <x:f>F23-F13</x:f>
        <x:v>0</x:v>
      </x:c>
      <x:c r="G24" s="4" t="n">
        <x:f>G23-G13</x:f>
        <x:v>0</x:v>
      </x:c>
      <x:c r="H24" s="3" t="n">
        <x:f>H23-H13</x:f>
        <x:v>0</x:v>
      </x:c>
      <x:c r="I24" s="1"/>
      <x:c r="J24" s="1"/>
      <x:c r="K24" s="6"/>
    </x:row>
    <x:row r="25">
      <x:c r="H25" s="2"/>
    </x:row>
    <x:row r="26">
      <x:c r="H26" s="2"/>
    </x:row>
    <x:row r="27">
      <x:c r="H27" s="2"/>
    </x:row>
    <x:row r="28">
      <x:c r="H28" s="2"/>
    </x:row>
    <x:row r="29">
      <x:c r="H29" s="2"/>
    </x:row>
    <x:row r="30">
      <x:c r="H30" s="2"/>
    </x:row>
    <x:row r="31">
      <x:c r="H31" s="2"/>
    </x:row>
    <x:row r="32">
      <x:c r="H32" s="2"/>
    </x:row>
    <x:row r="33">
      <x:c r="H33" s="2"/>
    </x:row>
    <x:row r="34">
      <x:c r="H34" s="2"/>
    </x:row>
    <x:row r="35">
      <x:c r="H35" s="2"/>
    </x:row>
    <x:row r="36">
      <x:c r="H36" s="2"/>
    </x:row>
    <x:row r="37">
      <x:c r="H37" s="2"/>
    </x:row>
    <x:row r="38">
      <x:c r="H38" s="2"/>
    </x:row>
    <x:row r="39">
      <x:c r="H39" s="2"/>
    </x:row>
    <x:row r="40">
      <x:c r="H40" s="2"/>
    </x:row>
    <x:row r="41">
      <x:c r="H41" s="2"/>
    </x:row>
    <x:row r="42">
      <x:c r="H42" s="2"/>
    </x:row>
    <x:row r="43">
      <x:c r="H43" s="2"/>
    </x:row>
    <x:row r="44">
      <x:c r="H44" s="2"/>
    </x:row>
    <x:row r="45">
      <x:c r="H45" s="2"/>
    </x:row>
    <x:row r="46">
      <x:c r="H46" s="2"/>
    </x:row>
    <x:row r="47">
      <x:c r="H47" s="2"/>
    </x:row>
    <x:row r="48">
      <x:c r="H48" s="2"/>
    </x:row>
    <x:row r="49">
      <x:c r="H49" s="2"/>
    </x:row>
    <x:row r="50">
      <x:c r="H50" s="2"/>
    </x:row>
    <x:row r="51">
      <x:c r="H51" s="2"/>
    </x:row>
    <x:row r="52">
      <x:c r="H52" s="2"/>
    </x:row>
    <x:row r="53">
      <x:c r="H53" s="2"/>
    </x:row>
    <x:row r="54">
      <x:c r="H54" s="2"/>
    </x:row>
    <x:row r="55">
      <x:c r="H55" s="2"/>
    </x:row>
    <x:row r="56">
      <x:c r="H56" s="2"/>
    </x:row>
    <x:row r="57">
      <x:c r="H57" s="2"/>
    </x:row>
    <x:row r="58">
      <x:c r="H58" s="2"/>
    </x:row>
    <x:row r="59">
      <x:c r="H59" s="2"/>
    </x:row>
    <x:row r="60">
      <x:c r="H60" s="2"/>
    </x:row>
    <x:row r="61">
      <x:c r="H61" s="2"/>
    </x:row>
    <x:row r="62">
      <x:c r="H62" s="2"/>
    </x:row>
    <x:row r="63">
      <x:c r="H63" s="2"/>
    </x:row>
    <x:row r="64">
      <x:c r="H64" s="2"/>
    </x:row>
    <x:row r="65">
      <x:c r="H65" s="2"/>
    </x:row>
    <x:row r="66">
      <x:c r="H66" s="2"/>
    </x:row>
    <x:row r="67">
      <x:c r="H67" s="2"/>
    </x:row>
    <x:row r="68">
      <x:c r="H68" s="2"/>
    </x:row>
    <x:row r="69">
      <x:c r="H69" s="2"/>
    </x:row>
    <x:row r="70">
      <x:c r="H70" s="2"/>
    </x:row>
    <x:row r="71">
      <x:c r="H71" s="2"/>
    </x:row>
    <x:row r="72">
      <x:c r="H72" s="2"/>
    </x:row>
    <x:row r="73">
      <x:c r="H73" s="2"/>
    </x:row>
    <x:row r="74">
      <x:c r="H74" s="2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6" customWidth="1"/>
    <x:col min="3" max="3" width="15" customWidth="1"/>
    <x:col min="4" max="4" width="14" customWidth="1"/>
    <x:col min="5" max="7" width="13" customWidth="1"/>
    <x:col min="8" max="8" width="14" customWidth="1"/>
    <x:col min="9" max="9" width="15" customWidth="1"/>
    <x:col min="10" max="10" width="54" customWidth="1"/>
    <x:col min="11" max="11" width="1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359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6"/>
      <x:c r="C8" s="6"/>
      <x:c r="D8" s="6"/>
      <x:c r="E8" s="6"/>
      <x:c r="F8" s="6"/>
      <x:c r="G8" s="6"/>
      <x:c r="H8" s="13"/>
      <x:c r="I8" s="6"/>
      <x:c r="J8" s="6"/>
      <x:c r="K8" s="6"/>
    </x:row>
    <x:row r="9">
      <x:c r="B9" s="1" t="s">
        <x:v>360</x:v>
      </x:c>
      <x:c r="C9" s="69" t="s">
        <x:v>361</x:v>
      </x:c>
      <x:c r="D9" s="1" t="s">
        <x:v>3</x:v>
      </x:c>
      <x:c r="E9" s="69" t="s">
        <x:v>362</x:v>
      </x:c>
      <x:c r="F9" s="69" t="s">
        <x:v>363</x:v>
      </x:c>
      <x:c r="G9" s="69" t="s">
        <x:v>364</x:v>
      </x:c>
      <x:c r="H9" s="70" t="s">
        <x:v>365</x:v>
      </x:c>
      <x:c r="I9" s="1" t="s">
        <x:v>366</x:v>
      </x:c>
      <x:c r="J9" s="1" t="s">
        <x:v>367</x:v>
      </x:c>
      <x:c r="K9" s="1"/>
    </x:row>
    <x:row r="10">
      <x:c r="B10" s="51" t="s">
        <x:v>368</x:v>
      </x:c>
      <x:c r="C10" s="34">
        <x:v>46105</x:v>
      </x:c>
      <x:c r="D10" s="1" t="s">
        <x:v>369</x:v>
      </x:c>
      <x:c r="E10" s="48">
        <x:v>0.19</x:v>
      </x:c>
      <x:c r="F10" s="48">
        <x:v>0.21</x:v>
      </x:c>
      <x:c r="G10" s="8" t="n">
        <x:f>AVERAGE(E10:F10)</x:f>
        <x:v>0.2</x:v>
      </x:c>
      <x:c r="H10" s="49" t="n">
        <x:f>'Revenue summary'!F29/K10-1</x:f>
        <x:v>0.2299536116633536</x:v>
      </x:c>
      <x:c r="I10" s="1" t="str">
        <x:f>IF(H10&gt;G10,"BEAT","MISS")</x:f>
        <x:v>BEAT</x:v>
      </x:c>
      <x:c r="J10" s="1" t="s">
        <x:v>370</x:v>
      </x:c>
      <x:c r="K10" s="38" t="n">
        <x:f>Inputs!H11</x:f>
        <x:v>754.5</x:v>
      </x:c>
    </x:row>
    <x:row r="11">
      <x:c r="B11" s="51" t="s">
        <x:v>371</x:v>
      </x:c>
      <x:c r="C11" s="34">
        <x:v>46105</x:v>
      </x:c>
      <x:c r="D11" s="1" t="s">
        <x:v>369</x:v>
      </x:c>
      <x:c r="E11" s="48">
        <x:v>0.06</x:v>
      </x:c>
      <x:c r="F11" s="48">
        <x:v>0.08</x:v>
      </x:c>
      <x:c r="G11" s="8" t="n">
        <x:f>AVERAGE(E11:F11)</x:f>
        <x:v>0.07</x:v>
      </x:c>
      <x:c r="H11" s="44">
        <x:v>0.131</x:v>
      </x:c>
      <x:c r="I11" s="1" t="str">
        <x:f>IF(H11&gt;G11,"BEAT","MISS")</x:f>
        <x:v>BEAT</x:v>
      </x:c>
      <x:c r="J11" s="1" t="s">
        <x:v>372</x:v>
      </x:c>
      <x:c r="K11" s="1"/>
    </x:row>
    <x:row r="12">
      <x:c r="B12" s="51" t="s">
        <x:v>373</x:v>
      </x:c>
      <x:c r="C12" s="34">
        <x:v>46105</x:v>
      </x:c>
      <x:c r="D12" s="1" t="s">
        <x:v>369</x:v>
      </x:c>
      <x:c r="E12" s="48">
        <x:v>0.102</x:v>
      </x:c>
      <x:c r="F12" s="48">
        <x:v>0.105</x:v>
      </x:c>
      <x:c r="G12" s="8" t="n">
        <x:f>AVERAGE(E12:F12)</x:f>
        <x:v>0.1035</x:v>
      </x:c>
      <x:c r="H12" s="49" t="n">
        <x:f>K12/'Revenue summary'!F29</x:f>
        <x:v>0.10560344827586204</x:v>
      </x:c>
      <x:c r="I12" s="1" t="str">
        <x:f>IF(H12&gt;G12,"BEAT","MISS")</x:f>
        <x:v>BEAT</x:v>
      </x:c>
      <x:c r="J12" s="1" t="s">
        <x:v>374</x:v>
      </x:c>
      <x:c r="K12" s="34">
        <x:v>98</x:v>
      </x:c>
    </x:row>
    <x:row r="13">
      <x:c r="B13" s="51" t="s">
        <x:v>375</x:v>
      </x:c>
      <x:c r="C13" s="34">
        <x:v>46224</x:v>
      </x:c>
      <x:c r="D13" s="1" t="s">
        <x:v>376</x:v>
      </x:c>
      <x:c r="E13" s="48">
        <x:v>0.21</x:v>
      </x:c>
      <x:c r="F13" s="48">
        <x:v>0.23</x:v>
      </x:c>
      <x:c r="G13" s="8" t="n">
        <x:f>AVERAGE(E13:F13)</x:f>
        <x:v>0.22</x:v>
      </x:c>
      <x:c r="H13" s="42"/>
      <x:c r="I13" s="1"/>
      <x:c r="J13" s="1" t="s">
        <x:v>377</x:v>
      </x:c>
      <x:c r="K13" s="1"/>
    </x:row>
    <x:row r="14">
      <x:c r="B14" s="51" t="s">
        <x:v>378</x:v>
      </x:c>
      <x:c r="C14" s="34">
        <x:v>46224</x:v>
      </x:c>
      <x:c r="D14" s="1" t="s">
        <x:v>376</x:v>
      </x:c>
      <x:c r="E14" s="48">
        <x:v>0.1225</x:v>
      </x:c>
      <x:c r="F14" s="48">
        <x:v>0.1275</x:v>
      </x:c>
      <x:c r="G14" s="8" t="n">
        <x:f>AVERAGE(E14:F14)</x:f>
        <x:v>0.125</x:v>
      </x:c>
      <x:c r="H14" s="42"/>
      <x:c r="I14" s="1"/>
      <x:c r="J14" s="1" t="s">
        <x:v>379</x:v>
      </x:c>
      <x:c r="K14" s="1"/>
    </x:row>
    <x:row r="15">
      <x:c r="B15" s="51" t="s">
        <x:v>375</x:v>
      </x:c>
      <x:c r="C15" s="34">
        <x:v>46224</x:v>
      </x:c>
      <x:c r="D15" s="1" t="s">
        <x:v>380</x:v>
      </x:c>
      <x:c r="E15" s="8"/>
      <x:c r="F15" s="8"/>
      <x:c r="G15" s="8"/>
      <x:c r="H15" s="42"/>
      <x:c r="I15" s="1"/>
      <x:c r="J15" s="1" t="s">
        <x:v>381</x:v>
      </x:c>
      <x:c r="K15" s="1"/>
    </x:row>
    <x:row r="16">
      <x:c r="B16" s="52" t="s">
        <x:v>382</x:v>
      </x:c>
      <x:c r="C16" s="34">
        <x:v>46224</x:v>
      </x:c>
      <x:c r="D16" s="1" t="s">
        <x:v>376</x:v>
      </x:c>
      <x:c r="E16" s="1"/>
      <x:c r="F16" s="1"/>
      <x:c r="G16" s="55" t="n">
        <x:f>'Revenue summary'!C37*(1+G13)+'Segment - Legacy Commercial'!H29</x:f>
        <x:v>883.282</x:v>
      </x:c>
      <x:c r="H16" s="36"/>
      <x:c r="I16" s="1"/>
      <x:c r="J16" s="1" t="s">
        <x:v>383</x:v>
      </x:c>
      <x:c r="K16" s="1"/>
    </x:row>
    <x:row r="17">
      <x:c r="H17" s="2"/>
    </x:row>
    <x:row r="18">
      <x:c r="H18" s="2"/>
    </x:row>
    <x:row r="19">
      <x:c r="H19" s="2"/>
    </x:row>
    <x:row r="20">
      <x:c r="H20" s="2"/>
    </x:row>
    <x:row r="21">
      <x:c r="H21" s="2"/>
    </x:row>
    <x:row r="22">
      <x:c r="H22" s="2"/>
    </x:row>
    <x:row r="23">
      <x:c r="H23" s="2"/>
    </x:row>
    <x:row r="24">
      <x:c r="H24" s="2"/>
    </x:row>
    <x:row r="25">
      <x:c r="H25" s="2"/>
    </x:row>
    <x:row r="26">
      <x:c r="H26" s="2"/>
    </x:row>
    <x:row r="27">
      <x:c r="H27" s="2"/>
    </x:row>
    <x:row r="28">
      <x:c r="H28" s="2"/>
    </x:row>
    <x:row r="29">
      <x:c r="H29" s="2"/>
    </x:row>
    <x:row r="30">
      <x:c r="H30" s="2"/>
    </x:row>
    <x:row r="31">
      <x:c r="H31" s="2"/>
    </x:row>
    <x:row r="32">
      <x:c r="H32" s="2"/>
    </x:row>
    <x:row r="33">
      <x:c r="H33" s="2"/>
    </x:row>
    <x:row r="34">
      <x:c r="H34" s="2"/>
    </x:row>
    <x:row r="35">
      <x:c r="H35" s="2"/>
    </x:row>
    <x:row r="36">
      <x:c r="H36" s="2"/>
    </x:row>
    <x:row r="37">
      <x:c r="H37" s="2"/>
    </x:row>
    <x:row r="38">
      <x:c r="H38" s="2"/>
    </x:row>
    <x:row r="39">
      <x:c r="H39" s="2"/>
    </x:row>
    <x:row r="40">
      <x:c r="H40" s="2"/>
    </x:row>
    <x:row r="41">
      <x:c r="H41" s="2"/>
    </x:row>
    <x:row r="42">
      <x:c r="H42" s="2"/>
    </x:row>
    <x:row r="43">
      <x:c r="H43" s="2"/>
    </x:row>
    <x:row r="44">
      <x:c r="H44" s="2"/>
    </x:row>
    <x:row r="45">
      <x:c r="H45" s="2"/>
    </x:row>
    <x:row r="46">
      <x:c r="H46" s="2"/>
    </x:row>
    <x:row r="47">
      <x:c r="H47" s="2"/>
    </x:row>
    <x:row r="48">
      <x:c r="H48" s="2"/>
    </x:row>
    <x:row r="49">
      <x:c r="H49" s="2"/>
    </x:row>
    <x:row r="50">
      <x:c r="H50" s="2"/>
    </x:row>
    <x:row r="51">
      <x:c r="H51" s="2"/>
    </x:row>
    <x:row r="52">
      <x:c r="H52" s="2"/>
    </x:row>
    <x:row r="53">
      <x:c r="H53" s="2"/>
    </x:row>
    <x:row r="54">
      <x:c r="H54" s="2"/>
    </x:row>
    <x:row r="55">
      <x:c r="H55" s="2"/>
    </x:row>
    <x:row r="56">
      <x:c r="H56" s="2"/>
    </x:row>
    <x:row r="57">
      <x:c r="H57" s="2"/>
    </x:row>
    <x:row r="58">
      <x:c r="H58" s="2"/>
    </x:row>
    <x:row r="59">
      <x:c r="H59" s="2"/>
    </x:row>
    <x:row r="60">
      <x:c r="H60" s="2"/>
    </x:row>
    <x:row r="61">
      <x:c r="H61" s="2"/>
    </x:row>
    <x:row r="62">
      <x:c r="H62" s="2"/>
    </x:row>
    <x:row r="63">
      <x:c r="H63" s="2"/>
    </x:row>
    <x:row r="64">
      <x:c r="H64" s="2"/>
    </x:row>
    <x:row r="65">
      <x:c r="H65" s="2"/>
    </x:row>
    <x:row r="66">
      <x:c r="H66" s="2"/>
    </x:row>
    <x:row r="67">
      <x:c r="H67" s="2"/>
    </x:row>
    <x:row r="68">
      <x:c r="H68" s="2"/>
    </x:row>
    <x:row r="69">
      <x:c r="H69" s="2"/>
    </x:row>
    <x:row r="70">
      <x:c r="H70" s="2"/>
    </x:row>
    <x:row r="71">
      <x:c r="H71" s="2"/>
    </x:row>
    <x:row r="72">
      <x:c r="H72" s="2"/>
    </x:row>
    <x:row r="73">
      <x:c r="H73" s="2"/>
    </x:row>
    <x:row r="74">
      <x:c r="H74" s="2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b7c1caa788cd4599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4" customWidth="1"/>
    <x:col min="3" max="3" width="16" customWidth="1"/>
    <x:col min="4" max="4" width="22" customWidth="1"/>
    <x:col min="5" max="5" width="52" customWidth="1"/>
    <x:col min="6" max="6" width="34" customWidth="1"/>
    <x:col min="7" max="7" width="13" customWidth="1"/>
    <x:col min="8" max="8" width="14" customWidth="1"/>
    <x:col min="10" max="10" width="60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384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6"/>
      <x:c r="C8" s="6"/>
      <x:c r="D8" s="6"/>
      <x:c r="E8" s="6"/>
      <x:c r="F8" s="6"/>
      <x:c r="G8" s="6"/>
      <x:c r="H8" s="13"/>
      <x:c r="I8" s="6"/>
      <x:c r="J8" s="6"/>
      <x:c r="K8" s="6"/>
    </x:row>
    <x:row r="9">
      <x:c r="B9" s="22" t="s">
        <x:v>385</x:v>
      </x:c>
      <x:c r="C9" s="71" t="s">
        <x:v>386</x:v>
      </x:c>
      <x:c r="D9" s="22" t="s">
        <x:v>387</x:v>
      </x:c>
      <x:c r="E9" s="22" t="s">
        <x:v>388</x:v>
      </x:c>
      <x:c r="F9" s="22" t="s">
        <x:v>389</x:v>
      </x:c>
      <x:c r="G9" s="6"/>
      <x:c r="H9" s="13"/>
      <x:c r="I9" s="6"/>
      <x:c r="J9" s="6"/>
      <x:c r="K9" s="6"/>
    </x:row>
    <x:row r="10" ht="36.75">
      <x:c r="B10" s="1" t="s">
        <x:v>390</x:v>
      </x:c>
      <x:c r="C10" s="16">
        <x:v>46289</x:v>
      </x:c>
      <x:c r="D10" s="1" t="s">
        <x:v>391</x:v>
      </x:c>
      <x:c r="E10" s="24" t="s">
        <x:v>392</x:v>
      </x:c>
      <x:c r="F10" s="1" t="s">
        <x:v>393</x:v>
      </x:c>
      <x:c r="G10" s="6"/>
      <x:c r="H10" s="13"/>
      <x:c r="I10" s="6"/>
      <x:c r="J10" s="6"/>
      <x:c r="K10" s="6"/>
    </x:row>
    <x:row r="11" ht="36.75">
      <x:c r="B11" s="1" t="s">
        <x:v>394</x:v>
      </x:c>
      <x:c r="C11" s="16">
        <x:v>46289</x:v>
      </x:c>
      <x:c r="D11" s="1" t="s">
        <x:v>391</x:v>
      </x:c>
      <x:c r="E11" s="24" t="s">
        <x:v>395</x:v>
      </x:c>
      <x:c r="F11" s="1" t="s">
        <x:v>396</x:v>
      </x:c>
      <x:c r="G11" s="6"/>
      <x:c r="H11" s="13"/>
      <x:c r="I11" s="6"/>
      <x:c r="J11" s="6"/>
      <x:c r="K11" s="6"/>
    </x:row>
    <x:row r="12" ht="36.75">
      <x:c r="B12" s="1" t="s">
        <x:v>397</x:v>
      </x:c>
      <x:c r="C12" s="16">
        <x:v>46148</x:v>
      </x:c>
      <x:c r="D12" s="1" t="s">
        <x:v>398</x:v>
      </x:c>
      <x:c r="E12" s="24" t="s">
        <x:v>399</x:v>
      </x:c>
      <x:c r="F12" s="1" t="s">
        <x:v>400</x:v>
      </x:c>
      <x:c r="G12" s="6"/>
      <x:c r="H12" s="13"/>
      <x:c r="I12" s="6"/>
      <x:c r="J12" s="6"/>
      <x:c r="K12" s="6"/>
    </x:row>
    <x:row r="13" ht="36.75">
      <x:c r="B13" s="1" t="s">
        <x:v>401</x:v>
      </x:c>
      <x:c r="C13" s="16">
        <x:v>46224</x:v>
      </x:c>
      <x:c r="D13" s="1" t="s">
        <x:v>398</x:v>
      </x:c>
      <x:c r="E13" s="24" t="s">
        <x:v>402</x:v>
      </x:c>
      <x:c r="F13" s="1" t="s">
        <x:v>403</x:v>
      </x:c>
      <x:c r="G13" s="6"/>
      <x:c r="H13" s="13"/>
      <x:c r="I13" s="6"/>
      <x:c r="J13" s="6"/>
      <x:c r="K13" s="6"/>
    </x:row>
    <x:row r="14" ht="36.75">
      <x:c r="B14" s="1" t="s">
        <x:v>404</x:v>
      </x:c>
      <x:c r="C14" s="16">
        <x:v>46224</x:v>
      </x:c>
      <x:c r="D14" s="1" t="s">
        <x:v>398</x:v>
      </x:c>
      <x:c r="E14" s="24" t="s">
        <x:v>405</x:v>
      </x:c>
      <x:c r="F14" s="1" t="s">
        <x:v>406</x:v>
      </x:c>
      <x:c r="G14" s="6"/>
      <x:c r="H14" s="13"/>
      <x:c r="I14" s="6"/>
      <x:c r="J14" s="6"/>
      <x:c r="K14" s="6"/>
    </x:row>
    <x:row r="15" ht="36.75">
      <x:c r="B15" s="1" t="s">
        <x:v>407</x:v>
      </x:c>
      <x:c r="C15" s="16">
        <x:v>45923</x:v>
      </x:c>
      <x:c r="D15" s="1" t="s">
        <x:v>398</x:v>
      </x:c>
      <x:c r="E15" s="24" t="s">
        <x:v>408</x:v>
      </x:c>
      <x:c r="F15" s="1" t="s">
        <x:v>409</x:v>
      </x:c>
      <x:c r="G15" s="6"/>
      <x:c r="H15" s="13"/>
      <x:c r="I15" s="6"/>
      <x:c r="J15" s="6"/>
      <x:c r="K15" s="6"/>
    </x:row>
    <x:row r="16" ht="36.75">
      <x:c r="B16" s="1" t="s">
        <x:v>410</x:v>
      </x:c>
      <x:c r="C16" s="16">
        <x:v>46028</x:v>
      </x:c>
      <x:c r="D16" s="1" t="s">
        <x:v>398</x:v>
      </x:c>
      <x:c r="E16" s="24" t="s">
        <x:v>411</x:v>
      </x:c>
      <x:c r="F16" s="1" t="s">
        <x:v>412</x:v>
      </x:c>
      <x:c r="G16" s="6"/>
      <x:c r="H16" s="13"/>
      <x:c r="I16" s="6"/>
      <x:c r="J16" s="6"/>
      <x:c r="K16" s="6"/>
    </x:row>
    <x:row r="17" ht="36.75">
      <x:c r="B17" s="1" t="s">
        <x:v>413</x:v>
      </x:c>
      <x:c r="C17" s="16">
        <x:v>46105</x:v>
      </x:c>
      <x:c r="D17" s="1" t="s">
        <x:v>398</x:v>
      </x:c>
      <x:c r="E17" s="24" t="s">
        <x:v>414</x:v>
      </x:c>
      <x:c r="F17" s="1" t="s">
        <x:v>415</x:v>
      </x:c>
      <x:c r="G17" s="6"/>
      <x:c r="H17" s="13"/>
      <x:c r="I17" s="6"/>
      <x:c r="J17" s="6"/>
      <x:c r="K17" s="6"/>
    </x:row>
    <x:row r="18" ht="36.75">
      <x:c r="B18" s="1" t="s">
        <x:v>416</x:v>
      </x:c>
      <x:c r="C18" s="16">
        <x:v>46224</x:v>
      </x:c>
      <x:c r="D18" s="1" t="s">
        <x:v>398</x:v>
      </x:c>
      <x:c r="E18" s="24" t="s">
        <x:v>417</x:v>
      </x:c>
      <x:c r="F18" s="1" t="s">
        <x:v>418</x:v>
      </x:c>
      <x:c r="G18" s="6"/>
      <x:c r="H18" s="13"/>
      <x:c r="I18" s="6"/>
      <x:c r="J18" s="6"/>
      <x:c r="K18" s="6"/>
    </x:row>
    <x:row r="19" ht="36.75">
      <x:c r="B19" s="1" t="s">
        <x:v>419</x:v>
      </x:c>
      <x:c r="C19" s="16">
        <x:v>46224</x:v>
      </x:c>
      <x:c r="D19" s="1" t="s">
        <x:v>398</x:v>
      </x:c>
      <x:c r="E19" s="24" t="s">
        <x:v>420</x:v>
      </x:c>
      <x:c r="F19" s="1" t="s">
        <x:v>421</x:v>
      </x:c>
      <x:c r="G19" s="6"/>
      <x:c r="H19" s="13"/>
      <x:c r="I19" s="6"/>
      <x:c r="J19" s="6"/>
      <x:c r="K19" s="6"/>
    </x:row>
    <x:row r="20" ht="36.75">
      <x:c r="B20" s="1" t="s">
        <x:v>422</x:v>
      </x:c>
      <x:c r="C20" s="16">
        <x:v>46259</x:v>
      </x:c>
      <x:c r="D20" s="1" t="s">
        <x:v>423</x:v>
      </x:c>
      <x:c r="E20" s="24" t="s">
        <x:v>424</x:v>
      </x:c>
      <x:c r="F20" s="1" t="s">
        <x:v>425</x:v>
      </x:c>
      <x:c r="G20" s="6"/>
      <x:c r="H20" s="13"/>
      <x:c r="I20" s="6"/>
      <x:c r="J20" s="6"/>
      <x:c r="K20" s="6"/>
    </x:row>
    <x:row r="21" ht="36.75">
      <x:c r="B21" s="1" t="s">
        <x:v>426</x:v>
      </x:c>
      <x:c r="C21" s="16">
        <x:v>46286</x:v>
      </x:c>
      <x:c r="D21" s="1" t="s">
        <x:v>427</x:v>
      </x:c>
      <x:c r="E21" s="24" t="s">
        <x:v>428</x:v>
      </x:c>
      <x:c r="F21" s="1" t="s">
        <x:v>429</x:v>
      </x:c>
      <x:c r="G21" s="6"/>
      <x:c r="H21" s="13"/>
      <x:c r="I21" s="6"/>
      <x:c r="J21" s="6"/>
      <x:c r="K21" s="6"/>
    </x:row>
    <x:row r="22">
      <x:c r="B22" s="1"/>
      <x:c r="C22" s="1"/>
      <x:c r="D22" s="1"/>
      <x:c r="E22" s="1"/>
      <x:c r="F22" s="1"/>
      <x:c r="G22" s="6"/>
      <x:c r="H22" s="13"/>
      <x:c r="I22" s="6"/>
      <x:c r="J22" s="6"/>
      <x:c r="K22" s="6"/>
    </x:row>
    <x:row r="23">
      <x:c r="B23" s="1"/>
      <x:c r="C23" s="1"/>
      <x:c r="D23" s="1"/>
      <x:c r="E23" s="1"/>
      <x:c r="F23" s="1"/>
      <x:c r="G23" s="6"/>
      <x:c r="H23" s="13"/>
      <x:c r="I23" s="6"/>
      <x:c r="J23" s="6"/>
      <x:c r="K23" s="6"/>
    </x:row>
    <x:row r="24">
      <x:c r="B24" s="1"/>
      <x:c r="C24" s="1"/>
      <x:c r="D24" s="1"/>
      <x:c r="E24" s="1"/>
      <x:c r="F24" s="1"/>
      <x:c r="G24" s="6"/>
      <x:c r="H24" s="13"/>
      <x:c r="I24" s="6"/>
      <x:c r="J24" s="1" t="s">
        <x:v>430</x:v>
      </x:c>
      <x:c r="K24" s="6"/>
    </x:row>
    <x:row r="25">
      <x:c r="B25" s="1" t="s">
        <x:v>431</x:v>
      </x:c>
      <x:c r="C25" s="1" t="s">
        <x:v>432</x:v>
      </x:c>
      <x:c r="D25" s="1"/>
      <x:c r="E25" s="1"/>
      <x:c r="F25" s="1"/>
      <x:c r="G25" s="6"/>
      <x:c r="H25" s="13"/>
      <x:c r="I25" s="6"/>
      <x:c r="J25" s="1"/>
      <x:c r="K25" s="6"/>
    </x:row>
    <x:row r="26">
      <x:c r="B26" s="1" t="s">
        <x:v>433</x:v>
      </x:c>
      <x:c r="C26" s="1" t="s">
        <x:v>434</x:v>
      </x:c>
      <x:c r="D26" s="1"/>
      <x:c r="E26" s="1"/>
      <x:c r="F26" s="1"/>
      <x:c r="G26" s="6"/>
      <x:c r="H26" s="13"/>
      <x:c r="I26" s="6"/>
      <x:c r="J26" s="1"/>
      <x:c r="K26" s="6"/>
    </x:row>
    <x:row r="27">
      <x:c r="B27" s="1"/>
      <x:c r="C27" s="1"/>
      <x:c r="D27" s="1"/>
      <x:c r="E27" s="1"/>
      <x:c r="F27" s="1"/>
      <x:c r="G27" s="6"/>
      <x:c r="H27" s="13"/>
      <x:c r="I27" s="6"/>
      <x:c r="J27" s="1" t="s">
        <x:v>435</x:v>
      </x:c>
      <x:c r="K27" s="6"/>
    </x:row>
    <x:row r="28">
      <x:c r="B28" s="1"/>
      <x:c r="C28" s="1"/>
      <x:c r="D28" s="1"/>
      <x:c r="E28" s="1"/>
      <x:c r="F28" s="1"/>
      <x:c r="G28" s="6"/>
      <x:c r="H28" s="13"/>
      <x:c r="I28" s="6"/>
      <x:c r="J28" s="1" t="s">
        <x:v>436</x:v>
      </x:c>
      <x:c r="K28" s="6"/>
    </x:row>
    <x:row r="29">
      <x:c r="B29" s="1" t="s">
        <x:v>437</x:v>
      </x:c>
      <x:c r="C29" s="34">
        <x:v>46105</x:v>
      </x:c>
      <x:c r="D29" s="1" t="s">
        <x:v>438</x:v>
      </x:c>
      <x:c r="E29" s="1" t="s">
        <x:v>439</x:v>
      </x:c>
      <x:c r="F29" s="1" t="s">
        <x:v>440</x:v>
      </x:c>
      <x:c r="G29" s="6"/>
      <x:c r="H29" s="13"/>
      <x:c r="I29" s="6"/>
      <x:c r="J29" s="1"/>
      <x:c r="K29" s="6"/>
    </x:row>
    <x:row r="30" ht="36.75">
      <x:c r="B30" s="6" t="s">
        <x:v>441</x:v>
      </x:c>
      <x:c r="C30" s="25">
        <x:v>45923</x:v>
      </x:c>
      <x:c r="D30" s="6" t="s">
        <x:v>398</x:v>
      </x:c>
      <x:c r="E30" s="29" t="s">
        <x:v>442</x:v>
      </x:c>
      <x:c r="F30" s="6" t="s">
        <x:v>443</x:v>
      </x:c>
      <x:c r="G30" s="6"/>
      <x:c r="H30" s="13"/>
      <x:c r="I30" s="6"/>
      <x:c r="J30" s="6"/>
      <x:c r="K30" s="6"/>
    </x:row>
    <x:row r="31" ht="36.75">
      <x:c r="B31" s="6" t="s">
        <x:v>444</x:v>
      </x:c>
      <x:c r="C31" s="25">
        <x:v>46028</x:v>
      </x:c>
      <x:c r="D31" s="6" t="s">
        <x:v>398</x:v>
      </x:c>
      <x:c r="E31" s="29" t="s">
        <x:v>445</x:v>
      </x:c>
      <x:c r="F31" s="6" t="s">
        <x:v>446</x:v>
      </x:c>
      <x:c r="G31" s="6"/>
      <x:c r="H31" s="13"/>
      <x:c r="I31" s="6"/>
      <x:c r="J31" s="6"/>
      <x:c r="K31" s="6"/>
    </x:row>
    <x:row r="32" ht="36.75">
      <x:c r="B32" s="6" t="s">
        <x:v>447</x:v>
      </x:c>
      <x:c r="C32" s="25">
        <x:v>46105</x:v>
      </x:c>
      <x:c r="D32" s="6" t="s">
        <x:v>398</x:v>
      </x:c>
      <x:c r="E32" s="29" t="s">
        <x:v>448</x:v>
      </x:c>
      <x:c r="F32" s="6" t="s">
        <x:v>449</x:v>
      </x:c>
      <x:c r="G32" s="6"/>
      <x:c r="H32" s="13"/>
      <x:c r="I32" s="6"/>
      <x:c r="J32" s="6"/>
      <x:c r="K32" s="6"/>
    </x:row>
    <x:row r="33">
      <x:c r="H33" s="2"/>
      <x:c r="J33" s="1" t="s">
        <x:v>450</x:v>
      </x:c>
    </x:row>
    <x:row r="34">
      <x:c r="H34" s="2"/>
    </x:row>
    <x:row r="35">
      <x:c r="H35" s="2"/>
    </x:row>
    <x:row r="36">
      <x:c r="H36" s="2"/>
    </x:row>
    <x:row r="37">
      <x:c r="H37" s="2"/>
    </x:row>
    <x:row r="38">
      <x:c r="H38" s="2"/>
    </x:row>
    <x:row r="39">
      <x:c r="H39" s="2"/>
    </x:row>
    <x:row r="40">
      <x:c r="H40" s="2"/>
    </x:row>
    <x:row r="41">
      <x:c r="H41" s="2"/>
    </x:row>
    <x:row r="42">
      <x:c r="H42" s="2"/>
    </x:row>
    <x:row r="43">
      <x:c r="H43" s="2"/>
    </x:row>
    <x:row r="44">
      <x:c r="H44" s="2"/>
    </x:row>
    <x:row r="45">
      <x:c r="H45" s="2"/>
    </x:row>
    <x:row r="46">
      <x:c r="H46" s="2"/>
    </x:row>
    <x:row r="47">
      <x:c r="H47" s="2"/>
    </x:row>
    <x:row r="48">
      <x:c r="H48" s="2"/>
    </x:row>
    <x:row r="49">
      <x:c r="H49" s="2"/>
    </x:row>
    <x:row r="50">
      <x:c r="H50" s="2"/>
    </x:row>
    <x:row r="51">
      <x:c r="H51" s="2"/>
    </x:row>
    <x:row r="52">
      <x:c r="H52" s="2"/>
    </x:row>
    <x:row r="53">
      <x:c r="H53" s="2"/>
    </x:row>
    <x:row r="54">
      <x:c r="H54" s="2"/>
    </x:row>
    <x:row r="55">
      <x:c r="H55" s="2"/>
    </x:row>
    <x:row r="56">
      <x:c r="H56" s="2"/>
    </x:row>
    <x:row r="57">
      <x:c r="H57" s="2"/>
    </x:row>
    <x:row r="58">
      <x:c r="H58" s="2"/>
    </x:row>
    <x:row r="59">
      <x:c r="H59" s="2"/>
    </x:row>
    <x:row r="60">
      <x:c r="H60" s="2"/>
    </x:row>
    <x:row r="61">
      <x:c r="H61" s="2"/>
    </x:row>
    <x:row r="62">
      <x:c r="H62" s="2"/>
    </x:row>
    <x:row r="63">
      <x:c r="H63" s="2"/>
    </x:row>
    <x:row r="64">
      <x:c r="H64" s="2"/>
    </x:row>
    <x:row r="65">
      <x:c r="H65" s="2"/>
    </x:row>
    <x:row r="66">
      <x:c r="H66" s="2"/>
    </x:row>
    <x:row r="67">
      <x:c r="H67" s="2"/>
    </x:row>
    <x:row r="68">
      <x:c r="H68" s="2"/>
    </x:row>
    <x:row r="69">
      <x:c r="H69" s="2"/>
    </x:row>
    <x:row r="70">
      <x:c r="H70" s="2"/>
    </x:row>
    <x:row r="71">
      <x:c r="H71" s="2"/>
    </x:row>
    <x:row r="72">
      <x:c r="H72" s="2"/>
    </x:row>
    <x:row r="73">
      <x:c r="H73" s="2"/>
    </x:row>
    <x:row r="74">
      <x:c r="H74" s="2"/>
    </x:row>
    <x:row r="75">
      <x:c r="H75" s="2"/>
    </x:row>
    <x:row r="76">
      <x:c r="H76" s="2"/>
    </x:row>
    <x:row r="77">
      <x:c r="H77" s="2"/>
    </x:row>
    <x:row r="78">
      <x:c r="H78" s="2"/>
    </x:row>
    <x:row r="79">
      <x:c r="H79" s="2"/>
    </x:row>
    <x:row r="80">
      <x:c r="H80" s="2"/>
    </x:row>
    <x:row r="81">
      <x:c r="H81" s="2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2" customWidth="1"/>
    <x:col min="3" max="3" width="28" customWidth="1"/>
    <x:col min="4" max="5" width="19" customWidth="1"/>
    <x:col min="6" max="7" width="18" customWidth="1"/>
    <x:col min="8" max="9" width="17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6"/>
      <x:c r="J1" s="6"/>
      <x:c r="K1" s="6"/>
    </x:row>
    <x:row r="2">
      <x:c r="B2" s="26" t="s">
        <x:v>451</x:v>
      </x:c>
      <x:c r="C2" s="1"/>
      <x:c r="D2" s="1"/>
      <x:c r="E2" s="1"/>
      <x:c r="F2" s="1"/>
      <x:c r="G2" s="1"/>
      <x:c r="H2" s="1"/>
      <x:c r="I2" s="6"/>
      <x:c r="J2" s="6"/>
      <x:c r="K2" s="6"/>
    </x:row>
    <x:row r="3">
      <x:c r="B3" s="1" t="s">
        <x:v>2</x:v>
      </x:c>
      <x:c r="C3" s="1"/>
      <x:c r="D3" s="1"/>
      <x:c r="E3" s="1"/>
      <x:c r="F3" s="1"/>
      <x:c r="G3" s="1"/>
      <x:c r="H3" s="1"/>
      <x:c r="I3" s="6"/>
      <x:c r="J3" s="6"/>
      <x:c r="K3" s="6"/>
    </x:row>
    <x:row r="4"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>
      <x:c r="B5" s="10" t="s">
        <x:v>3</x:v>
      </x:c>
      <x:c r="C5" s="64" t="s">
        <x:v>4</x:v>
      </x:c>
      <x:c r="D5" s="64" t="s">
        <x:v>5</x:v>
      </x:c>
      <x:c r="E5" s="64" t="s">
        <x:v>6</x:v>
      </x:c>
      <x:c r="F5" s="64" t="s">
        <x:v>7</x:v>
      </x:c>
      <x:c r="G5" s="64" t="s">
        <x:v>8</x:v>
      </x:c>
      <x:c r="H5" s="65" t="s">
        <x:v>9</x:v>
      </x:c>
      <x:c r="I5" s="6"/>
      <x:c r="J5" s="6"/>
      <x:c r="K5" s="6"/>
    </x:row>
    <x:row r="6">
      <x:c r="B6" s="10" t="s">
        <x:v>10</x:v>
      </x:c>
      <x:c r="C6" s="7">
        <x:v>45900</x:v>
      </x:c>
      <x:c r="D6" s="7">
        <x:v>45991</x:v>
      </x:c>
      <x:c r="E6" s="7">
        <x:v>46081</x:v>
      </x:c>
      <x:c r="F6" s="7">
        <x:v>46173</x:v>
      </x:c>
      <x:c r="G6" s="7">
        <x:v>46173</x:v>
      </x:c>
      <x:c r="H6" s="23">
        <x:v>46265</x:v>
      </x:c>
      <x:c r="I6" s="6"/>
      <x:c r="J6" s="6"/>
      <x:c r="K6" s="6"/>
    </x:row>
    <x:row r="7">
      <x:c r="B7" s="10" t="s">
        <x:v>11</x:v>
      </x:c>
      <x:c r="C7" s="10">
        <x:v>92</x:v>
      </x:c>
      <x:c r="D7" s="10">
        <x:v>91</x:v>
      </x:c>
      <x:c r="E7" s="10">
        <x:v>90</x:v>
      </x:c>
      <x:c r="F7" s="10">
        <x:v>92</x:v>
      </x:c>
      <x:c r="G7" s="10">
        <x:v>365</x:v>
      </x:c>
      <x:c r="H7" s="19">
        <x:v>92</x:v>
      </x:c>
      <x:c r="I7" s="6"/>
      <x:c r="J7" s="6"/>
      <x:c r="K7" s="6"/>
    </x:row>
    <x:row r="8">
      <x:c r="B8" s="6"/>
      <x:c r="C8" s="6"/>
      <x:c r="D8" s="6"/>
      <x:c r="E8" s="6"/>
      <x:c r="F8" s="6"/>
      <x:c r="G8" s="6"/>
      <x:c r="H8" s="13"/>
      <x:c r="I8" s="6"/>
      <x:c r="J8" s="6"/>
      <x:c r="K8" s="6"/>
    </x:row>
    <x:row r="9">
      <x:c r="B9" s="1" t="s">
        <x:v>452</x:v>
      </x:c>
      <x:c r="C9" s="69" t="s">
        <x:v>453</x:v>
      </x:c>
      <x:c r="D9" s="69" t="s">
        <x:v>454</x:v>
      </x:c>
      <x:c r="E9" s="69" t="s">
        <x:v>455</x:v>
      </x:c>
      <x:c r="F9" s="69" t="s">
        <x:v>456</x:v>
      </x:c>
      <x:c r="G9" s="69" t="s">
        <x:v>457</x:v>
      </x:c>
      <x:c r="H9" s="70" t="s">
        <x:v>458</x:v>
      </x:c>
      <x:c r="I9" s="69" t="s">
        <x:v>459</x:v>
      </x:c>
      <x:c r="J9" s="6"/>
      <x:c r="K9" s="6"/>
    </x:row>
    <x:row r="10">
      <x:c r="B10" s="52">
        <x:v>45716</x:v>
      </x:c>
      <x:c r="C10" s="34">
        <x:v>0.96</x:v>
      </x:c>
      <x:c r="D10" s="34">
        <x:v>0.99</x:v>
      </x:c>
      <x:c r="E10" s="34">
        <x:v>0.88</x:v>
      </x:c>
      <x:c r="F10" s="34">
        <x:v>-0.25</x:v>
      </x:c>
      <x:c r="G10" s="34">
        <x:v>699.13</x:v>
      </x:c>
      <x:c r="H10" s="53">
        <x:v>678.2</x:v>
      </x:c>
      <x:c r="I10" s="52">
        <x:v>45743</x:v>
      </x:c>
      <x:c r="J10" s="6"/>
      <x:c r="K10" s="6"/>
    </x:row>
    <x:row r="11">
      <x:c r="B11" s="52">
        <x:v>45808</x:v>
      </x:c>
      <x:c r="C11" s="34">
        <x:v>1</x:v>
      </x:c>
      <x:c r="D11" s="34">
        <x:v>1.16</x:v>
      </x:c>
      <x:c r="E11" s="34">
        <x:v>0.9</x:v>
      </x:c>
      <x:c r="F11" s="34">
        <x:v>0.95</x:v>
      </x:c>
      <x:c r="G11" s="34">
        <x:v>695.34</x:v>
      </x:c>
      <x:c r="H11" s="53">
        <x:v>754.5</x:v>
      </x:c>
      <x:c r="I11" s="52">
        <x:v>45854</x:v>
      </x:c>
      <x:c r="J11" s="6"/>
      <x:c r="K11" s="6"/>
    </x:row>
    <x:row r="12">
      <x:c r="B12" s="52">
        <x:v>45900</x:v>
      </x:c>
      <x:c r="C12" s="34">
        <x:v>0.98</x:v>
      </x:c>
      <x:c r="D12" s="34">
        <x:v>1.08</x:v>
      </x:c>
      <x:c r="E12" s="34">
        <x:v>0.9</x:v>
      </x:c>
      <x:c r="F12" s="34">
        <x:v>0.95</x:v>
      </x:c>
      <x:c r="G12" s="34">
        <x:v>689.45</x:v>
      </x:c>
      <x:c r="H12" s="53">
        <x:v>739.6</x:v>
      </x:c>
      <x:c r="I12" s="52">
        <x:v>45923</x:v>
      </x:c>
      <x:c r="J12" s="6"/>
      <x:c r="K12" s="6"/>
    </x:row>
    <x:row r="13">
      <x:c r="B13" s="52">
        <x:v>45991</x:v>
      </x:c>
      <x:c r="C13" s="34">
        <x:v>1.03</x:v>
      </x:c>
      <x:c r="D13" s="34">
        <x:v>1.18</x:v>
      </x:c>
      <x:c r="E13" s="34">
        <x:v>0.92</x:v>
      </x:c>
      <x:c r="F13" s="34">
        <x:v>0.9</x:v>
      </x:c>
      <x:c r="G13" s="34">
        <x:v>763.61</x:v>
      </x:c>
      <x:c r="H13" s="53">
        <x:v>795.3</x:v>
      </x:c>
      <x:c r="I13" s="52">
        <x:v>46028</x:v>
      </x:c>
      <x:c r="J13" s="6"/>
      <x:c r="K13" s="6"/>
    </x:row>
    <x:row r="14">
      <x:c r="B14" s="52">
        <x:v>46081</x:v>
      </x:c>
      <x:c r="C14" s="34">
        <x:v>1.16</x:v>
      </x:c>
      <x:c r="D14" s="34">
        <x:v>1.25</x:v>
      </x:c>
      <x:c r="E14" s="34">
        <x:v>1.02</x:v>
      </x:c>
      <x:c r="F14" s="34">
        <x:v>1.71</x:v>
      </x:c>
      <x:c r="G14" s="34">
        <x:v>812.58</x:v>
      </x:c>
      <x:c r="H14" s="53">
        <x:v>845.1</x:v>
      </x:c>
      <x:c r="I14" s="52">
        <x:v>46105</x:v>
      </x:c>
      <x:c r="J14" s="6"/>
      <x:c r="K14" s="6"/>
    </x:row>
    <x:row r="15">
      <x:c r="B15" s="52">
        <x:v>46173</x:v>
      </x:c>
      <x:c r="C15" s="34">
        <x:v>1.38</x:v>
      </x:c>
      <x:c r="D15" s="34">
        <x:v>1.53</x:v>
      </x:c>
      <x:c r="E15" s="34">
        <x:v>1.21</x:v>
      </x:c>
      <x:c r="F15" s="34">
        <x:v>1.27</x:v>
      </x:c>
      <x:c r="G15" s="34">
        <x:v>894.61</x:v>
      </x:c>
      <x:c r="H15" s="53">
        <x:v>928</x:v>
      </x:c>
      <x:c r="I15" s="52">
        <x:v>46224</x:v>
      </x:c>
      <x:c r="J15" s="6"/>
      <x:c r="K15" s="6"/>
    </x:row>
    <x:row r="16">
      <x:c r="B16" s="1"/>
      <x:c r="C16" s="1"/>
      <x:c r="D16" s="1"/>
      <x:c r="E16" s="1"/>
      <x:c r="F16" s="1"/>
      <x:c r="G16" s="1"/>
      <x:c r="H16" s="36"/>
      <x:c r="I16" s="1"/>
      <x:c r="J16" s="6"/>
      <x:c r="K16" s="6"/>
    </x:row>
    <x:row r="17">
      <x:c r="B17" s="1"/>
      <x:c r="C17" s="1"/>
      <x:c r="D17" s="1"/>
      <x:c r="E17" s="1"/>
      <x:c r="F17" s="1"/>
      <x:c r="G17" s="1"/>
      <x:c r="H17" s="36"/>
      <x:c r="I17" s="1"/>
      <x:c r="J17" s="6"/>
      <x:c r="K17" s="6"/>
    </x:row>
    <x:row r="18">
      <x:c r="B18" s="1"/>
      <x:c r="C18" s="1"/>
      <x:c r="D18" s="1"/>
      <x:c r="E18" s="1"/>
      <x:c r="F18" s="1"/>
      <x:c r="G18" s="1"/>
      <x:c r="H18" s="36"/>
      <x:c r="I18" s="1"/>
      <x:c r="J18" s="6"/>
      <x:c r="K18" s="6"/>
    </x:row>
    <x:row r="19">
      <x:c r="B19" s="1" t="s">
        <x:v>460</x:v>
      </x:c>
      <x:c r="C19" s="1" t="s">
        <x:v>461</x:v>
      </x:c>
      <x:c r="D19" s="1"/>
      <x:c r="E19" s="1"/>
      <x:c r="F19" s="1"/>
      <x:c r="G19" s="1"/>
      <x:c r="H19" s="36"/>
      <x:c r="I19" s="1"/>
      <x:c r="J19" s="6"/>
      <x:c r="K19" s="6"/>
    </x:row>
    <x:row r="20">
      <x:c r="B20" s="1" t="s">
        <x:v>462</x:v>
      </x:c>
      <x:c r="C20" s="34" t="s">
        <x:v>463</x:v>
      </x:c>
      <x:c r="D20" s="1"/>
      <x:c r="E20" s="1"/>
      <x:c r="F20" s="1"/>
      <x:c r="G20" s="1"/>
      <x:c r="H20" s="36"/>
      <x:c r="I20" s="1"/>
      <x:c r="J20" s="6"/>
      <x:c r="K20" s="6"/>
    </x:row>
    <x:row r="21">
      <x:c r="B21" s="1" t="s">
        <x:v>464</x:v>
      </x:c>
      <x:c r="C21" s="34" t="s">
        <x:v>465</x:v>
      </x:c>
      <x:c r="D21" s="1"/>
      <x:c r="E21" s="1"/>
      <x:c r="F21" s="1"/>
      <x:c r="G21" s="1"/>
      <x:c r="H21" s="36"/>
      <x:c r="I21" s="1"/>
      <x:c r="J21" s="6"/>
      <x:c r="K21" s="6"/>
    </x:row>
    <x:row r="22">
      <x:c r="B22" s="1" t="s">
        <x:v>466</x:v>
      </x:c>
      <x:c r="C22" s="34" t="s">
        <x:v>16</x:v>
      </x:c>
      <x:c r="D22" s="1"/>
      <x:c r="E22" s="1"/>
      <x:c r="F22" s="1"/>
      <x:c r="G22" s="1"/>
      <x:c r="H22" s="36"/>
      <x:c r="I22" s="1"/>
      <x:c r="J22" s="6"/>
      <x:c r="K22" s="6"/>
    </x:row>
    <x:row r="23">
      <x:c r="B23" s="1" t="s">
        <x:v>467</x:v>
      </x:c>
      <x:c r="C23" s="34">
        <x:v>168154</x:v>
      </x:c>
      <x:c r="D23" s="1"/>
      <x:c r="E23" s="1"/>
      <x:c r="F23" s="1"/>
      <x:c r="G23" s="1"/>
      <x:c r="H23" s="36"/>
      <x:c r="I23" s="1"/>
      <x:c r="J23" s="6"/>
      <x:c r="K23" s="6"/>
    </x:row>
    <x:row r="24">
      <x:c r="B24" s="1" t="s">
        <x:v>468</x:v>
      </x:c>
      <x:c r="C24" s="34">
        <x:v>8</x:v>
      </x:c>
      <x:c r="D24" s="1"/>
      <x:c r="E24" s="1"/>
      <x:c r="F24" s="1"/>
      <x:c r="G24" s="1"/>
      <x:c r="H24" s="36"/>
      <x:c r="I24" s="1"/>
      <x:c r="J24" s="6"/>
      <x:c r="K24" s="6"/>
    </x:row>
    <x:row r="25">
      <x:c r="B25" s="1" t="s">
        <x:v>469</x:v>
      </x:c>
      <x:c r="C25" s="34" t="s">
        <x:v>18</x:v>
      </x:c>
      <x:c r="D25" s="1"/>
      <x:c r="E25" s="1"/>
      <x:c r="F25" s="1"/>
      <x:c r="G25" s="1"/>
      <x:c r="H25" s="36"/>
      <x:c r="I25" s="1"/>
      <x:c r="J25" s="6"/>
      <x:c r="K25" s="6"/>
    </x:row>
    <x:row r="26">
      <x:c r="B26" s="1" t="s">
        <x:v>470</x:v>
      </x:c>
      <x:c r="C26" s="34" t="s">
        <x:v>471</x:v>
      </x:c>
      <x:c r="D26" s="1"/>
      <x:c r="E26" s="1"/>
      <x:c r="F26" s="1"/>
      <x:c r="G26" s="1"/>
      <x:c r="H26" s="36"/>
      <x:c r="I26" s="1"/>
      <x:c r="J26" s="6"/>
      <x:c r="K26" s="6"/>
    </x:row>
    <x:row r="27">
      <x:c r="B27" s="1" t="s">
        <x:v>452</x:v>
      </x:c>
      <x:c r="C27" s="16">
        <x:v>46265</x:v>
      </x:c>
      <x:c r="D27" s="1"/>
      <x:c r="E27" s="1"/>
      <x:c r="F27" s="1"/>
      <x:c r="G27" s="1"/>
      <x:c r="H27" s="36"/>
      <x:c r="I27" s="1"/>
      <x:c r="J27" s="6"/>
      <x:c r="K27" s="6"/>
    </x:row>
    <x:row r="28">
      <x:c r="B28" s="1" t="s">
        <x:v>472</x:v>
      </x:c>
      <x:c r="C28" s="16">
        <x:v>46294</x:v>
      </x:c>
      <x:c r="D28" s="1"/>
      <x:c r="E28" s="1"/>
      <x:c r="F28" s="1"/>
      <x:c r="G28" s="1"/>
      <x:c r="H28" s="36"/>
      <x:c r="I28" s="1"/>
      <x:c r="J28" s="6"/>
      <x:c r="K28" s="6"/>
    </x:row>
    <x:row r="29">
      <x:c r="B29" s="1" t="s">
        <x:v>473</x:v>
      </x:c>
      <x:c r="C29" s="34">
        <x:v>1.3</x:v>
      </x:c>
      <x:c r="D29" s="1"/>
      <x:c r="E29" s="1"/>
      <x:c r="F29" s="1"/>
      <x:c r="G29" s="1"/>
      <x:c r="H29" s="36"/>
      <x:c r="I29" s="1"/>
      <x:c r="J29" s="6"/>
      <x:c r="K29" s="6"/>
    </x:row>
    <x:row r="30">
      <x:c r="B30" s="1" t="s">
        <x:v>474</x:v>
      </x:c>
      <x:c r="C30" s="34">
        <x:v>1.3</x:v>
      </x:c>
      <x:c r="D30" s="1"/>
      <x:c r="E30" s="1"/>
      <x:c r="F30" s="1"/>
      <x:c r="G30" s="1"/>
      <x:c r="H30" s="36"/>
      <x:c r="I30" s="1"/>
      <x:c r="J30" s="6"/>
      <x:c r="K30" s="6"/>
    </x:row>
    <x:row r="31">
      <x:c r="B31" s="1" t="s">
        <x:v>475</x:v>
      </x:c>
      <x:c r="C31" s="34">
        <x:v>1.35</x:v>
      </x:c>
      <x:c r="D31" s="1"/>
      <x:c r="E31" s="1"/>
      <x:c r="F31" s="1"/>
      <x:c r="G31" s="1"/>
      <x:c r="H31" s="36"/>
      <x:c r="I31" s="1"/>
      <x:c r="J31" s="6"/>
      <x:c r="K31" s="6"/>
    </x:row>
    <x:row r="32">
      <x:c r="B32" s="1" t="s">
        <x:v>476</x:v>
      </x:c>
      <x:c r="C32" s="34">
        <x:v>1.25</x:v>
      </x:c>
      <x:c r="D32" s="1"/>
      <x:c r="E32" s="1"/>
      <x:c r="F32" s="1"/>
      <x:c r="G32" s="1"/>
      <x:c r="H32" s="36"/>
      <x:c r="I32" s="1"/>
      <x:c r="J32" s="6"/>
      <x:c r="K32" s="6"/>
    </x:row>
    <x:row r="33">
      <x:c r="B33" s="1" t="s">
        <x:v>477</x:v>
      </x:c>
      <x:c r="C33" s="34">
        <x:v>0.03</x:v>
      </x:c>
      <x:c r="D33" s="1"/>
      <x:c r="E33" s="1"/>
      <x:c r="F33" s="1"/>
      <x:c r="G33" s="1"/>
      <x:c r="H33" s="36"/>
      <x:c r="I33" s="1"/>
      <x:c r="J33" s="6"/>
      <x:c r="K33" s="6"/>
    </x:row>
    <x:row r="34">
      <x:c r="B34" s="1" t="s">
        <x:v>478</x:v>
      </x:c>
      <x:c r="C34" s="34">
        <x:v>8</x:v>
      </x:c>
      <x:c r="D34" s="1"/>
      <x:c r="E34" s="1"/>
      <x:c r="F34" s="1"/>
      <x:c r="G34" s="1"/>
      <x:c r="H34" s="36"/>
      <x:c r="I34" s="1"/>
      <x:c r="J34" s="6"/>
      <x:c r="K34" s="6"/>
    </x:row>
    <x:row r="35">
      <x:c r="B35" s="1" t="s">
        <x:v>479</x:v>
      </x:c>
      <x:c r="C35" s="34"/>
      <x:c r="D35" s="1"/>
      <x:c r="E35" s="1"/>
      <x:c r="F35" s="1"/>
      <x:c r="G35" s="1"/>
      <x:c r="H35" s="36"/>
      <x:c r="I35" s="1"/>
      <x:c r="J35" s="6"/>
      <x:c r="K35" s="6"/>
    </x:row>
    <x:row r="36">
      <x:c r="B36" s="1" t="s">
        <x:v>480</x:v>
      </x:c>
      <x:c r="C36" s="34"/>
      <x:c r="D36" s="1"/>
      <x:c r="E36" s="1"/>
      <x:c r="F36" s="1"/>
      <x:c r="G36" s="1"/>
      <x:c r="H36" s="36"/>
      <x:c r="I36" s="1"/>
      <x:c r="J36" s="6"/>
      <x:c r="K36" s="6"/>
    </x:row>
    <x:row r="37">
      <x:c r="B37" s="1" t="s">
        <x:v>481</x:v>
      </x:c>
      <x:c r="C37" s="34"/>
      <x:c r="D37" s="1"/>
      <x:c r="E37" s="1"/>
      <x:c r="F37" s="1"/>
      <x:c r="G37" s="1"/>
      <x:c r="H37" s="36"/>
      <x:c r="I37" s="1"/>
      <x:c r="J37" s="6"/>
      <x:c r="K37" s="6"/>
    </x:row>
    <x:row r="38">
      <x:c r="B38" s="1" t="s">
        <x:v>482</x:v>
      </x:c>
      <x:c r="C38" s="34">
        <x:v>1.23</x:v>
      </x:c>
      <x:c r="D38" s="1"/>
      <x:c r="E38" s="1"/>
      <x:c r="F38" s="1"/>
      <x:c r="G38" s="1"/>
      <x:c r="H38" s="36"/>
      <x:c r="I38" s="1"/>
      <x:c r="J38" s="6"/>
      <x:c r="K38" s="6"/>
    </x:row>
    <x:row r="39">
      <x:c r="B39" s="1" t="s">
        <x:v>483</x:v>
      </x:c>
      <x:c r="C39" s="34">
        <x:v>1.22</x:v>
      </x:c>
      <x:c r="D39" s="1"/>
      <x:c r="E39" s="1"/>
      <x:c r="F39" s="1"/>
      <x:c r="G39" s="1"/>
      <x:c r="H39" s="36"/>
      <x:c r="I39" s="1"/>
      <x:c r="J39" s="6"/>
      <x:c r="K39" s="6"/>
    </x:row>
    <x:row r="40">
      <x:c r="B40" s="1" t="s">
        <x:v>484</x:v>
      </x:c>
      <x:c r="C40" s="34">
        <x:v>1.35</x:v>
      </x:c>
      <x:c r="D40" s="1"/>
      <x:c r="E40" s="1"/>
      <x:c r="F40" s="1"/>
      <x:c r="G40" s="1"/>
      <x:c r="H40" s="36"/>
      <x:c r="I40" s="1"/>
      <x:c r="J40" s="6"/>
      <x:c r="K40" s="6"/>
    </x:row>
    <x:row r="41">
      <x:c r="B41" s="1" t="s">
        <x:v>485</x:v>
      </x:c>
      <x:c r="C41" s="34">
        <x:v>1.02</x:v>
      </x:c>
      <x:c r="D41" s="1"/>
      <x:c r="E41" s="1"/>
      <x:c r="F41" s="1"/>
      <x:c r="G41" s="1"/>
      <x:c r="H41" s="36"/>
      <x:c r="I41" s="1"/>
      <x:c r="J41" s="6"/>
      <x:c r="K41" s="6"/>
    </x:row>
    <x:row r="42">
      <x:c r="B42" s="1" t="s">
        <x:v>486</x:v>
      </x:c>
      <x:c r="C42" s="34">
        <x:v>0.12</x:v>
      </x:c>
      <x:c r="D42" s="1"/>
      <x:c r="E42" s="1"/>
      <x:c r="F42" s="1"/>
      <x:c r="G42" s="1"/>
      <x:c r="H42" s="36"/>
      <x:c r="I42" s="1"/>
      <x:c r="J42" s="6"/>
      <x:c r="K42" s="6"/>
    </x:row>
    <x:row r="43">
      <x:c r="B43" s="1" t="s">
        <x:v>487</x:v>
      </x:c>
      <x:c r="C43" s="34">
        <x:v>5</x:v>
      </x:c>
      <x:c r="D43" s="1"/>
      <x:c r="E43" s="1"/>
      <x:c r="F43" s="1"/>
      <x:c r="G43" s="1"/>
      <x:c r="H43" s="36"/>
      <x:c r="I43" s="1"/>
      <x:c r="J43" s="6"/>
      <x:c r="K43" s="6"/>
    </x:row>
    <x:row r="44">
      <x:c r="B44" s="1" t="s">
        <x:v>488</x:v>
      </x:c>
      <x:c r="C44" s="34"/>
      <x:c r="D44" s="1"/>
      <x:c r="E44" s="1"/>
      <x:c r="F44" s="1"/>
      <x:c r="G44" s="1"/>
      <x:c r="H44" s="36"/>
      <x:c r="I44" s="1"/>
      <x:c r="J44" s="6"/>
      <x:c r="K44" s="6"/>
    </x:row>
    <x:row r="45">
      <x:c r="B45" s="1" t="s">
        <x:v>489</x:v>
      </x:c>
      <x:c r="C45" s="34"/>
      <x:c r="D45" s="1"/>
      <x:c r="E45" s="1"/>
      <x:c r="F45" s="1"/>
      <x:c r="G45" s="1"/>
      <x:c r="H45" s="36"/>
      <x:c r="I45" s="1"/>
      <x:c r="J45" s="6"/>
      <x:c r="K45" s="6"/>
    </x:row>
    <x:row r="46">
      <x:c r="B46" s="1" t="s">
        <x:v>490</x:v>
      </x:c>
      <x:c r="C46" s="34">
        <x:v>880.35</x:v>
      </x:c>
      <x:c r="D46" s="1"/>
      <x:c r="E46" s="1"/>
      <x:c r="F46" s="1"/>
      <x:c r="G46" s="1"/>
      <x:c r="H46" s="36"/>
      <x:c r="I46" s="1"/>
      <x:c r="J46" s="6"/>
      <x:c r="K46" s="6"/>
    </x:row>
    <x:row r="47">
      <x:c r="B47" s="1" t="s">
        <x:v>491</x:v>
      </x:c>
      <x:c r="C47" s="34">
        <x:v>880.95</x:v>
      </x:c>
      <x:c r="D47" s="1"/>
      <x:c r="E47" s="1"/>
      <x:c r="F47" s="1"/>
      <x:c r="G47" s="1"/>
      <x:c r="H47" s="36"/>
      <x:c r="I47" s="1"/>
      <x:c r="J47" s="6"/>
      <x:c r="K47" s="6"/>
    </x:row>
    <x:row r="48">
      <x:c r="B48" s="1" t="s">
        <x:v>492</x:v>
      </x:c>
      <x:c r="C48" s="34">
        <x:v>889.36</x:v>
      </x:c>
      <x:c r="D48" s="1"/>
      <x:c r="E48" s="1"/>
      <x:c r="F48" s="1"/>
      <x:c r="G48" s="1"/>
      <x:c r="H48" s="36"/>
      <x:c r="I48" s="1"/>
      <x:c r="J48" s="6"/>
      <x:c r="K48" s="6"/>
    </x:row>
    <x:row r="49">
      <x:c r="B49" s="1" t="s">
        <x:v>493</x:v>
      </x:c>
      <x:c r="C49" s="34">
        <x:v>866.03</x:v>
      </x:c>
      <x:c r="D49" s="1"/>
      <x:c r="E49" s="1"/>
      <x:c r="F49" s="1"/>
      <x:c r="G49" s="1"/>
      <x:c r="H49" s="36"/>
      <x:c r="I49" s="1"/>
      <x:c r="J49" s="6"/>
      <x:c r="K49" s="6"/>
    </x:row>
    <x:row r="50">
      <x:c r="B50" s="1" t="s">
        <x:v>494</x:v>
      </x:c>
      <x:c r="C50" s="34">
        <x:v>7.46</x:v>
      </x:c>
      <x:c r="D50" s="1"/>
      <x:c r="E50" s="1"/>
      <x:c r="F50" s="1"/>
      <x:c r="G50" s="1"/>
      <x:c r="H50" s="36"/>
      <x:c r="I50" s="1"/>
      <x:c r="J50" s="6"/>
      <x:c r="K50" s="6"/>
    </x:row>
    <x:row r="51">
      <x:c r="B51" s="1" t="s">
        <x:v>495</x:v>
      </x:c>
      <x:c r="C51" s="34">
        <x:v>8</x:v>
      </x:c>
      <x:c r="D51" s="1"/>
      <x:c r="E51" s="1"/>
      <x:c r="F51" s="1"/>
      <x:c r="G51" s="1"/>
      <x:c r="H51" s="36"/>
      <x:c r="I51" s="1"/>
      <x:c r="J51" s="6"/>
      <x:c r="K51" s="6"/>
    </x:row>
    <x:row r="52">
      <x:c r="B52" s="1" t="s">
        <x:v>496</x:v>
      </x:c>
      <x:c r="C52" s="34"/>
      <x:c r="D52" s="1"/>
      <x:c r="E52" s="1"/>
      <x:c r="F52" s="1"/>
      <x:c r="G52" s="1"/>
      <x:c r="H52" s="36"/>
      <x:c r="I52" s="1"/>
      <x:c r="J52" s="6"/>
      <x:c r="K52" s="6"/>
    </x:row>
    <x:row r="53">
      <x:c r="B53" s="1" t="s">
        <x:v>497</x:v>
      </x:c>
      <x:c r="C53" s="34"/>
      <x:c r="D53" s="1"/>
      <x:c r="E53" s="1"/>
      <x:c r="F53" s="1"/>
      <x:c r="G53" s="1"/>
      <x:c r="H53" s="36"/>
      <x:c r="I53" s="1"/>
      <x:c r="J53" s="6"/>
      <x:c r="K53" s="6"/>
    </x:row>
    <x:row r="54">
      <x:c r="B54" s="1" t="s">
        <x:v>498</x:v>
      </x:c>
      <x:c r="C54" s="34">
        <x:v>107.53</x:v>
      </x:c>
      <x:c r="D54" s="1"/>
      <x:c r="E54" s="1"/>
      <x:c r="F54" s="1"/>
      <x:c r="G54" s="1"/>
      <x:c r="H54" s="36"/>
      <x:c r="I54" s="1"/>
      <x:c r="J54" s="6"/>
      <x:c r="K54" s="6"/>
    </x:row>
    <x:row r="55">
      <x:c r="B55" s="1" t="s">
        <x:v>499</x:v>
      </x:c>
      <x:c r="C55" s="34">
        <x:v>84.93</x:v>
      </x:c>
      <x:c r="D55" s="1"/>
      <x:c r="E55" s="1"/>
      <x:c r="F55" s="1"/>
      <x:c r="G55" s="1"/>
      <x:c r="H55" s="36"/>
      <x:c r="I55" s="1"/>
      <x:c r="J55" s="6"/>
      <x:c r="K55" s="6"/>
    </x:row>
    <x:row r="56">
      <x:c r="B56" s="1" t="s">
        <x:v>500</x:v>
      </x:c>
      <x:c r="C56" s="34"/>
      <x:c r="D56" s="1"/>
      <x:c r="E56" s="1"/>
      <x:c r="F56" s="1"/>
      <x:c r="G56" s="1"/>
      <x:c r="H56" s="36"/>
      <x:c r="I56" s="1"/>
      <x:c r="J56" s="6"/>
      <x:c r="K56" s="6"/>
    </x:row>
    <x:row r="57">
      <x:c r="B57" s="1" t="s">
        <x:v>501</x:v>
      </x:c>
      <x:c r="C57" s="34">
        <x:v>48.31</x:v>
      </x:c>
      <x:c r="D57" s="1"/>
      <x:c r="E57" s="1"/>
      <x:c r="F57" s="1"/>
      <x:c r="G57" s="1"/>
      <x:c r="H57" s="36"/>
      <x:c r="I57" s="1"/>
      <x:c r="J57" s="6"/>
      <x:c r="K57" s="6"/>
    </x:row>
    <x:row r="58">
      <x:c r="B58" s="1" t="s">
        <x:v>502</x:v>
      </x:c>
      <x:c r="C58" s="34">
        <x:v>18.35</x:v>
      </x:c>
      <x:c r="D58" s="1"/>
      <x:c r="E58" s="1"/>
      <x:c r="F58" s="1"/>
      <x:c r="G58" s="1"/>
      <x:c r="H58" s="36"/>
      <x:c r="I58" s="1"/>
      <x:c r="J58" s="6"/>
      <x:c r="K58" s="6"/>
    </x:row>
    <x:row r="59">
      <x:c r="B59" s="1" t="s">
        <x:v>503</x:v>
      </x:c>
      <x:c r="C59" s="34"/>
      <x:c r="D59" s="1"/>
      <x:c r="E59" s="1"/>
      <x:c r="F59" s="1"/>
      <x:c r="G59" s="1"/>
      <x:c r="H59" s="36"/>
      <x:c r="I59" s="1"/>
      <x:c r="J59" s="6"/>
      <x:c r="K59" s="6"/>
    </x:row>
    <x:row r="60">
      <x:c r="B60" s="1" t="s">
        <x:v>504</x:v>
      </x:c>
      <x:c r="C60" s="34">
        <x:v>-12.17</x:v>
      </x:c>
      <x:c r="D60" s="1"/>
      <x:c r="E60" s="1"/>
      <x:c r="F60" s="1"/>
      <x:c r="G60" s="1"/>
      <x:c r="H60" s="36"/>
      <x:c r="I60" s="1"/>
      <x:c r="J60" s="6"/>
      <x:c r="K60" s="6"/>
    </x:row>
    <x:row r="61">
      <x:c r="B61" s="1" t="s">
        <x:v>505</x:v>
      </x:c>
      <x:c r="C61" s="34">
        <x:v>-13.1</x:v>
      </x:c>
      <x:c r="D61" s="1"/>
      <x:c r="E61" s="1"/>
      <x:c r="F61" s="1"/>
      <x:c r="G61" s="1"/>
      <x:c r="H61" s="36"/>
      <x:c r="I61" s="1"/>
      <x:c r="J61" s="6"/>
      <x:c r="K61" s="6"/>
    </x:row>
    <x:row r="62">
      <x:c r="B62" s="1" t="s">
        <x:v>506</x:v>
      </x:c>
      <x:c r="C62" s="34"/>
      <x:c r="D62" s="1"/>
      <x:c r="E62" s="1"/>
      <x:c r="F62" s="1"/>
      <x:c r="G62" s="1"/>
      <x:c r="H62" s="36"/>
      <x:c r="I62" s="1"/>
      <x:c r="J62" s="6"/>
      <x:c r="K62" s="6"/>
    </x:row>
    <x:row r="63">
      <x:c r="B63" s="1" t="s">
        <x:v>507</x:v>
      </x:c>
      <x:c r="C63" s="34"/>
      <x:c r="D63" s="1"/>
      <x:c r="E63" s="1"/>
      <x:c r="F63" s="1"/>
      <x:c r="G63" s="1"/>
      <x:c r="H63" s="36"/>
      <x:c r="I63" s="1"/>
      <x:c r="J63" s="6"/>
      <x:c r="K63" s="6"/>
    </x:row>
    <x:row r="64">
      <x:c r="B64" s="1" t="s">
        <x:v>508</x:v>
      </x:c>
      <x:c r="C64" s="34">
        <x:v>145.2</x:v>
      </x:c>
      <x:c r="D64" s="1"/>
      <x:c r="E64" s="1"/>
      <x:c r="F64" s="1"/>
      <x:c r="G64" s="1"/>
      <x:c r="H64" s="36"/>
      <x:c r="I64" s="1"/>
      <x:c r="J64" s="6"/>
      <x:c r="K64" s="6"/>
    </x:row>
    <x:row r="65">
      <x:c r="B65" s="1" t="s">
        <x:v>509</x:v>
      </x:c>
      <x:c r="C65" s="34">
        <x:v>145</x:v>
      </x:c>
      <x:c r="D65" s="1"/>
      <x:c r="E65" s="1"/>
      <x:c r="F65" s="1"/>
      <x:c r="G65" s="1"/>
      <x:c r="H65" s="36"/>
      <x:c r="I65" s="1"/>
      <x:c r="J65" s="6"/>
      <x:c r="K65" s="6"/>
    </x:row>
    <x:row r="66">
      <x:c r="B66" s="1" t="s">
        <x:v>510</x:v>
      </x:c>
      <x:c r="C66" s="34">
        <x:v>155</x:v>
      </x:c>
      <x:c r="D66" s="1"/>
      <x:c r="E66" s="1"/>
      <x:c r="F66" s="1"/>
      <x:c r="G66" s="1"/>
      <x:c r="H66" s="36"/>
      <x:c r="I66" s="1"/>
      <x:c r="J66" s="6"/>
      <x:c r="K66" s="6"/>
    </x:row>
    <x:row r="67">
      <x:c r="B67" s="1" t="s">
        <x:v>511</x:v>
      </x:c>
      <x:c r="C67" s="34">
        <x:v>128</x:v>
      </x:c>
      <x:c r="D67" s="1"/>
      <x:c r="E67" s="1"/>
      <x:c r="F67" s="1"/>
      <x:c r="G67" s="1"/>
      <x:c r="H67" s="36"/>
      <x:c r="I67" s="1"/>
      <x:c r="J67" s="6"/>
      <x:c r="K67" s="6"/>
    </x:row>
    <x:row r="68">
      <x:c r="B68" s="1" t="s">
        <x:v>512</x:v>
      </x:c>
      <x:c r="C68" s="34">
        <x:v>9.52</x:v>
      </x:c>
      <x:c r="D68" s="1"/>
      <x:c r="E68" s="1"/>
      <x:c r="F68" s="1"/>
      <x:c r="G68" s="1"/>
      <x:c r="H68" s="36"/>
      <x:c r="I68" s="1"/>
      <x:c r="J68" s="6"/>
      <x:c r="K68" s="6"/>
    </x:row>
    <x:row r="69">
      <x:c r="B69" s="1" t="s">
        <x:v>513</x:v>
      </x:c>
      <x:c r="C69" s="34">
        <x:v>5</x:v>
      </x:c>
      <x:c r="D69" s="1"/>
      <x:c r="E69" s="1"/>
      <x:c r="F69" s="1"/>
      <x:c r="G69" s="1"/>
      <x:c r="H69" s="36"/>
      <x:c r="I69" s="1"/>
      <x:c r="J69" s="6"/>
      <x:c r="K69" s="6"/>
    </x:row>
    <x:row r="70">
      <x:c r="B70" s="1" t="s">
        <x:v>514</x:v>
      </x:c>
      <x:c r="C70" s="34" t="s">
        <x:v>515</x:v>
      </x:c>
      <x:c r="D70" s="1"/>
      <x:c r="E70" s="1"/>
      <x:c r="F70" s="1"/>
      <x:c r="G70" s="1"/>
      <x:c r="H70" s="36"/>
      <x:c r="I70" s="1"/>
      <x:c r="J70" s="6"/>
      <x:c r="K70" s="6"/>
    </x:row>
    <x:row r="71">
      <x:c r="B71" s="1" t="s">
        <x:v>516</x:v>
      </x:c>
      <x:c r="C71" s="34">
        <x:v>1.88</x:v>
      </x:c>
      <x:c r="D71" s="1"/>
      <x:c r="E71" s="1"/>
      <x:c r="F71" s="1"/>
      <x:c r="G71" s="1"/>
      <x:c r="H71" s="36"/>
      <x:c r="I71" s="1"/>
      <x:c r="J71" s="6"/>
      <x:c r="K71" s="6"/>
    </x:row>
    <x:row r="72">
      <x:c r="B72" s="1" t="s">
        <x:v>517</x:v>
      </x:c>
      <x:c r="C72" s="34">
        <x:v>120.56</x:v>
      </x:c>
      <x:c r="D72" s="1"/>
      <x:c r="E72" s="1"/>
      <x:c r="F72" s="1"/>
      <x:c r="G72" s="1"/>
      <x:c r="H72" s="36"/>
      <x:c r="I72" s="1"/>
      <x:c r="J72" s="6"/>
      <x:c r="K72" s="6"/>
    </x:row>
    <x:row r="73">
      <x:c r="B73" s="1" t="s">
        <x:v>518</x:v>
      </x:c>
      <x:c r="C73" s="34" t="s">
        <x:v>519</x:v>
      </x:c>
      <x:c r="D73" s="1"/>
      <x:c r="E73" s="1"/>
      <x:c r="F73" s="1"/>
      <x:c r="G73" s="1"/>
      <x:c r="H73" s="36"/>
      <x:c r="I73" s="1"/>
      <x:c r="J73" s="6"/>
      <x:c r="K73" s="6"/>
    </x:row>
    <x:row r="74">
      <x:c r="B74" s="1"/>
      <x:c r="C74" s="1"/>
      <x:c r="D74" s="1"/>
      <x:c r="E74" s="1"/>
      <x:c r="F74" s="1"/>
      <x:c r="G74" s="1"/>
      <x:c r="H74" s="36"/>
      <x:c r="I74" s="1"/>
      <x:c r="J74" s="6"/>
      <x:c r="K74" s="6"/>
    </x:row>
    <x:row r="75">
      <x:c r="B75" s="1" t="s">
        <x:v>520</x:v>
      </x:c>
      <x:c r="C75" s="1" t="s">
        <x:v>521</x:v>
      </x:c>
      <x:c r="D75" s="1"/>
      <x:c r="E75" s="1"/>
      <x:c r="F75" s="1"/>
      <x:c r="G75" s="1"/>
      <x:c r="H75" s="36"/>
      <x:c r="I75" s="1"/>
      <x:c r="J75" s="6"/>
      <x:c r="K75" s="6"/>
    </x:row>
    <x:row r="76">
      <x:c r="B76" s="1" t="s">
        <x:v>522</x:v>
      </x:c>
      <x:c r="C76" s="34">
        <x:v>46289</x:v>
      </x:c>
      <x:c r="D76" s="1"/>
      <x:c r="E76" s="1"/>
      <x:c r="F76" s="1"/>
      <x:c r="G76" s="1"/>
      <x:c r="H76" s="36"/>
      <x:c r="I76" s="1"/>
      <x:c r="J76" s="6"/>
      <x:c r="K76" s="6"/>
    </x:row>
    <x:row r="77">
      <x:c r="B77" s="1" t="s">
        <x:v>523</x:v>
      </x:c>
      <x:c r="C77" s="1" t="s">
        <x:v>432</x:v>
      </x:c>
      <x:c r="D77" s="1"/>
      <x:c r="E77" s="1"/>
      <x:c r="F77" s="1"/>
      <x:c r="G77" s="1"/>
      <x:c r="H77" s="36"/>
      <x:c r="I77" s="1"/>
      <x:c r="J77" s="6"/>
      <x:c r="K77" s="6"/>
    </x:row>
    <x:row r="78">
      <x:c r="B78" s="1" t="s">
        <x:v>524</x:v>
      </x:c>
      <x:c r="C78" s="1" t="s">
        <x:v>434</x:v>
      </x:c>
      <x:c r="D78" s="1"/>
      <x:c r="E78" s="1"/>
      <x:c r="F78" s="1"/>
      <x:c r="G78" s="1"/>
      <x:c r="H78" s="36"/>
      <x:c r="I78" s="1"/>
      <x:c r="J78" s="6"/>
      <x:c r="K78" s="6"/>
    </x:row>
    <x:row r="79">
      <x:c r="H79" s="2"/>
    </x:row>
    <x:row r="80">
      <x:c r="B80" s="1" t="s">
        <x:v>525</x:v>
      </x:c>
      <x:c r="C80" s="48">
        <x:v>0.67</x:v>
      </x:c>
      <x:c r="D80" s="1"/>
      <x:c r="E80" s="1"/>
      <x:c r="F80" s="1"/>
      <x:c r="G80" s="1"/>
      <x:c r="H80" s="36"/>
      <x:c r="I80" s="1"/>
      <x:c r="J80" s="1" t="s">
        <x:v>526</x:v>
      </x:c>
    </x:row>
    <x:row r="81">
      <x:c r="B81" s="1" t="s">
        <x:v>527</x:v>
      </x:c>
      <x:c r="C81" s="34" t="s">
        <x:v>528</x:v>
      </x:c>
      <x:c r="D81" s="1"/>
      <x:c r="E81" s="1"/>
      <x:c r="F81" s="1"/>
      <x:c r="G81" s="1"/>
      <x:c r="H81" s="36"/>
      <x:c r="I81" s="1"/>
      <x:c r="J81" s="1"/>
    </x:row>
    <x:row r="82">
      <x:c r="H82" s="2"/>
    </x:row>
    <x:row r="83">
      <x:c r="H83" s="2"/>
    </x:row>
    <x:row r="84">
      <x:c r="H84" s="2"/>
    </x:row>
    <x:row r="85">
      <x:c r="H85" s="2"/>
    </x:row>
    <x:row r="86">
      <x:c r="H86" s="2"/>
    </x:row>
    <x:row r="87">
      <x:c r="H87" s="2"/>
    </x:row>
    <x:row r="88">
      <x:c r="H88" s="2"/>
    </x:row>
    <x:row r="89">
      <x:c r="H89" s="2"/>
    </x:row>
    <x:row r="90">
      <x:c r="H90" s="2"/>
    </x:row>
    <x:row r="91">
      <x:c r="H91" s="2"/>
    </x:row>
    <x:row r="92">
      <x:c r="H92" s="2"/>
    </x:row>
    <x:row r="93">
      <x:c r="H93" s="2"/>
    </x:row>
    <x:row r="94">
      <x:c r="H94" s="2"/>
    </x:row>
    <x:row r="95">
      <x:c r="H95" s="2"/>
    </x:row>
    <x:row r="96">
      <x:c r="H96" s="2"/>
    </x:row>
    <x:row r="97">
      <x:c r="H97" s="2"/>
    </x:row>
    <x:row r="98">
      <x:c r="H98" s="2"/>
    </x:row>
    <x:row r="99">
      <x:c r="H99" s="2"/>
    </x:row>
    <x:row r="100">
      <x:c r="H100" s="2"/>
    </x:row>
    <x:row r="101">
      <x:c r="H101" s="2"/>
    </x:row>
    <x:row r="102">
      <x:c r="H102" s="2"/>
    </x:row>
    <x:row r="103">
      <x:c r="H103" s="2"/>
    </x:row>
    <x:row r="104">
      <x:c r="H104" s="2"/>
    </x:row>
    <x:row r="105">
      <x:c r="H105" s="2"/>
    </x:row>
    <x:row r="106">
      <x:c r="H106" s="2"/>
    </x:row>
    <x:row r="107">
      <x:c r="H107" s="2"/>
    </x:row>
    <x:row r="108">
      <x:c r="H108" s="2"/>
    </x:row>
    <x:row r="109">
      <x:c r="H109" s="2"/>
    </x:row>
    <x:row r="110">
      <x:c r="H110" s="2"/>
    </x:row>
    <x:row r="111">
      <x:c r="H111" s="2"/>
    </x:row>
    <x:row r="112">
      <x:c r="H112" s="2"/>
    </x:row>
    <x:row r="113">
      <x:c r="H113" s="2"/>
    </x:row>
    <x:row r="114">
      <x:c r="H114" s="2"/>
    </x:row>
    <x:row r="115">
      <x:c r="H115" s="2"/>
    </x:row>
    <x:row r="116">
      <x:c r="H116" s="2"/>
    </x:row>
    <x:row r="117">
      <x:c r="H117" s="2"/>
    </x:row>
    <x:row r="118">
      <x:c r="H118" s="2"/>
    </x:row>
    <x:row r="119">
      <x:c r="H119" s="2"/>
    </x:row>
    <x:row r="120">
      <x:c r="H120" s="2"/>
    </x:row>
    <x:row r="121">
      <x:c r="H121" s="2"/>
    </x:row>
    <x:row r="122">
      <x:c r="H122" s="2"/>
    </x:row>
    <x:row r="123">
      <x:c r="H123" s="2"/>
    </x:row>
    <x:row r="124">
      <x:c r="H124" s="2"/>
    </x:row>
    <x:row r="125">
      <x:c r="H125" s="2"/>
    </x:row>
    <x:row r="126">
      <x:c r="H126" s="2"/>
    </x:row>
    <x:row r="127">
      <x:c r="H127" s="2"/>
    </x:row>
    <x:row r="128">
      <x:c r="H128" s="2"/>
    </x:row>
    <x:row r="129">
      <x:c r="H129" s="2"/>
    </x:row>
    <x:row r="130">
      <x:c r="H130" s="2"/>
    </x:row>
    <x:row r="131">
      <x:c r="H131" s="2"/>
    </x:row>
    <x:row r="132">
      <x:c r="H132" s="2"/>
    </x:row>
    <x:row r="133">
      <x:c r="H133" s="2"/>
    </x:row>
    <x:row r="134">
      <x:c r="H134" s="2"/>
    </x:row>
    <x:row r="135">
      <x:c r="H135" s="2"/>
    </x:row>
    <x:row r="136">
      <x:c r="H136" s="2"/>
    </x:row>
    <x:row r="137">
      <x:c r="H137" s="2"/>
    </x:row>
    <x:row r="138">
      <x:c r="H138" s="2"/>
    </x:row>
    <x:row r="139">
      <x:c r="H139" s="2"/>
    </x:row>
    <x:row r="140">
      <x:c r="H140" s="2"/>
    </x:row>
    <x:row r="141">
      <x:c r="H141" s="2"/>
    </x:row>
    <x:row r="142">
      <x:c r="H142" s="2"/>
    </x:row>
    <x:row r="143">
      <x:c r="H143" s="2"/>
    </x:row>
    <x:row r="144">
      <x:c r="H144" s="2"/>
    </x:row>
    <x:row r="145">
      <x:c r="H145" s="2"/>
    </x:row>
    <x:row r="146">
      <x:c r="H146" s="2"/>
    </x:row>
    <x:row r="147">
      <x:c r="H147" s="2"/>
    </x:row>
    <x:row r="148">
      <x:c r="H148" s="2"/>
    </x:row>
    <x:row r="149">
      <x:c r="H149" s="2"/>
    </x:row>
    <x:row r="150">
      <x:c r="H150" s="2"/>
    </x:row>
    <x:row r="151">
      <x:c r="H151" s="2"/>
    </x:row>
    <x:row r="152">
      <x:c r="H152" s="2"/>
    </x:row>
    <x:row r="153">
      <x:c r="H153" s="2"/>
    </x:row>
    <x:row r="154">
      <x:c r="H154" s="2"/>
    </x:row>
    <x:row r="155">
      <x:c r="H155" s="2"/>
    </x:row>
    <x:row r="156">
      <x:c r="H156" s="2"/>
    </x:row>
    <x:row r="157">
      <x:c r="H157" s="2"/>
    </x:row>
    <x:row r="158">
      <x:c r="H158" s="2"/>
    </x:row>
    <x:row r="159">
      <x:c r="H159" s="2"/>
    </x:row>
    <x:row r="160">
      <x:c r="H160" s="2"/>
    </x:row>
  </x:sheetData>
  <x:pageMargins left="0.7" right="0.7" top="0.75" bottom="0.75" header="0.3" footer="0.3"/>
  <x:legacyDrawing xmlns:r="http://schemas.openxmlformats.org/officeDocument/2006/relationships" r:id="Reeaf878829b24062"/>
</x:worksheet>
</file>