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4c668f63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88023bf3f11b4c33"/>
    <x:sheet xmlns:r="http://schemas.openxmlformats.org/officeDocument/2006/relationships" name="Revenue summary" sheetId="2" r:id="R9884fa9048c94d3a"/>
    <x:sheet xmlns:r="http://schemas.openxmlformats.org/officeDocument/2006/relationships" name="Segment - Americas" sheetId="3" r:id="R5a9ac6310af248a8"/>
    <x:sheet xmlns:r="http://schemas.openxmlformats.org/officeDocument/2006/relationships" name="Segment - EMEA" sheetId="4" r:id="R4bd5494d01e0417f"/>
    <x:sheet xmlns:r="http://schemas.openxmlformats.org/officeDocument/2006/relationships" name="Segment - Asia Pacific" sheetId="5" r:id="R3495a00a35824eef"/>
    <x:sheet xmlns:r="http://schemas.openxmlformats.org/officeDocument/2006/relationships" name="Income Statement" sheetId="6" r:id="R305b613cba274701"/>
    <x:sheet xmlns:r="http://schemas.openxmlformats.org/officeDocument/2006/relationships" name="Balance Sheet" sheetId="7" r:id="R08b02aa6ca354d37"/>
    <x:sheet xmlns:r="http://schemas.openxmlformats.org/officeDocument/2006/relationships" name="Cash Flow Statement" sheetId="8" r:id="R7bde411188eb4647"/>
    <x:sheet xmlns:r="http://schemas.openxmlformats.org/officeDocument/2006/relationships" name="Geo" sheetId="9" r:id="Rf8489dcca24142dc"/>
    <x:sheet xmlns:r="http://schemas.openxmlformats.org/officeDocument/2006/relationships" name="Share Count" sheetId="10" r:id="R9b3cd427d0e44e94"/>
    <x:sheet xmlns:r="http://schemas.openxmlformats.org/officeDocument/2006/relationships" name="Guidance" sheetId="11" r:id="Rbfc6b71e75684543"/>
    <x:sheet xmlns:r="http://schemas.openxmlformats.org/officeDocument/2006/relationships" name="Sources" sheetId="12" r:id="Rbae872d8aa7b4461"/>
    <x:sheet xmlns:r="http://schemas.openxmlformats.org/officeDocument/2006/relationships" name="Inputs" sheetId="13" r:id="R4984595308ae45b2"/>
  </x:sheets>
</x:workbook>
</file>

<file path=xl/sharedStrings.xml><?xml version="1.0" encoding="utf-8"?>
<x:sst xmlns:x="http://schemas.openxmlformats.org/spreadsheetml/2006/main">
  <x:si>
    <x:t xml:space="preserve">Accenture plc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</x:si>
  <x:si>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</x:si>
  <x:si>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</x:si>
  <x:si>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</x:si>
  <x:si>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</x:si>
  <x:si>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</x:si>
  <x:si>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</x:si>
  <x:si>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</x:si>
  <x:si>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</x:si>
  <x:si>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</x:si>
  <x:si>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Period end</x:t>
  </x:si>
  <x:si>
    <x:t xml:space="preserve">Days in period</x:t>
  </x:si>
  <x:si>
    <x:t xml:space="preserve">Company</x:t>
  </x:si>
  <x:si>
    <x:t xml:space="preserve">Ticker / exchange</x:t>
  </x:si>
  <x:si>
    <x:t xml:space="preserve">ACN / NYSE</x:t>
  </x:si>
  <x:si>
    <x:t xml:space="preserve">Fiscal year-end</x:t>
  </x:si>
  <x:si>
    <x:t xml:space="preserve">Fiscal year ends Aug 31</x:t>
  </x:si>
  <x:si>
    <x:t xml:space="preserve">Currency and per-share units</x:t>
  </x:si>
  <x:si>
    <x:t xml:space="preserve">USD millions; USD per Class A ordinary share</x:t>
  </x:si>
  <x:si>
    <x:t xml:space="preserve">EPS basis</x:t>
  </x:si>
  <x:si>
    <x:t xml:space="preserve">Adjusted (normalized) diluted, USD / Class A share</x:t>
  </x:si>
  <x:si>
    <x:t xml:space="preserve">Information cutoff, UTC</x:t>
  </x:si>
  <x:si>
    <x:t xml:space="preserve">2026-09-29T16:49:46.891847+00:00</x:t>
  </x:si>
  <x:si>
    <x:t xml:space="preserve">Expected report</x:t>
  </x:si>
  <x:si>
    <x:t xml:space="preserve">Forecast comparison</x:t>
  </x:si>
  <x:si>
    <x:t xml:space="preserve">Shortcut estimate</x:t>
  </x:si>
  <x:si>
    <x:t xml:space="preserve">Street 9/24</x:t>
  </x:si>
  <x:si>
    <x:t xml:space="preserve">Δ vs Street</x:t>
  </x:si>
  <x:si>
    <x:t xml:space="preserve">Guide midpoint</x:t>
  </x:si>
  <x:si>
    <x:t xml:space="preserve">Revenue ($m)</x:t>
  </x:si>
  <x:si>
    <x:t xml:space="preserve">Normalized net income for diluted EPS ($m)</x:t>
  </x:si>
  <x:si>
    <x:t xml:space="preserve">Unavailable</x:t>
  </x:si>
  <x:si>
    <x:t xml:space="preserve">Normalized diluted EPS ($)</x:t>
  </x:si>
  <x:si>
    <x:t xml:space="preserve">GAAP diluted EPS ($)</x:t>
  </x:si>
  <x:si>
    <x:t xml:space="preserve">P(beat consensus EPS)</x:t>
  </x:si>
  <x:si>
    <x:t xml:space="preserve">Confidence</x:t>
  </x:si>
  <x:si>
    <x:t xml:space="preserve">medium</x:t>
  </x:si>
  <x:si>
    <x:t xml:space="preserve">Original September 24 consensus frozen; Sep 28 public preview of $3.19 is separately noted in Sources.</x:t>
  </x:si>
  <x:si>
    <x:t xml:space="preserve">Revenue summary</x:t>
  </x:si>
  <x:si>
    <x:t xml:space="preserve">Americas segment revenue</x:t>
  </x:si>
  <x:si>
    <x:t xml:space="preserve">   Revenue Y/Y</x:t>
  </x:si>
  <x:si>
    <x:t xml:space="preserve">   Revenue Q/Q</x:t>
  </x:si>
  <x:si>
    <x:t xml:space="preserve">   Share of total revenue</x:t>
  </x:si>
  <x:si>
    <x:t xml:space="preserve">   Organic/local-currency growth</x:t>
  </x:si>
  <x:si>
    <x:t xml:space="preserve">   M&amp;A or scope impact</x:t>
  </x:si>
  <x:si>
    <x:t xml:space="preserve">   FX impact</x:t>
  </x:si>
  <x:si>
    <x:t xml:space="preserve">EMEA segment revenue</x:t>
  </x:si>
  <x:si>
    <x:t xml:space="preserve">Asia Pacific segment revenue</x:t>
  </x:si>
  <x:si>
    <x:t xml:space="preserve">Total revenue</x:t>
  </x:si>
  <x:si>
    <x:t xml:space="preserve">  Total revenue Y/Y growth</x:t>
  </x:si>
  <x:si>
    <x:t xml:space="preserve">  Total revenue sequential growth</x:t>
  </x:si>
  <x:si>
    <x:t xml:space="preserve">  CapIQ reported revenue precision delta</x:t>
  </x:si>
  <x:si>
    <x:t xml:space="preserve">Industry-group revenues (different cross-section)</x:t>
  </x:si>
  <x:si>
    <x:t xml:space="preserve">Communications, Media &amp; Technology</x:t>
  </x:si>
  <x:si>
    <x:t xml:space="preserve">   Growth Y/Y</x:t>
  </x:si>
  <x:si>
    <x:t xml:space="preserve">   Mix of group</x:t>
  </x:si>
  <x:si>
    <x:t xml:space="preserve">   Sequential change</x:t>
  </x:si>
  <x:si>
    <x:t xml:space="preserve">Financial Services</x:t>
  </x:si>
  <x:si>
    <x:t xml:space="preserve">Health &amp; Public Service</x:t>
  </x:si>
  <x:si>
    <x:t xml:space="preserve">Products</x:t>
  </x:si>
  <x:si>
    <x:t xml:space="preserve">Resources</x:t>
  </x:si>
  <x:si>
    <x:t xml:space="preserve">Type-of-work revenues (different cross-section)</x:t>
  </x:si>
  <x:si>
    <x:t xml:space="preserve">Consulting</x:t>
  </x:si>
  <x:si>
    <x:t xml:space="preserve">   Revenue growth Y/Y</x:t>
  </x:si>
  <x:si>
    <x:t xml:space="preserve">   Mix of total</x:t>
  </x:si>
  <x:si>
    <x:t xml:space="preserve">Managed Services</x:t>
  </x:si>
  <x:si>
    <x:t xml:space="preserve">Segment revenue less company revenue — check</x:t>
  </x:si>
  <x:si>
    <x:t xml:space="preserve">FY25 quarterly-coverage reconciliation</x:t>
  </x:si>
  <x:si>
    <x:t xml:space="preserve">FY25 Q1 revenue (audited 10-K)</x:t>
  </x:si>
  <x:si>
    <x:t xml:space="preserve">FY25 sum Q1–Q4 revenue</x:t>
  </x:si>
  <x:si>
    <x:t xml:space="preserve">FY25 revenue less four quarterly revenues</x:t>
  </x:si>
  <x:si>
    <x:t xml:space="preserve">CapIQ rounds latest history to 0.01 million; quarterly FY25 statement uses SEC exact $ thousands.</x:t>
  </x:si>
  <x:si>
    <x:t xml:space="preserve">Communications, Media &amp; Technology reported revenue</x:t>
  </x:si>
  <x:si>
    <x:t xml:space="preserve">   Organic/local revenue growth (proxy)</x:t>
  </x:si>
  <x:si>
    <x:t xml:space="preserve">   M&amp;A/scope growth; not disclosed separately</x:t>
  </x:si>
  <x:si>
    <x:t xml:space="preserve">   FX growth impact</x:t>
  </x:si>
  <x:si>
    <x:t xml:space="preserve">   Total Y/Y revenue growth</x:t>
  </x:si>
  <x:si>
    <x:t xml:space="preserve">Financial Services reported revenue</x:t>
  </x:si>
  <x:si>
    <x:t xml:space="preserve">Health &amp; Public Service reported revenue</x:t>
  </x:si>
  <x:si>
    <x:t xml:space="preserve">Products reported revenue</x:t>
  </x:si>
  <x:si>
    <x:t xml:space="preserve">Resources reported revenue</x:t>
  </x:si>
  <x:si>
    <x:t xml:space="preserve">Consulting reported revenue</x:t>
  </x:si>
  <x:si>
    <x:t xml:space="preserve">Managed Services reported revenue</x:t>
  </x:si>
  <x:si>
    <x:t xml:space="preserve">Segment - Americas</x:t>
  </x:si>
  <x:si>
    <x:t xml:space="preserve">Prior-year segment revenue</x:t>
  </x:si>
  <x:si>
    <x:t xml:space="preserve">   Prior-year revenue growth (where sourced)</x:t>
  </x:si>
  <x:si>
    <x:t xml:space="preserve">   Prior revenue Q/Q change</x:t>
  </x:si>
  <x:si>
    <x:t xml:space="preserve">Organic / local-currency revenue growth</x:t>
  </x:si>
  <x:si>
    <x:t xml:space="preserve">M&amp;A or scope growth (not separately disclosed)</x:t>
  </x:si>
  <x:si>
    <x:t xml:space="preserve">FX growth impact</x:t>
  </x:si>
  <x:si>
    <x:t xml:space="preserve">Total revenue growth Y/Y</x:t>
  </x:si>
  <x:si>
    <x:t xml:space="preserve">   Revenue growth Q/Q</x:t>
  </x:si>
  <x:si>
    <x:t xml:space="preserve">Segment revenue</x:t>
  </x:si>
  <x:si>
    <x:t xml:space="preserve">   Revenue share of company</x:t>
  </x:si>
  <x:si>
    <x:t xml:space="preserve">   Revenue sequential $ change</x:t>
  </x:si>
  <x:si>
    <x:t xml:space="preserve">Payroll and delivery employee costs</x:t>
  </x:si>
  <x:si>
    <x:t xml:space="preserve">   Payroll Y/Y change</x:t>
  </x:si>
  <x:si>
    <x:t xml:space="preserve">   Payroll sequential $ change</x:t>
  </x:si>
  <x:si>
    <x:t xml:space="preserve">Non-payroll incl. subcontractors</x:t>
  </x:si>
  <x:si>
    <x:t xml:space="preserve">   Non-payroll Y/Y change</x:t>
  </x:si>
  <x:si>
    <x:t xml:space="preserve">   Non-payroll sequential $ change</x:t>
  </x:si>
  <x:si>
    <x:t xml:space="preserve">Depreciation and amortization</x:t>
  </x:si>
  <x:si>
    <x:t xml:space="preserve">Business optimization costs</x:t>
  </x:si>
  <x:si>
    <x:t xml:space="preserve">Total segment operating costs</x:t>
  </x:si>
  <x:si>
    <x:t xml:space="preserve">Segment operating income</x:t>
  </x:si>
  <x:si>
    <x:t xml:space="preserve">   Segment operating margin</x:t>
  </x:si>
  <x:si>
    <x:t xml:space="preserve">   Operating margin Y/Y (bp)</x:t>
  </x:si>
  <x:si>
    <x:t xml:space="preserve">   Operating margin Q/Q (bp)</x:t>
  </x:si>
  <x:si>
    <x:t xml:space="preserve">Reported segment net assets</x:t>
  </x:si>
  <x:si>
    <x:t xml:space="preserve">Reported segment property and equipment</x:t>
  </x:si>
  <x:si>
    <x:t xml:space="preserve">Revenue to operating income bridge check</x:t>
  </x:si>
  <x:si>
    <x:t xml:space="preserve">Issuer reported local-currency growth (rounded)</x:t>
  </x:si>
  <x:si>
    <x:t xml:space="preserve">Year-ago comparable payroll, $m</x:t>
  </x:si>
  <x:si>
    <x:t xml:space="preserve">Year-ago comparable non-payroll, $m</x:t>
  </x:si>
  <x:si>
    <x:t xml:space="preserve">Year-ago comparable D&amp;A, $m</x:t>
  </x:si>
  <x:si>
    <x:t xml:space="preserve">Prior-year operating margin</x:t>
  </x:si>
  <x:si>
    <x:t xml:space="preserve">Prior-year operating income ($m)</x:t>
  </x:si>
  <x:si>
    <x:t xml:space="preserve">Segment - EMEA</x:t>
  </x:si>
  <x:si>
    <x:t xml:space="preserve">Segment - Asia Pacific</x:t>
  </x:si>
  <x:si>
    <x:t xml:space="preserve">Income Statement</x:t>
  </x:si>
  <x:si>
    <x:t xml:space="preserve">   Revenue Y/Y growth</x:t>
  </x:si>
  <x:si>
    <x:t xml:space="preserve">Cost of services</x:t>
  </x:si>
  <x:si>
    <x:t xml:space="preserve">Gross profit</x:t>
  </x:si>
  <x:si>
    <x:t xml:space="preserve">   Gross margin</x:t>
  </x:si>
  <x:si>
    <x:t xml:space="preserve">Sales and marketing</x:t>
  </x:si>
  <x:si>
    <x:t xml:space="preserve">General and administrative</x:t>
  </x:si>
  <x:si>
    <x:t xml:space="preserve">Operating income</x:t>
  </x:si>
  <x:si>
    <x:t xml:space="preserve">   Operating margin</x:t>
  </x:si>
  <x:si>
    <x:t xml:space="preserve">Interest income</x:t>
  </x:si>
  <x:si>
    <x:t xml:space="preserve">Interest expense (negative)</x:t>
  </x:si>
  <x:si>
    <x:t xml:space="preserve">Other income / (expense)</x:t>
  </x:si>
  <x:si>
    <x:t xml:space="preserve">Pretax income</x:t>
  </x:si>
  <x:si>
    <x:t xml:space="preserve">Income tax expense</x:t>
  </x:si>
  <x:si>
    <x:t xml:space="preserve">   Effective tax rate</x:t>
  </x:si>
  <x:si>
    <x:t xml:space="preserve">Net income, consolidated</x:t>
  </x:si>
  <x:si>
    <x:t xml:space="preserve">Canada exchangeable-share minority (negative)</x:t>
  </x:si>
  <x:si>
    <x:t xml:space="preserve">Other minority interests (negative)</x:t>
  </x:si>
  <x:si>
    <x:t xml:space="preserve">Net income attributable to Accenture plc</x:t>
  </x:si>
  <x:si>
    <x:t xml:space="preserve">Add back exchangeable minority for diluted EPS</x:t>
  </x:si>
  <x:si>
    <x:t xml:space="preserve">GAAP diluted EPS numerator</x:t>
  </x:si>
  <x:si>
    <x:t xml:space="preserve">Basic weighted-average shares, million</x:t>
  </x:si>
  <x:si>
    <x:t xml:space="preserve">Diluted weighted-average shares, million</x:t>
  </x:si>
  <x:si>
    <x:t xml:space="preserve">GAAP diluted EPS</x:t>
  </x:si>
  <x:si>
    <x:t xml:space="preserve">   EPS numerator/denominator check</x:t>
  </x:si>
  <x:si>
    <x:t xml:space="preserve">GAAP → normalized EPS bridge</x:t>
  </x:si>
  <x:si>
    <x:t xml:space="preserve">Optimization expense add-back, pretax</x:t>
  </x:si>
  <x:si>
    <x:t xml:space="preserve">Tax effect on optimization adjustment (negative)</x:t>
  </x:si>
  <x:si>
    <x:t xml:space="preserve">After-tax optimization adjustment</x:t>
  </x:si>
  <x:si>
    <x:t xml:space="preserve">Normalized net income attributable to parent</x:t>
  </x:si>
  <x:si>
    <x:t xml:space="preserve">Normalized diluted EPS numerator / net income basis</x:t>
  </x:si>
  <x:si>
    <x:t xml:space="preserve">Normalized diluted EPS</x:t>
  </x:si>
  <x:si>
    <x:t xml:space="preserve">   Normalized minus GAAP EPS</x:t>
  </x:si>
  <x:si>
    <x:t xml:space="preserve">   GAAP diluted EPS Y/Y</x:t>
  </x:si>
  <x:si>
    <x:t xml:space="preserve">   Operating income vs segment sum check</x:t>
  </x:si>
  <x:si>
    <x:t xml:space="preserve">   Gross margin Y/Y (bp)</x:t>
  </x:si>
  <x:si>
    <x:t xml:space="preserve">   EPS forecast / normalized NI check</x:t>
  </x:si>
  <x:si>
    <x:t xml:space="preserve">FY25 Q1 cost of services (audited 10-K)</x:t>
  </x:si>
  <x:si>
    <x:t xml:space="preserve">FY25 Q2 cost of services (audited 10-K)</x:t>
  </x:si>
  <x:si>
    <x:t xml:space="preserve">FY25 Q3 cost of services (audited 10-K)</x:t>
  </x:si>
  <x:si>
    <x:t xml:space="preserve">FY25 cost of services sum Q1–Q4</x:t>
  </x:si>
  <x:si>
    <x:t xml:space="preserve">FY25 cost of services less four quarters</x:t>
  </x:si>
  <x:si>
    <x:t xml:space="preserve">FY25 gross profit versus quarterly sum</x:t>
  </x:si>
  <x:si>
    <x:t xml:space="preserve">Balance Sheet</x:t>
  </x:si>
  <x:si>
    <x:t xml:space="preserve">Cash and cash equivalents</x:t>
  </x:si>
  <x:si>
    <x:t xml:space="preserve">Short-term investments</x:t>
  </x:si>
  <x:si>
    <x:t xml:space="preserve">Receivables and contract assets</x:t>
  </x:si>
  <x:si>
    <x:t xml:space="preserve">Other current assets</x:t>
  </x:si>
  <x:si>
    <x:t xml:space="preserve">Total current assets</x:t>
  </x:si>
  <x:si>
    <x:t xml:space="preserve">Contract assets</x:t>
  </x:si>
  <x:si>
    <x:t xml:space="preserve">Investments</x:t>
  </x:si>
  <x:si>
    <x:t xml:space="preserve">Property and equipment, net</x:t>
  </x:si>
  <x:si>
    <x:t xml:space="preserve">Lease assets</x:t>
  </x:si>
  <x:si>
    <x:t xml:space="preserve">Goodwill</x:t>
  </x:si>
  <x:si>
    <x:t xml:space="preserve">Deferred contract costs</x:t>
  </x:si>
  <x:si>
    <x:t xml:space="preserve">Deferred tax assets</x:t>
  </x:si>
  <x:si>
    <x:t xml:space="preserve">Intangibles</x:t>
  </x:si>
  <x:si>
    <x:t xml:space="preserve">Other non-current assets</x:t>
  </x:si>
  <x:si>
    <x:t xml:space="preserve">Total non-current assets</x:t>
  </x:si>
  <x:si>
    <x:t xml:space="preserve">Total assets</x:t>
  </x:si>
  <x:si>
    <x:t xml:space="preserve">Current portion of long-term debt and bank borrowings</x:t>
  </x:si>
  <x:si>
    <x:t xml:space="preserve">Accounts payable</x:t>
  </x:si>
  <x:si>
    <x:t xml:space="preserve">Deferred revenues</x:t>
  </x:si>
  <x:si>
    <x:t xml:space="preserve">Accrued payroll and related benefits</x:t>
  </x:si>
  <x:si>
    <x:t xml:space="preserve">Income taxes payable</x:t>
  </x:si>
  <x:si>
    <x:t xml:space="preserve">Lease liabilities</x:t>
  </x:si>
  <x:si>
    <x:t xml:space="preserve">Other accrued liabilities</x:t>
  </x:si>
  <x:si>
    <x:t xml:space="preserve">Total current liabilities</x:t>
  </x:si>
  <x:si>
    <x:t xml:space="preserve">Long-term debt</x:t>
  </x:si>
  <x:si>
    <x:t xml:space="preserve">Deferred revenues (non-current)</x:t>
  </x:si>
  <x:si>
    <x:t xml:space="preserve">Retirement obligation</x:t>
  </x:si>
  <x:si>
    <x:t xml:space="preserve">Deferred tax liabilities</x:t>
  </x:si>
  <x:si>
    <x:t xml:space="preserve">Income taxes payable (non-current)</x:t>
  </x:si>
  <x:si>
    <x:t xml:space="preserve">Lease liabilities (non-current)</x:t>
  </x:si>
  <x:si>
    <x:t xml:space="preserve">Other non-current liabilities</x:t>
  </x:si>
  <x:si>
    <x:t xml:space="preserve">Total non-current liabilities</x:t>
  </x:si>
  <x:si>
    <x:t xml:space="preserve">Redeemable noncontrolling interests</x:t>
  </x:si>
  <x:si>
    <x:t xml:space="preserve">Redeemable interests presented between liabilities and permanent equity, included in balance check.</x:t>
  </x:si>
  <x:si>
    <x:t xml:space="preserve">Total liabilities incl. redeemable interests</x:t>
  </x:si>
  <x:si>
    <x:t xml:space="preserve">Total Accenture plc shareholders’ equity</x:t>
  </x:si>
  <x:si>
    <x:t xml:space="preserve">Forecast equity residual from unchanged noncash assets and liabilities; NOT management equity guidance.</x:t>
  </x:si>
  <x:si>
    <x:t xml:space="preserve">Noncontrolling interests</x:t>
  </x:si>
  <x:si>
    <x:t xml:space="preserve">Total shareholders equity</x:t>
  </x:si>
  <x:si>
    <x:t xml:space="preserve">Assets less liabilities less equity — check</x:t>
  </x:si>
  <x:si>
    <x:t xml:space="preserve">Cash Flow Statement</x:t>
  </x:si>
  <x:si>
    <x:t xml:space="preserve">Supporting SEC cumulative YTD cash disclosures (not forecast)</x:t>
  </x:si>
  <x:si>
    <x:t xml:space="preserve">Consolidated net income</x:t>
  </x:si>
  <x:si>
    <x:t xml:space="preserve">1Q26 YTD</x:t>
  </x:si>
  <x:si>
    <x:t xml:space="preserve">2Q26 YTD</x:t>
  </x:si>
  <x:si>
    <x:t xml:space="preserve">3Q26 YTD</x:t>
  </x:si>
  <x:si>
    <x:t xml:space="preserve">D&amp;A and other noncash</x:t>
  </x:si>
  <x:si>
    <x:t xml:space="preserve">Share-based compensation</x:t>
  </x:si>
  <x:si>
    <x:t xml:space="preserve">Working capital, deferred tax and other</x:t>
  </x:si>
  <x:si>
    <x:t xml:space="preserve">Cash provided by operations</x:t>
  </x:si>
  <x:si>
    <x:t xml:space="preserve">Capital expenditures</x:t>
  </x:si>
  <x:si>
    <x:t xml:space="preserve">Acquisitions and investments</x:t>
  </x:si>
  <x:si>
    <x:t xml:space="preserve">Investment and divestiture proceeds</x:t>
  </x:si>
  <x:si>
    <x:t xml:space="preserve">Other investing cash flows</x:t>
  </x:si>
  <x:si>
    <x:t xml:space="preserve">Cash from investing</x:t>
  </x:si>
  <x:si>
    <x:t xml:space="preserve">Cash proceeds from share issuances</x:t>
  </x:si>
  <x:si>
    <x:t xml:space="preserve">Cash share repurchases</x:t>
  </x:si>
  <x:si>
    <x:t xml:space="preserve">Net debt proceeds / (repayment)</x:t>
  </x:si>
  <x:si>
    <x:t xml:space="preserve">Dividends paid</x:t>
  </x:si>
  <x:si>
    <x:t xml:space="preserve">Other financing</x:t>
  </x:si>
  <x:si>
    <x:t xml:space="preserve">Cash from financing</x:t>
  </x:si>
  <x:si>
    <x:t xml:space="preserve">Currency translation of cash</x:t>
  </x:si>
  <x:si>
    <x:t xml:space="preserve">Net cash increase / (decrease)</x:t>
  </x:si>
  <x:si>
    <x:t xml:space="preserve">Cash at beginning of period</x:t>
  </x:si>
  <x:si>
    <x:t xml:space="preserve">Cash at end of period</x:t>
  </x:si>
  <x:si>
    <x:t xml:space="preserve">Cash less BS cash — check</x:t>
  </x:si>
  <x:si>
    <x:t xml:space="preserve">Free cash flow</x:t>
  </x:si>
  <x:si>
    <x:t xml:space="preserve">   Operating cash flow Y/Y</x:t>
  </x:si>
  <x:si>
    <x:t xml:space="preserve">   Free cash flow margin</x:t>
  </x:si>
  <x:si>
    <x:t xml:space="preserve">Geo</x:t>
  </x:si>
  <x:si>
    <x:t xml:space="preserve">Americas client-location revenue</x:t>
  </x:si>
  <x:si>
    <x:t xml:space="preserve">   Share of worldwide revenue</x:t>
  </x:si>
  <x:si>
    <x:t xml:space="preserve">EMEA client-location revenue</x:t>
  </x:si>
  <x:si>
    <x:t xml:space="preserve">Asia Pacific client-location revenue</x:t>
  </x:si>
  <x:si>
    <x:t xml:space="preserve">Total geographic revenue</x:t>
  </x:si>
  <x:si>
    <x:t xml:space="preserve">Geographies less company revenue — check</x:t>
  </x:si>
  <x:si>
    <x:t xml:space="preserve">Share Count</x:t>
  </x:si>
  <x:si>
    <x:t xml:space="preserve">Opening Class A shares outstanding, millions</x:t>
  </x:si>
  <x:si>
    <x:t xml:space="preserve">Share repurchases / redemptions, millions</x:t>
  </x:si>
  <x:si>
    <x:t xml:space="preserve">Issuance, vesting and other, millions</x:t>
  </x:si>
  <x:si>
    <x:t xml:space="preserve">Basic weighted-average shares, millions</x:t>
  </x:si>
  <x:si>
    <x:t xml:space="preserve">Diluted weighted-average shares, millions</x:t>
  </x:si>
  <x:si>
    <x:t xml:space="preserve">Dilutive securities / exchangeables</x:t>
  </x:si>
  <x:si>
    <x:t xml:space="preserve">Closing Class A shares outstanding, millions</x:t>
  </x:si>
  <x:si>
    <x:t xml:space="preserve">   Basic shares Y/Y</x:t>
  </x:si>
  <x:si>
    <x:t xml:space="preserve">   Diluted shares Y/Y</x:t>
  </x:si>
  <x:si>
    <x:t xml:space="preserve">   Diluted shares Q/Q change</x:t>
  </x:si>
  <x:si>
    <x:t xml:space="preserve">Cash cost of repurchases, $m</x:t>
  </x:si>
  <x:si>
    <x:t xml:space="preserve">Cash share issuance / incentive proceeds, $m</x:t>
  </x:si>
  <x:si>
    <x:t xml:space="preserve">Forecast implied repurchase price / share</x:t>
  </x:si>
  <x:si>
    <x:t xml:space="preserve">GAAP earnings per diluted share</x:t>
  </x:si>
  <x:si>
    <x:t xml:space="preserve">Normalized earnings per diluted share</x:t>
  </x:si>
  <x:si>
    <x:t xml:space="preserve">Guidance</x:t>
  </x:si>
  <x:si>
    <x:t xml:space="preserve">Guided metric</x:t>
  </x:si>
  <x:si>
    <x:t xml:space="preserve">Guidance date</x:t>
  </x:si>
  <x:si>
    <x:t xml:space="preserve">Low</x:t>
  </x:si>
  <x:si>
    <x:t xml:space="preserve">High</x:t>
  </x:si>
  <x:si>
    <x:t xml:space="preserve">Midpoint</x:t>
  </x:si>
  <x:si>
    <x:t xml:space="preserve">Forecast/actual</x:t>
  </x:si>
  <x:si>
    <x:t xml:space="preserve">vs midpoint</x:t>
  </x:si>
  <x:si>
    <x:t xml:space="preserve">Q4 revenue ($m)</x:t>
  </x:si>
  <x:si>
    <x:t xml:space="preserve">4Q26</x:t>
  </x:si>
  <x:si>
    <x:t xml:space="preserve">Q4 local-currency revenue growth</x:t>
  </x:si>
  <x:si>
    <x:t xml:space="preserve">Q4 FX impact</x:t>
  </x:si>
  <x:si>
    <x:t xml:space="preserve">FY26 local-currency revenue growth</x:t>
  </x:si>
  <x:si>
    <x:t xml:space="preserve">FY26</x:t>
  </x:si>
  <x:si>
    <x:t xml:space="preserve">FY26 local revenue growth ex federal</x:t>
  </x:si>
  <x:si>
    <x:t xml:space="preserve">FY26 expected FX impact</x:t>
  </x:si>
  <x:si>
    <x:t xml:space="preserve">FY26 GAAP operating margin</x:t>
  </x:si>
  <x:si>
    <x:t xml:space="preserve">FY26 adjusted operating margin</x:t>
  </x:si>
  <x:si>
    <x:t xml:space="preserve">FY26 effective tax rate</x:t>
  </x:si>
  <x:si>
    <x:t xml:space="preserve">FY26 GAAP diluted EPS</x:t>
  </x:si>
  <x:si>
    <x:t xml:space="preserve">FY26 adjusted diluted EPS</x:t>
  </x:si>
  <x:si>
    <x:t xml:space="preserve">FY26 operating cash flow ($m)</x:t>
  </x:si>
  <x:si>
    <x:t xml:space="preserve">FY26 capex ($m)</x:t>
  </x:si>
  <x:si>
    <x:t xml:space="preserve">FY26 free cash flow ($m)</x:t>
  </x:si>
  <x:si>
    <x:t xml:space="preserve">FY26 minimum shareholder return ($m)</x:t>
  </x:si>
  <x:si>
    <x:t xml:space="preserve">Q4 normalized EPS implied by FY midpoint</x:t>
  </x:si>
  <x:si>
    <x:t xml:space="preserve">Original Sep 24 normalized consensus</x:t>
  </x:si>
  <x:si>
    <x:t xml:space="preserve">FY forecast adjusted EPS vs guidance midpoint</x:t>
  </x:si>
  <x:si>
    <x:t xml:space="preserve">Q4 GAAP EPS implied by FY GAAP midpoint</x:t>
  </x:si>
  <x:si>
    <x:t xml:space="preserve">Sources</x:t>
  </x:si>
  <x:si>
    <x:t xml:space="preserve">ID</x:t>
  </x:si>
  <x:si>
    <x:t xml:space="preserve">Publication date</x:t>
  </x:si>
  <x:si>
    <x:t xml:space="preserve">Publisher</x:t>
  </x:si>
  <x:si>
    <x:t xml:space="preserve">URL / file</x:t>
  </x:si>
  <x:si>
    <x:t xml:space="preserve">Feeds and source qualification</x:t>
  </x:si>
  <x:si>
    <x:t xml:space="preserve">Notes</x:t>
  </x:si>
  <x:si>
    <x:t xml:space="preserve">S01</x:t>
  </x:si>
  <x:si>
    <x:t xml:space="preserve">S&amp;P Capital IQ</x:t>
  </x:si>
  <x:si>
    <x:t xml:space="preserve">ACN_consensus.json</x:t>
  </x:si>
  <x:si>
    <x:t xml:space="preserve">Full consensus summary / original scoring baseline; SHA256 95a8d43f707d4662e0d679d1ce50020e17c31f7e7035ffe075a6ae2abf417e62</x:t>
  </x:si>
  <x:si>
    <x:t xml:space="preserve">S02</x:t>
  </x:si>
  <x:si>
    <x:t xml:space="preserve">ACN_history.csv</x:t>
  </x:si>
  <x:si>
    <x:t xml:space="preserve">Six normalized/GAAP EPS and revenue surprises; SHA256 d5eb5acbc11328378c843c49604944962f09475daf379e51abff005d8b7edc92</x:t>
  </x:si>
  <x:si>
    <x:t xml:space="preserve">S03</x:t>
  </x:si>
  <x:si>
    <x:t xml:space="preserve">SEC</x:t>
  </x:si>
  <x:si>
    <x:t xml:space="preserve">https://www.sec.gov/Archives/edgar/data/1467373/000146737326000032/acn-20260531.htm</x:t>
  </x:si>
  <x:si>
    <x:t xml:space="preserve">Q3 FY26 10-Q; segment P&amp;L, balance and 9m cash flows</x:t>
  </x:si>
  <x:si>
    <x:t xml:space="preserve">S04</x:t>
  </x:si>
  <x:si>
    <x:t xml:space="preserve">https://www.sec.gov/Archives/edgar/data/1467373/000146737326000014/acn-20260228.htm</x:t>
  </x:si>
  <x:si>
    <x:t xml:space="preserve">Q2 FY26 10-Q; segment P&amp;L, balance and 6m cash flows</x:t>
  </x:si>
  <x:si>
    <x:t xml:space="preserve">S05</x:t>
  </x:si>
  <x:si>
    <x:t xml:space="preserve">https://www.sec.gov/Archives/edgar/data/1467373/000146737325000222/acn-20251130.htm</x:t>
  </x:si>
  <x:si>
    <x:t xml:space="preserve">Q1 FY26 10-Q; segment P&amp;L, balance, diluted shares</x:t>
  </x:si>
  <x:si>
    <x:t xml:space="preserve">S06</x:t>
  </x:si>
  <x:si>
    <x:t xml:space="preserve">https://www.sec.gov/Archives/edgar/data/1467373/000146737325000217/acn-20250831.htm</x:t>
  </x:si>
  <x:si>
    <x:t xml:space="preserve">FY25 10-K; audited annual statement and fiscal-quarter reconciliation</x:t>
  </x:si>
  <x:si>
    <x:t xml:space="preserve">S07</x:t>
  </x:si>
  <x:si>
    <x:t xml:space="preserve">https://www.sec.gov/Archives/edgar/data/1467373/000146737325000213/q4fy25earnings8-kexhibit.htm</x:t>
  </x:si>
  <x:si>
    <x:t xml:space="preserve">Q4 FY25 segment revenue, quarterly/annual P&amp;L, cash flow, adjusted EPS bridge</x:t>
  </x:si>
  <x:si>
    <x:t xml:space="preserve">S08</x:t>
  </x:si>
  <x:si>
    <x:t xml:space="preserve">https://www.sec.gov/Archives/edgar/data/1467373/000146737326000031/q3fy26earnings8-kexhibit.htm</x:t>
  </x:si>
  <x:si>
    <x:t xml:space="preserve">Q3 release: updated Q4/FY guidance, adjusted EPS bridge, bookings</x:t>
  </x:si>
  <x:si>
    <x:t xml:space="preserve">S09</x:t>
  </x:si>
  <x:si>
    <x:t xml:space="preserve">Accenture</x:t>
  </x:si>
  <x:si>
    <x:t xml:space="preserve">https://newsroom.accenture.com/news/2026/accenture-to-announce-fourth-quarter-and-full-year-fiscal-2026-results</x:t>
  </x:si>
  <x:si>
    <x:t xml:space="preserve">Issuer confirms results planned Oct 1 before 8am ET call</x:t>
  </x:si>
  <x:si>
    <x:t xml:space="preserve">S10</x:t>
  </x:si>
  <x:si>
    <x:t xml:space="preserve">Seeking Alpha</x:t>
  </x:si>
  <x:si>
    <x:t xml:space="preserve">https://seekingalpha.com/article/4947995-accenture-the-rally-has-only-just-begun-earnings-preview</x:t>
  </x:si>
  <x:si>
    <x:t xml:space="preserve">Nineteen Q4 sales estimate cuts in prior three months; no raises</x:t>
  </x:si>
  <x:si>
    <x:t xml:space="preserve">S11</x:t>
  </x:si>
  <x:si>
    <x:t xml:space="preserve">TIKR</x:t>
  </x:si>
  <x:si>
    <x:t xml:space="preserve">https://www.tikr.com/blog/accenture-reports-q4-earnings-october-1-what-the-stock-needs-to-show-to-break-its-slide</x:t>
  </x:si>
  <x:si>
    <x:t xml:space="preserve">Federal contracts slipping into FY27, booking execution risk</x:t>
  </x:si>
  <x:si>
    <x:t xml:space="preserve">S12</x:t>
  </x:si>
  <x:si>
    <x:t xml:space="preserve">Yahoo Finance</x:t>
  </x:si>
  <x:si>
    <x:t xml:space="preserve">https://finance.yahoo.com/markets/stocks/articles/accenture-q4-2026-earnings-expect-074552883.html</x:t>
  </x:si>
  <x:si>
    <x:t xml:space="preserve">Newer $3.19 preview differs from frozen Sep24 $3.18</x:t>
  </x:si>
  <x:si>
    <x:t xml:space="preserve">S13</x:t>
  </x:si>
  <x:si>
    <x:t xml:space="preserve">GuruFocus</x:t>
  </x:si>
  <x:si>
    <x:t xml:space="preserve">https://www.gurufocus.com/term/mktcap/ACN</x:t>
  </x:si>
  <x:si>
    <x:t xml:space="preserve">Dated market cap $106.766bn; large-cap prior</x:t>
  </x:si>
  <x:si>
    <x:t xml:space="preserve">S14</x:t>
  </x:si>
  <x:si>
    <x:t xml:space="preserve">ChartRow</x:t>
  </x:si>
  <x:si>
    <x:t xml:space="preserve">https://chartrow.com/sp500/companies</x:t>
  </x:si>
  <x:si>
    <x:t xml:space="preserve">S&amp;P 500 list includes ACN (weight 0.17%)</x:t>
  </x:si>
  <x:si>
    <x:t xml:space="preserve">S15</x:t>
  </x:si>
  <x:si>
    <x:t xml:space="preserve">SEC / Cognizant</x:t>
  </x:si>
  <x:si>
    <x:t xml:space="preserve">https://www.sec.gov/Archives/edgar/data/1058290/000105829026000030/exhibit9926302026.htm</x:t>
  </x:si>
  <x:si>
    <x:t xml:space="preserve">CTSH Q2 constant-currency sales +4.1%, weaker discretionary outlook; context only</x:t>
  </x:si>
  <x:si>
    <x:t xml:space="preserve">S16</x:t>
  </x:si>
  <x:si>
    <x:t xml:space="preserve">Washington Technology</x:t>
  </x:si>
  <x:si>
    <x:t xml:space="preserve">https://www.washingtontechnology.com/contracts/2026/09/accentures-federal-arm-wins-480m-army-task-management-system-contract/415938/</x:t>
  </x:si>
  <x:si>
    <x:t xml:space="preserve">Five-and-a-half-year federal award after Aug 31; bookings upside, NOT Q4 recognized revenue</x:t>
  </x:si>
  <x:si>
    <x:t xml:space="preserve">Omitted: customer/unit balance ladder — FY26 Q3 10-Q reports no customer or per-segment subscribers.</x:t>
  </x:si>
  <x:si>
    <x:t xml:space="preserve">Geo included: geographic markets are the three reporting segments; Geo links those disclosures, with no second source.</x:t>
  </x:si>
  <x:si>
    <x:t xml:space="preserve">CapIQ captured September 24, 2026, date only; not September 26.</x:t>
  </x:si>
  <x:si>
    <x:t xml:space="preserve">Target-quarter actual results unavailable as of September 29 cutoff; quarter forecast only.</x:t>
  </x:si>
  <x:si>
    <x:t xml:space="preserve">GAAP vs adjusted differs only for disclosed business optimization; FY26 Q4 assumes zero incremental charge.</x:t>
  </x:si>
  <x:si>
    <x:t xml:space="preserve">Inputs</x:t>
  </x:si>
  <x:si>
    <x:t xml:space="preserve">Capital IQ summary — captured September 24, 2026</x:t>
  </x:si>
  <x:si>
    <x:t xml:space="preserve">ticker</x:t>
  </x:si>
  <x:si>
    <x:t xml:space="preserve">ACN</x:t>
  </x:si>
  <x:si>
    <x:t xml:space="preserve">company</x:t>
  </x:si>
  <x:si>
    <x:t xml:space="preserve">exchange_ticker</x:t>
  </x:si>
  <x:si>
    <x:t xml:space="preserve">NYSE:ACN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</x:si>
  <x:si>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</x:si>
  <x:si>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</x:si>
  <x:si>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</x:si>
  <x:si>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</x:si>
  <x:si>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</x:si>
  <x:si>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</x:si>
  <x:si>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period_end_date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</x:si>
  <x:si>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</x:si>
  <x:si>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</x:si>
  <x:si>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</x:si>
  <x:si>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</x:si>
  <x:si>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</x:si>
  <x:si>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</x:si>
  <x:si>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</x:si>
  <x:si>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</x:si>
  <x:si>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</x:si>
  <x:si>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</x:si>
  <x:si>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</x:si>
  <x:si>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</x:si>
  <x:si>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</x:si>
  <x:si>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</x:si>
  <x:si>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</x:si>
  <x:si>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</x:si>
  <x:si>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</x:si>
  <x:si>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</x:si>
  <x:si>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</x:si>
  <x:si>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</x:si>
  <x:si>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</x:si>
  <x:si>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</x:si>
  <x:si>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</x:si>
  <x:si>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</x:si>
  <x:si>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</x:si>
  <x:si>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</x:si>
  <x:si>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</x:si>
  <x:si>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</x:si>
  <x:si>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</x:si>
  <x:si>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</x:si>
  <x:si>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</x:si>
  <x:si>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</x:si>
  <x:si>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</x:si>
  <x:si>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</x:si>
  <x:si>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</x:si>
  <x:si>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</x:si>
  <x:si>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</x:si>
  <x:si>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</x:si>
  <x:si>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</x:si>
  <x:si>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</x:si>
  <x:si>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</x:si>
  <x:si>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</x:si>
  <x:si>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</x:si>
  <x:si>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</x:si>
  <x:si>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</x:si>
  <x:si>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</x:si>
  <x:si>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notes</x:t>
  </x:si>
  <x:si>
    <x:t xml:space="preserve">Results before the 8 a.m. call Oct 1. 52wk range 291.09/118.15. Also listed DB:CSA (EUR 160.25). FY2026 EPSn guidance 13.78/13.90.</x:t>
  </x:si>
  <x:si>
    <x:t xml:space="preserve">Six supplied normalized EPS actual/consensus pairs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</x:si>
  <x:si>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</x:si>
  <x:si>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</x:si>
  <x:si>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</x:si>
  <x:si>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</x:si>
  <x:si>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</x:si>
  <x:si>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</x:si>
  <x:si>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</x:si>
  <x:si>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Consensus captured September 24, 2026</x:t>
  </x:si>
  <x:si>
    <x:t xml:space="preserve">Original files SHA256 in Sources</x:t>
  </x:si>
  <x:si>
    <x:t xml:space="preserve">Americas Q4 Y/Y growth</x:t>
  </x:si>
  <x:si>
    <x:t xml:space="preserve">EMEA Q4 Y/Y growth</x:t>
  </x:si>
  <x:si>
    <x:t xml:space="preserve">Asia Pacific Q4 Y/Y growth</x:t>
  </x:si>
  <x:si>
    <x:t xml:space="preserve">Q4 gross margin</x:t>
  </x:si>
  <x:si>
    <x:t xml:space="preserve">Q4 sales and marketing</x:t>
  </x:si>
  <x:si>
    <x:t xml:space="preserve">Q4 G&amp;A</x:t>
  </x:si>
  <x:si>
    <x:t xml:space="preserve">Q4 interest income</x:t>
  </x:si>
  <x:si>
    <x:t xml:space="preserve">Q4 interest expense</x:t>
  </x:si>
  <x:si>
    <x:t xml:space="preserve">Q4 other income</x:t>
  </x:si>
  <x:si>
    <x:t xml:space="preserve">Q4 tax rate</x:t>
  </x:si>
  <x:si>
    <x:t xml:space="preserve">Q4 Canada minority interest</x:t>
  </x:si>
  <x:si>
    <x:t xml:space="preserve">Q4 other minority interest</x:t>
  </x:si>
  <x:si>
    <x:t xml:space="preserve">Q4 basic shares, million</x:t>
  </x:si>
  <x:si>
    <x:t xml:space="preserve">Q4 diluted shares, million</x:t>
  </x:si>
  <x:si>
    <x:t xml:space="preserve">Incremental optimization charge</x:t>
  </x:si>
  <x:si>
    <x:t xml:space="preserve">Q4 capex cash</x:t>
  </x:si>
  <x:si>
    <x:t xml:space="preserve">Q4 acquisition spend</x:t>
  </x:si>
  <x:si>
    <x:t xml:space="preserve">Q4 share repurchases cash</x:t>
  </x:si>
  <x:si>
    <x:t xml:space="preserve">Q4 share issuance cash</x:t>
  </x:si>
  <x:si>
    <x:t xml:space="preserve">Q4 dividend cash</x:t>
  </x:si>
  <x:si>
    <x:t xml:space="preserve">Q4 operating cash flow</x:t>
  </x:si>
  <x:si>
    <x:t xml:space="preserve">Q4 other investing cash</x:t>
  </x:si>
  <x:si>
    <x:t xml:space="preserve">Q4 other financing cash</x:t>
  </x:si>
  <x:si>
    <x:t xml:space="preserve">Q4 cash FX</x:t>
  </x:si>
  <x:si>
    <x:t xml:space="preserve">Experimental cohort prior</x:t>
  </x:si>
  <x:si>
    <x:t xml:space="preserve">Historical strict beats</x:t>
  </x:si>
  <x:si>
    <x:t xml:space="preserve">Historical valid pairs</x:t>
  </x:si>
  <x:si>
    <x:t xml:space="preserve">Pseudo-count</x:t>
  </x:si>
  <x:si>
    <x:t xml:space="preserve">Probability evidence adjustment</x:t>
  </x:si>
  <x:si>
    <x:t xml:space="preserve">Q4 company FX guidance, approx.</x:t>
  </x:si>
  <x:si>
    <x:t xml:space="preserve">Calibrated starting probability</x:t>
  </x:si>
  <x:si>
    <x:t xml:space="preserve">Final P(beat consensus EPS)</x:t>
  </x:si>
  <x:si>
    <x:t xml:space="preserve">FY25 Q2 revenue, SEC precision $m</x:t>
  </x:si>
  <x:si>
    <x:t xml:space="preserve">FY25 Q3 revenue, SEC precision $m</x:t>
  </x:si>
  <x:si>
    <x:t xml:space="preserve">FY25 first nine months Payroll costs</x:t>
  </x:si>
  <x:si>
    <x:t xml:space="preserve">FY25 first nine months Non-payroll costs including subcontractor costs (1)</x:t>
  </x:si>
  <x:si>
    <x:t xml:space="preserve">FY25 first nine months Depreciation and amortization (2)</x:t>
  </x:si>
  <x:si>
    <x:t xml:space="preserve">FY24 Q4 total revenue from issuer</x:t>
  </x:si>
  <x:si>
    <x:t xml:space="preserve">FY24 annual revenue, prior-year FY basis</x:t>
  </x:si>
  <x:si>
    <x:t xml:space="preserve">FY25 industry / work line comparables from 10-Q / 10-K</x:t>
  </x:si>
  <x:si>
    <x:t xml:space="preserve">Communications, Media &amp; Technology prior-year revenues</x:t>
  </x:si>
  <x:si>
    <x:t xml:space="preserve">Financial Services prior-year revenues</x:t>
  </x:si>
  <x:si>
    <x:t xml:space="preserve">Health &amp; Public Service prior-year revenues</x:t>
  </x:si>
  <x:si>
    <x:t xml:space="preserve">Products prior-year revenues</x:t>
  </x:si>
  <x:si>
    <x:t xml:space="preserve">Resources prior-year revenues</x:t>
  </x:si>
  <x:si>
    <x:t xml:space="preserve">Consulting prior-year revenues</x:t>
  </x:si>
  <x:si>
    <x:t xml:space="preserve">Managed Services prior-year revenues</x:t>
  </x:si>
  <x:si>
    <x:t xml:space="preserve">Communications, Media &amp; Technology issuer rounded local growth</x:t>
  </x:si>
  <x:si>
    <x:t xml:space="preserve">Financial Services issuer rounded local growth</x:t>
  </x:si>
  <x:si>
    <x:t xml:space="preserve">Health &amp; Public Service issuer rounded local growth</x:t>
  </x:si>
  <x:si>
    <x:t xml:space="preserve">Products issuer rounded local growth</x:t>
  </x:si>
  <x:si>
    <x:t xml:space="preserve">Resources issuer rounded local growth</x:t>
  </x:si>
  <x:si>
    <x:t xml:space="preserve">Consulting issuer rounded local growth</x:t>
  </x:si>
  <x:si>
    <x:t xml:space="preserve">Managed Services issuer rounded local growth</x:t>
  </x:si>
  <x:si>
    <x:t xml:space="preserve">FY25 Q1 GAAP EPS prior-year basis</x:t>
  </x:si>
  <x:si>
    <x:t xml:space="preserve">FY24 Q4 GAAP EPS prior-year basis</x:t>
  </x:si>
  <x:si>
    <x:t xml:space="preserve">FY24 annual GAAP diluted EPS</x:t>
  </x:si>
  <x:si>
    <x:t xml:space="preserve">FY23 Americas segment revenue ($m)</x:t>
  </x:si>
  <x:si>
    <x:t xml:space="preserve">FY23 EMEA segment revenue ($m)</x:t>
  </x:si>
  <x:si>
    <x:t xml:space="preserve">FY23 Asia Pacific segment revenue ($m)</x:t>
  </x:si>
  <x:si>
    <x:t xml:space="preserve">FY24 Q4 prior-year cost of services ($m)</x:t>
  </x:si>
  <x:si>
    <x:t xml:space="preserve">FY24 annual prior-year cost of services ($m)</x:t>
  </x:si>
  <x:si>
    <x:t xml:space="preserve">Prior-year operating profit (C 4Q24, D FY24, E 1Q25, F 2Q25, G 3Q25)</x:t>
  </x:si>
</x:sst>
</file>

<file path=xl/styles.xml><?xml version="1.0" encoding="utf-8"?>
<x:styleSheet xmlns:x="http://schemas.openxmlformats.org/spreadsheetml/2006/main">
  <x:numFmts count="6">
    <x:numFmt numFmtId="164" formatCode="#,##0.0_);(#,##0.0);–_)"/>
    <x:numFmt numFmtId="165" formatCode="yyyy-mm-dd"/>
    <x:numFmt numFmtId="166" formatCode="0.0%_);(0.0%);–_)"/>
    <x:numFmt numFmtId="167" formatCode="$0.00"/>
    <x:numFmt numFmtId="168" formatCode="0.0%"/>
    <x:numFmt numFmtId="200" formatCode="#,##0.0"/>
  </x:numFmts>
  <x:fonts count="14">
    <x:font>
      <x:sz val="11"/>
      <x:name val="Calibri"/>
    </x:font>
    <x:font>
      <x:i/>
      <x:sz val="10"/>
      <x:color rgb="FF000000"/>
      <x:name val="Aptos Narrow"/>
    </x:font>
    <x:font>
      <x:sz val="10"/>
      <x:color rgb="FF000000"/>
      <x:name val="Aptos Narrow"/>
    </x:font>
    <x:font>
      <x:b/>
      <x:sz val="10"/>
      <x:color rgb="FF000000"/>
      <x:name val="Aptos Narrow"/>
    </x:font>
    <x:font>
      <x:sz val="10"/>
      <x:color rgb="FF006100"/>
      <x:name val="Aptos Narrow"/>
    </x:font>
    <x:font>
      <x:b/>
      <x:sz val="10"/>
      <x:color rgb="FF006100"/>
      <x:name val="Aptos Narrow"/>
    </x:font>
    <x:font>
      <x:b/>
      <x:sz val="10"/>
      <x:color rgb="FF0000FF"/>
      <x:name val="Aptos Narrow"/>
    </x:font>
    <x:font>
      <x:sz val="10"/>
      <x:color rgb="FF0000FF"/>
      <x:name val="Aptos Narrow"/>
    </x:font>
    <x:font>
      <x:i/>
      <x:sz val="10"/>
      <x:color rgb="FF0000FF"/>
      <x:name val="Aptos Narrow"/>
    </x:font>
    <x:font>
      <x:i/>
      <x:sz val="10"/>
      <x:color rgb="FF006100"/>
      <x:name val="Aptos Narrow"/>
    </x:font>
    <x:font>
      <x:b/>
      <x:sz val="11"/>
      <x:color rgb="FF000000"/>
      <x:name val="Aptos Narrow"/>
    </x:font>
    <x:font>
      <x:b/>
      <x:sz val="12"/>
      <x:color rgb="FF000000"/>
      <x:name val="Aptos Narrow"/>
    </x:font>
    <x:font>
      <x:b/>
      <x:i/>
      <x:sz val="10"/>
      <x:color rgb="FF006100"/>
      <x:name val="Aptos Narrow"/>
    </x:font>
    <x:font>
      <x:sz val="11"/>
      <x:color rgb="FF0000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0F6F9"/>
      </x:patternFill>
    </x:fill>
    <x:fill>
      <x:patternFill patternType="solid">
        <x:fgColor rgb="FFE8EDF1"/>
      </x:patternFill>
    </x:fill>
  </x:fills>
  <x:borders count="3">
    <x:border/>
    <x:border>
      <x:top style="thin">
        <x:color rgb="FFA9B4C0"/>
      </x:top>
    </x:border>
    <x:border>
      <x:top style="thin">
        <x:color rgb="FFBAC3CC"/>
      </x:top>
      <x:bottom style="thin">
        <x:color rgb="FFBAC3CC"/>
      </x:bottom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Font="1" applyFill="1" applyAlignment="1">
      <x:alignment horizontal="general" vertical="bottom" wrapText="1"/>
    </x:xf>
    <x:xf numFmtId="0" fontId="2" fillId="0" borderId="0" xfId="0" applyFont="1" applyFill="1" applyAlignment="1">
      <x:alignment horizontal="general" vertical="bottom"/>
    </x:xf>
    <x:xf numFmtId="164" fontId="2" fillId="0" borderId="0" xfId="0" applyNumberFormat="1" applyFont="1" applyFill="1" applyAlignment="1">
      <x:alignment horizontal="general" vertical="bottom"/>
    </x:xf>
    <x:xf numFmtId="0" fontId="3" fillId="0" borderId="1" xfId="0" applyFont="1" applyFill="1" applyBorder="1" applyAlignment="1">
      <x:alignment horizontal="general" vertical="bottom" wrapText="1"/>
    </x:xf>
    <x:xf numFmtId="164" fontId="4" fillId="0" borderId="0" xfId="0" applyNumberFormat="1" applyFont="1" applyFill="1" applyAlignment="1">
      <x:alignment horizontal="general" vertical="bottom"/>
    </x:xf>
    <x:xf numFmtId="164" fontId="5" fillId="2" borderId="1" xfId="0" applyNumberFormat="1" applyFont="1" applyFill="1" applyBorder="1" applyAlignment="1">
      <x:alignment horizontal="general" vertical="bottom"/>
    </x:xf>
    <x:xf numFmtId="165" fontId="2" fillId="3" borderId="2" xfId="0" applyNumberFormat="1" applyFont="1" applyFill="1" applyBorder="1" applyAlignment="1">
      <x:alignment horizontal="general" vertical="bottom"/>
    </x:xf>
    <x:xf numFmtId="0" fontId="2" fillId="0" borderId="0" xfId="0" applyFont="1" applyFill="1" applyAlignment="1">
      <x:alignment horizontal="general" vertical="bottom" wrapText="1"/>
    </x:xf>
    <x:xf numFmtId="166" fontId="1" fillId="0" borderId="0" xfId="0" applyNumberFormat="1" applyFont="1" applyFill="1" applyAlignment="1">
      <x:alignment horizontal="general" vertical="bottom"/>
    </x:xf>
    <x:xf numFmtId="166" fontId="1" fillId="2" borderId="0" xfId="0" applyNumberFormat="1" applyFont="1" applyFill="1" applyAlignment="1">
      <x:alignment horizontal="general" vertical="bottom"/>
    </x:xf>
    <x:xf numFmtId="167" fontId="4" fillId="0" borderId="0" xfId="0" applyNumberFormat="1" applyFont="1" applyFill="1" applyAlignment="1">
      <x:alignment horizontal="general" vertical="bottom"/>
    </x:xf>
    <x:xf numFmtId="164" fontId="3" fillId="2" borderId="1" xfId="0" applyNumberFormat="1" applyFont="1" applyFill="1" applyBorder="1" applyAlignment="1">
      <x:alignment horizontal="general" vertical="bottom"/>
    </x:xf>
    <x:xf numFmtId="164" fontId="5" fillId="0" borderId="1" xfId="0" applyNumberFormat="1" applyFont="1" applyFill="1" applyBorder="1" applyAlignment="1">
      <x:alignment horizontal="general" vertical="bottom"/>
    </x:xf>
    <x:xf numFmtId="0" fontId="2" fillId="3" borderId="2" xfId="0" applyFont="1" applyFill="1" applyBorder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164" fontId="4" fillId="2" borderId="0" xfId="0" applyNumberFormat="1" applyFont="1" applyFill="1" applyAlignment="1">
      <x:alignment horizontal="general" vertical="bottom"/>
    </x:xf>
    <x:xf numFmtId="164" fontId="6" fillId="0" borderId="1" xfId="0" applyNumberFormat="1" applyFont="1" applyFill="1" applyBorder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164" fontId="7" fillId="0" borderId="0" xfId="0" applyNumberFormat="1" applyFont="1" applyFill="1" applyAlignment="1">
      <x:alignment horizontal="general" vertical="bottom"/>
    </x:xf>
    <x:xf numFmtId="167" fontId="5" fillId="0" borderId="1" xfId="0" applyNumberFormat="1" applyFont="1" applyFill="1" applyBorder="1" applyAlignment="1">
      <x:alignment horizontal="general" vertical="bottom"/>
    </x:xf>
    <x:xf numFmtId="167" fontId="4" fillId="2" borderId="0" xfId="0" applyNumberFormat="1" applyFont="1" applyFill="1" applyAlignment="1">
      <x:alignment horizontal="general" vertical="bottom"/>
    </x:xf>
    <x:xf numFmtId="166" fontId="8" fillId="0" borderId="0" xfId="0" applyNumberFormat="1" applyFont="1" applyFill="1" applyAlignment="1">
      <x:alignment horizontal="general" vertical="bottom"/>
    </x:xf>
    <x:xf numFmtId="166" fontId="9" fillId="2" borderId="0" xfId="0" applyNumberFormat="1" applyFont="1" applyFill="1" applyAlignment="1">
      <x:alignment horizontal="general" vertical="bottom"/>
    </x:xf>
    <x:xf numFmtId="0" fontId="4" fillId="2" borderId="0" xfId="0" applyFont="1" applyFill="1" applyAlignment="1">
      <x:alignment horizontal="general" vertical="bottom"/>
    </x:xf>
    <x:xf numFmtId="167" fontId="2" fillId="2" borderId="0" xfId="0" applyNumberFormat="1" applyFont="1" applyFill="1" applyAlignment="1">
      <x:alignment horizontal="general" vertical="bottom"/>
    </x:xf>
    <x:xf numFmtId="165" fontId="6" fillId="0" borderId="1" xfId="0" applyNumberFormat="1" applyFont="1" applyFill="1" applyBorder="1" applyAlignment="1">
      <x:alignment horizontal="general" vertical="bottom"/>
    </x:xf>
    <x:xf numFmtId="167" fontId="2" fillId="0" borderId="0" xfId="0" applyNumberFormat="1" applyFont="1" applyFill="1" applyAlignment="1">
      <x:alignment horizontal="general" vertical="bottom"/>
    </x:xf>
    <x:xf numFmtId="0" fontId="10" fillId="0" borderId="0" xfId="0" applyFont="1" applyFill="1" applyAlignment="1">
      <x:alignment horizontal="general" vertical="bottom"/>
    </x:xf>
    <x:xf numFmtId="167" fontId="6" fillId="0" borderId="1" xfId="0" applyNumberFormat="1" applyFont="1" applyFill="1" applyBorder="1" applyAlignment="1">
      <x:alignment horizontal="general" vertical="bottom"/>
    </x:xf>
    <x:xf numFmtId="167" fontId="3" fillId="0" borderId="1" xfId="0" applyNumberFormat="1" applyFont="1" applyFill="1" applyBorder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/>
    </x:xf>
    <x:xf numFmtId="0" fontId="11" fillId="0" borderId="0" xfId="0" applyFont="1" applyFill="1" applyAlignment="1">
      <x:alignment horizontal="general" vertical="bottom"/>
    </x:xf>
    <x:xf numFmtId="0" fontId="2" fillId="2" borderId="0" xfId="0" applyFont="1" applyFill="1" applyAlignment="1">
      <x:alignment horizontal="general" vertical="bottom"/>
    </x:xf>
    <x:xf numFmtId="0" fontId="7" fillId="0" borderId="0" xfId="0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4" fontId="7" fillId="2" borderId="0" xfId="0" applyNumberFormat="1" applyFont="1" applyFill="1" applyAlignment="1">
      <x:alignment horizontal="general" vertical="bottom"/>
    </x:xf>
    <x:xf numFmtId="166" fontId="9" fillId="0" borderId="0" xfId="0" applyNumberFormat="1" applyFont="1" applyFill="1" applyAlignment="1">
      <x:alignment horizontal="general" vertical="bottom"/>
    </x:xf>
    <x:xf numFmtId="165" fontId="7" fillId="0" borderId="0" xfId="0" applyNumberFormat="1" applyFont="1" applyFill="1" applyAlignment="1">
      <x:alignment horizontal="general" vertical="bottom"/>
    </x:xf>
    <x:xf numFmtId="167" fontId="3" fillId="2" borderId="1" xfId="0" applyNumberFormat="1" applyFont="1" applyFill="1" applyBorder="1" applyAlignment="1">
      <x:alignment horizontal="general" vertical="bottom"/>
    </x:xf>
    <x:xf numFmtId="167" fontId="5" fillId="2" borderId="1" xfId="0" applyNumberFormat="1" applyFont="1" applyFill="1" applyBorder="1" applyAlignment="1">
      <x:alignment horizontal="general" vertical="bottom"/>
    </x:xf>
    <x:xf numFmtId="0" fontId="5" fillId="2" borderId="1" xfId="0" applyFont="1" applyFill="1" applyBorder="1" applyAlignment="1">
      <x:alignment horizontal="general" vertical="bottom"/>
    </x:xf>
    <x:xf numFmtId="0" fontId="3" fillId="0" borderId="1" xfId="0" applyFont="1" applyFill="1" applyBorder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/>
    </x:xf>
    <x:xf numFmtId="0" fontId="6" fillId="0" borderId="1" xfId="0" applyFont="1" applyFill="1" applyBorder="1" applyAlignment="1">
      <x:alignment horizontal="general" vertical="bottom"/>
    </x:xf>
    <x:xf numFmtId="168" fontId="12" fillId="0" borderId="0" xfId="0" applyNumberFormat="1" applyFont="1" applyFill="1" applyAlignment="1">
      <x:alignment horizontal="general" vertical="bottom"/>
    </x:xf>
    <x:xf numFmtId="165" fontId="4" fillId="0" borderId="0" xfId="0" applyNumberFormat="1" applyFont="1" applyFill="1" applyAlignment="1">
      <x:alignment horizontal="general" vertical="bottom"/>
    </x:xf>
    <x:xf numFmtId="164" fontId="6" fillId="2" borderId="1" xfId="0" applyNumberFormat="1" applyFont="1" applyFill="1" applyBorder="1" applyAlignment="1">
      <x:alignment horizontal="general" vertical="bottom"/>
    </x:xf>
    <x:xf numFmtId="165" fontId="13" fillId="0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 wrapText="1"/>
    </x:xf>
    <x:xf numFmtId="0" fontId="7" fillId="2" borderId="0" xfId="0" applyFont="1" applyFill="1" applyAlignment="1">
      <x:alignment horizontal="general" vertical="bottom"/>
    </x:xf>
    <x:xf numFmtId="0" fontId="13" fillId="0" borderId="0" xfId="0" applyFont="1" applyFill="1" applyAlignment="1">
      <x:alignment horizontal="general" vertical="bottom" wrapText="1"/>
    </x:xf>
    <x:xf numFmtId="0" fontId="2" fillId="3" borderId="2" xfId="0" applyNumberFormat="1" applyFont="1" applyFill="1" applyBorder="1" applyAlignment="1">
      <x:alignment horizontal="right" vertical="bottom"/>
    </x:xf>
    <x:xf numFmtId="166" fontId="1" fillId="0" borderId="0" xfId="0" applyNumberFormat="1" applyFont="1" applyFill="1" applyBorder="1" applyAlignment="1">
      <x:alignment horizontal="right" vertical="bottom"/>
    </x:xf>
    <x:xf numFmtId="164" fontId="2" fillId="0" borderId="0" xfId="0" applyNumberFormat="1" applyFont="1" applyFill="1" applyBorder="1" applyAlignment="1">
      <x:alignment horizontal="right" vertical="bottom"/>
    </x:xf>
    <x:xf numFmtId="164" fontId="3" fillId="0" borderId="1" xfId="0" applyNumberFormat="1" applyFont="1" applyFill="1" applyBorder="1" applyAlignment="1">
      <x:alignment horizontal="right" vertical="bottom"/>
    </x:xf>
    <x:xf numFmtId="0" fontId="2" fillId="0" borderId="0" xfId="0" applyNumberFormat="1" applyFont="1" applyFill="1" applyBorder="1" applyAlignment="1">
      <x:alignment horizontal="right" vertical="bottom"/>
    </x:xf>
    <x:xf numFmtId="0" fontId="2" fillId="2" borderId="0" xfId="0" applyNumberFormat="1" applyFont="1" applyFill="1" applyBorder="1" applyAlignment="1">
      <x:alignment horizontal="right" vertical="bottom"/>
    </x:xf>
    <x:xf numFmtId="0" fontId="5" fillId="2" borderId="1" xfId="0" applyNumberFormat="1" applyFont="1" applyFill="1" applyBorder="1" applyAlignment="1">
      <x:alignment horizontal="right" vertical="bottom"/>
    </x:xf>
    <x:xf numFmtId="166" fontId="1" fillId="2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167" fontId="5" fillId="2" borderId="1" xfId="0" applyNumberFormat="1" applyFont="1" applyFill="1" applyBorder="1" applyAlignment="1">
      <x:alignment horizontal="right" vertical="bottom"/>
    </x:xf>
    <x:xf numFmtId="0" fontId="4" fillId="2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wrapText="1"/>
    </x:xf>
    <x:xf numFmtId="165" fontId="7" fillId="0" borderId="0" xfId="0" applyNumberFormat="1" applyFont="1" applyFill="1" applyBorder="1" applyAlignment="1">
      <x:alignment horizontal="general" vertical="bottom"/>
    </x:xf>
    <x:xf numFmtId="200" fontId="4" fillId="2" borderId="0" xfId="0" applyNumberFormat="1" applyFont="1" applyFill="1" applyBorder="1" applyAlignment="1">
      <x:alignment horizontal="right" vertical="bottom"/>
    </x:xf>
    <x:xf numFmtId="200" fontId="2" fillId="0" borderId="0" xfId="0" applyNumberFormat="1" applyFont="1" applyFill="1" applyBorder="1" applyAlignment="1">
      <x:alignment horizontal="right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7b8bd7bfd4fc2" /><Relationship Type="http://schemas.openxmlformats.org/officeDocument/2006/relationships/theme" Target="/xl/theme/theme1.xml" Id="Rff8e52f8600e402a" /><Relationship Type="http://schemas.openxmlformats.org/officeDocument/2006/relationships/sharedStrings" Target="/xl/sharedStrings.xml" Id="R4ad39dfc6c92441c" /><Relationship Type="http://schemas.openxmlformats.org/officeDocument/2006/relationships/worksheet" Target="/xl/worksheets/sheet1.xml" Id="R88023bf3f11b4c33" /><Relationship Type="http://schemas.openxmlformats.org/officeDocument/2006/relationships/worksheet" Target="/xl/worksheets/sheet2.xml" Id="R9884fa9048c94d3a" /><Relationship Type="http://schemas.openxmlformats.org/officeDocument/2006/relationships/worksheet" Target="/xl/worksheets/sheet3.xml" Id="R5a9ac6310af248a8" /><Relationship Type="http://schemas.openxmlformats.org/officeDocument/2006/relationships/worksheet" Target="/xl/worksheets/sheet4.xml" Id="R4bd5494d01e0417f" /><Relationship Type="http://schemas.openxmlformats.org/officeDocument/2006/relationships/worksheet" Target="/xl/worksheets/sheet5.xml" Id="R3495a00a35824eef" /><Relationship Type="http://schemas.openxmlformats.org/officeDocument/2006/relationships/worksheet" Target="/xl/worksheets/sheet6.xml" Id="R305b613cba274701" /><Relationship Type="http://schemas.openxmlformats.org/officeDocument/2006/relationships/worksheet" Target="/xl/worksheets/sheet7.xml" Id="R08b02aa6ca354d37" /><Relationship Type="http://schemas.openxmlformats.org/officeDocument/2006/relationships/worksheet" Target="/xl/worksheets/sheet8.xml" Id="R7bde411188eb4647" /><Relationship Type="http://schemas.openxmlformats.org/officeDocument/2006/relationships/worksheet" Target="/xl/worksheets/sheet9.xml" Id="Rf8489dcca24142dc" /><Relationship Type="http://schemas.openxmlformats.org/officeDocument/2006/relationships/worksheet" Target="/xl/worksheets/sheet10.xml" Id="R9b3cd427d0e44e94" /><Relationship Type="http://schemas.openxmlformats.org/officeDocument/2006/relationships/worksheet" Target="/xl/worksheets/sheet11.xml" Id="Rbfc6b71e75684543" /><Relationship Type="http://schemas.openxmlformats.org/officeDocument/2006/relationships/worksheet" Target="/xl/worksheets/sheet12.xml" Id="Rbae872d8aa7b4461" /><Relationship Type="http://schemas.openxmlformats.org/officeDocument/2006/relationships/worksheet" Target="/xl/worksheets/sheet13.xml" Id="R4984595308ae45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85c523eb304545" /></Relationships>
</file>

<file path=xl/drawings/drawing1.xml><?xml version="1.0" encoding="utf-8"?>
<xdr:wsDr xmlns:xdr="http://schemas.openxmlformats.org/drawingml/2006/spreadsheetDrawing">
  <xdr:oneCellAnchor>
    <xdr:from>
      <xdr:col>0</xdr:col>
      <xdr:colOff>28575</xdr:colOff>
      <xdr:row>1</xdr:row>
      <xdr:rowOff>28575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85c523eb3045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dbf981d1df476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customWidth="1"/>
    <x:col min="2" max="2" width="37" customWidth="1"/>
    <x:col min="3" max="3" width="43" customWidth="1"/>
    <x:col min="4" max="6" width="15" customWidth="1"/>
    <x:col min="7" max="8" width="14" customWidth="1"/>
    <x:col min="9" max="9" width="3" customWidth="1"/>
    <x:col min="10" max="10" width="65" hidden="0" customWidth="1"/>
  </x:cols>
  <x:sheetData>
    <x:row r="2">
      <x:c r="B2" s="32"/>
      <x:c r="C2" s="32" t="s">
        <x:v>0</x:v>
      </x:c>
      <x:c r="D2" s="2"/>
      <x:c r="E2" s="2"/>
      <x:c r="F2" s="2"/>
      <x:c r="G2" s="2"/>
      <x:c r="H2" s="2"/>
    </x:row>
    <x:row r="3">
      <x:c r="B3" s="28"/>
      <x:c r="C3" s="32" t="s">
        <x:v>1</x:v>
      </x:c>
      <x:c r="D3" s="2"/>
      <x:c r="E3" s="2"/>
      <x:c r="F3" s="2"/>
      <x:c r="G3" s="2"/>
      <x:c r="H3" s="2"/>
    </x:row>
    <x:row r="4">
      <x:c r="B4" s="2"/>
      <x:c r="C4" s="2" t="s">
        <x:v>2</x:v>
      </x:c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2"/>
      <x:c r="C8" s="3"/>
      <x:c r="D8" s="3"/>
      <x:c r="E8" s="3"/>
      <x:c r="F8" s="3"/>
      <x:c r="G8" s="3"/>
      <x:c r="H8" s="15"/>
    </x:row>
    <x:row r="9">
      <x:c r="B9" s="2" t="s">
        <x:v>12</x:v>
      </x:c>
      <x:c r="C9" s="3" t="s">
        <x:v>0</x:v>
      </x:c>
      <x:c r="D9" s="3"/>
      <x:c r="E9" s="3"/>
      <x:c r="F9" s="3"/>
      <x:c r="G9" s="3"/>
      <x:c r="H9" s="15"/>
    </x:row>
    <x:row r="10">
      <x:c r="B10" s="2" t="s">
        <x:v>13</x:v>
      </x:c>
      <x:c r="C10" s="3" t="s">
        <x:v>14</x:v>
      </x:c>
      <x:c r="D10" s="3"/>
      <x:c r="E10" s="3"/>
      <x:c r="F10" s="3"/>
      <x:c r="G10" s="3"/>
      <x:c r="H10" s="15"/>
    </x:row>
    <x:row r="11">
      <x:c r="B11" s="2" t="s">
        <x:v>15</x:v>
      </x:c>
      <x:c r="C11" s="19" t="s">
        <x:v>16</x:v>
      </x:c>
      <x:c r="D11" s="3"/>
      <x:c r="E11" s="3"/>
      <x:c r="F11" s="3"/>
      <x:c r="G11" s="3"/>
      <x:c r="H11" s="15"/>
    </x:row>
    <x:row r="12">
      <x:c r="B12" s="2" t="s">
        <x:v>17</x:v>
      </x:c>
      <x:c r="C12" s="3" t="s">
        <x:v>18</x:v>
      </x:c>
      <x:c r="D12" s="3"/>
      <x:c r="E12" s="3"/>
      <x:c r="F12" s="3"/>
      <x:c r="G12" s="3"/>
      <x:c r="H12" s="15"/>
    </x:row>
    <x:row r="13">
      <x:c r="B13" s="2" t="s">
        <x:v>19</x:v>
      </x:c>
      <x:c r="C13" s="3" t="s">
        <x:v>20</x:v>
      </x:c>
      <x:c r="D13" s="3"/>
      <x:c r="E13" s="3"/>
      <x:c r="F13" s="3"/>
      <x:c r="G13" s="3"/>
      <x:c r="H13" s="15"/>
    </x:row>
    <x:row r="14">
      <x:c r="B14" s="2" t="s">
        <x:v>21</x:v>
      </x:c>
      <x:c r="C14" s="3" t="s">
        <x:v>22</x:v>
      </x:c>
      <x:c r="D14" s="3"/>
      <x:c r="E14" s="3"/>
      <x:c r="F14" s="3"/>
      <x:c r="G14" s="3"/>
      <x:c r="H14" s="15"/>
    </x:row>
    <x:row r="15">
      <x:c r="B15" s="2" t="s">
        <x:v>23</x:v>
      </x:c>
      <x:c r="C15" s="46" t="n">
        <x:f>Inputs!C18</x:f>
        <x:v>46296</x:v>
      </x:c>
      <x:c r="D15" s="3"/>
      <x:c r="E15" s="3"/>
      <x:c r="F15" s="3"/>
      <x:c r="G15" s="3"/>
      <x:c r="H15" s="15"/>
    </x:row>
    <x:row r="16">
      <x:c r="B16" s="2"/>
      <x:c r="C16" s="3"/>
      <x:c r="D16" s="3"/>
      <x:c r="E16" s="3"/>
      <x:c r="F16" s="3"/>
      <x:c r="G16" s="3"/>
      <x:c r="H16" s="15"/>
    </x:row>
    <x:row r="17">
      <x:c r="B17" s="8" t="s">
        <x:v>24</x:v>
      </x:c>
      <x:c r="C17" s="54" t="s">
        <x:v>25</x:v>
      </x:c>
      <x:c r="D17" s="54" t="s">
        <x:v>26</x:v>
      </x:c>
      <x:c r="E17" s="54" t="s">
        <x:v>27</x:v>
      </x:c>
      <x:c r="F17" s="54" t="s">
        <x:v>28</x:v>
      </x:c>
      <x:c r="G17" s="3"/>
      <x:c r="H17" s="15"/>
    </x:row>
    <x:row r="18">
      <x:c r="B18" s="4" t="s">
        <x:v>29</x:v>
      </x:c>
      <x:c r="C18" s="13" t="n">
        <x:f>'Revenue summary'!H30</x:f>
        <x:v>18084.378161999997</x:v>
      </x:c>
      <x:c r="D18" s="13" t="n">
        <x:f>Inputs!C36</x:f>
        <x:v>18037.35</x:v>
      </x:c>
      <x:c r="E18" s="18" t="n">
        <x:f>C18-D18</x:f>
        <x:v>47.0281619999987</x:v>
      </x:c>
      <x:c r="F18" s="13" t="n">
        <x:f>Guidance!G10</x:f>
        <x:v>18075</x:v>
      </x:c>
      <x:c r="G18" s="18"/>
      <x:c r="H18" s="12"/>
    </x:row>
    <x:row r="19" ht="28.5">
      <x:c r="B19" s="4" t="s">
        <x:v>30</x:v>
      </x:c>
      <x:c r="C19" s="13" t="n">
        <x:f>'Income Statement'!H40</x:f>
        <x:v>1966.4618057439993</x:v>
      </x:c>
      <x:c r="D19" s="13" t="n">
        <x:f>Inputs!C46</x:f>
        <x:v>1953.33</x:v>
      </x:c>
      <x:c r="E19" s="18" t="n">
        <x:f>C19-D19</x:f>
        <x:v>13.131805743999394</x:v>
      </x:c>
      <x:c r="F19" s="55" t="s">
        <x:v>31</x:v>
      </x:c>
      <x:c r="G19" s="18"/>
      <x:c r="H19" s="12"/>
    </x:row>
    <x:row r="20">
      <x:c r="B20" s="4" t="s">
        <x:v>32</x:v>
      </x:c>
      <x:c r="C20" s="20" t="n">
        <x:f>'Income Statement'!H41</x:f>
        <x:v>3.205316716779135</x:v>
      </x:c>
      <x:c r="D20" s="20" t="n">
        <x:f>Inputs!C19</x:f>
        <x:v>3.18</x:v>
      </x:c>
      <x:c r="E20" s="30" t="n">
        <x:f>C20-D20</x:f>
        <x:v>0.02531671677913483</x:v>
      </x:c>
      <x:c r="F20" s="20" t="n">
        <x:f>Guidance!G26</x:f>
        <x:v>3.17</x:v>
      </x:c>
      <x:c r="G20" s="30"/>
      <x:c r="H20" s="39"/>
    </x:row>
    <x:row r="21">
      <x:c r="B21" s="4" t="s">
        <x:v>33</x:v>
      </x:c>
      <x:c r="C21" s="20" t="n">
        <x:f>'Income Statement'!H33</x:f>
        <x:v>3.205316716779135</x:v>
      </x:c>
      <x:c r="D21" s="20" t="n">
        <x:f>Inputs!C28</x:f>
        <x:v>3.18</x:v>
      </x:c>
      <x:c r="E21" s="30" t="n">
        <x:f>C21-D21</x:f>
        <x:v>0.02531671677913483</x:v>
      </x:c>
      <x:c r="F21" s="20" t="n">
        <x:f>Guidance!G29</x:f>
        <x:v>3.1700000000000017</x:v>
      </x:c>
      <x:c r="G21" s="30"/>
      <x:c r="H21" s="39"/>
    </x:row>
    <x:row r="22">
      <x:c r="B22" s="8" t="s">
        <x:v>34</x:v>
      </x:c>
      <x:c r="C22" s="45" t="n">
        <x:f>Inputs!C158</x:f>
        <x:v>0.77</x:v>
      </x:c>
      <x:c r="D22" s="9"/>
      <x:c r="E22" s="9"/>
      <x:c r="F22" s="9"/>
      <x:c r="G22" s="9"/>
      <x:c r="H22" s="10"/>
    </x:row>
    <x:row r="23">
      <x:c r="B23" s="8" t="s">
        <x:v>35</x:v>
      </x:c>
      <x:c r="C23" s="3" t="s">
        <x:v>36</x:v>
      </x:c>
      <x:c r="D23" s="3"/>
      <x:c r="E23" s="3"/>
      <x:c r="F23" s="3"/>
      <x:c r="G23" s="3"/>
      <x:c r="H23" s="15"/>
    </x:row>
    <x:row r="24">
      <x:c r="B24" s="8"/>
      <x:c r="C24" s="3"/>
      <x:c r="D24" s="3"/>
      <x:c r="E24" s="3"/>
      <x:c r="F24" s="3"/>
      <x:c r="G24" s="3"/>
      <x:c r="H24" s="15"/>
    </x:row>
    <x:row r="25">
      <x:c r="B25" s="4" t="str">
        <x:v>Selected arithmetic checks</x:v>
      </x:c>
      <x:c r="C25" s="13" t="str">
        <x:f>IF(AND(ABS('Revenue summary'!H69)&lt;0.000001,ABS('Balance Sheet'!H49)&lt;0.000001,ABS('Cash Flow Statement'!H29)&lt;0.000001,ABS('Income Statement'!H44)&lt;0.000001,ABS('Income Statement'!H47)&lt;0.000001,ABS(Geo!H23)&lt;0.000001,C18='Revenue summary'!H30,C20='Income Statement'!H41,C22=Inputs!C158),"Ties","Review")</x:f>
        <x:v>Ties</x:v>
      </x:c>
      <x:c r="D25" s="18"/>
      <x:c r="E25" s="18"/>
      <x:c r="F25" s="18"/>
      <x:c r="G25" s="18"/>
      <x:c r="H25" s="12"/>
    </x:row>
    <x:row r="26">
      <x:c r="B26" s="2"/>
      <x:c r="C26" s="3"/>
      <x:c r="D26" s="3"/>
      <x:c r="E26" s="3"/>
      <x:c r="F26" s="3"/>
      <x:c r="G26" s="3"/>
      <x:c r="H26" s="15"/>
    </x:row>
    <x:row r="27">
      <x:c r="B27" s="2"/>
      <x:c r="C27" s="3"/>
      <x:c r="D27" s="3"/>
      <x:c r="E27" s="3"/>
      <x:c r="F27" s="3"/>
      <x:c r="G27" s="3"/>
      <x:c r="H27" s="15"/>
      <x:c r="J27" s="2" t="s">
        <x:v>37</x:v>
      </x:c>
    </x:row>
    <x:row r="38" ht="48" customHeight="1">
      <x:c r="J38" s="63" t="str">
        <x:v>EPS calculations reviewed and confirmed errors repaired. Supplemental statements and judgmental assumptions have limitations detailed in Sources. Arithmetic ties are not independent source verification.</x:v>
      </x:c>
    </x:row>
  </x:sheetData>
  <x:pageMargins left="0.7" right="0.7" top="0.75" bottom="0.75" header="0.3" footer="0.3"/>
  <x:drawing xmlns:r="http://schemas.openxmlformats.org/officeDocument/2006/relationships" r:id="Rfadbf981d1df476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38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4" t="s">
        <x:v>39</x:v>
      </x:c>
      <x:c r="C9" s="13" t="n">
        <x:f>'Segment - Americas'!C18</x:f>
        <x:v>8804.391</x:v>
      </x:c>
      <x:c r="D9" s="13" t="n">
        <x:f>'Segment - Americas'!D18</x:f>
        <x:v>35056.715</x:v>
      </x:c>
      <x:c r="E9" s="13" t="n">
        <x:f>'Segment - Americas'!E18</x:f>
        <x:v>9080.059</x:v>
      </x:c>
      <x:c r="F9" s="13" t="n">
        <x:f>'Segment - Americas'!F18</x:f>
        <x:v>8896.402</x:v>
      </x:c>
      <x:c r="G9" s="13" t="n">
        <x:f>'Segment - Americas'!G18</x:f>
        <x:v>9137.772</x:v>
      </x:c>
      <x:c r="H9" s="6" t="n">
        <x:f>'Segment - Americas'!H18</x:f>
        <x:v>8892.434909999998</x:v>
      </x:c>
    </x:row>
    <x:row r="10">
      <x:c r="B10" s="1" t="s">
        <x:v>40</x:v>
      </x:c>
      <x:c r="C10" s="37" t="n">
        <x:f>'Segment - Americas'!C16</x:f>
        <x:v>0.04522424133493086</x:v>
      </x:c>
      <x:c r="D10" s="37" t="n">
        <x:f>'Segment - Americas'!D16</x:f>
        <x:v>0.07692886402634214</x:v>
      </x:c>
      <x:c r="E10" s="37" t="n">
        <x:f>'Segment - Americas'!E16</x:f>
        <x:v>0.03972978651898318</x:v>
      </x:c>
      <x:c r="F10" s="37" t="n">
        <x:f>'Segment - Americas'!F16</x:f>
        <x:v>0.04013797106031047</x:v>
      </x:c>
      <x:c r="G10" s="37" t="n">
        <x:f>'Segment - Americas'!G16</x:f>
        <x:v>0.01914326257334431</x:v>
      </x:c>
      <x:c r="H10" s="23" t="n">
        <x:f>'Segment - Americas'!H16</x:f>
        <x:v>0.009999999999999787</x:v>
      </x:c>
    </x:row>
    <x:row r="11">
      <x:c r="B11" s="1" t="s">
        <x:v>41</x:v>
      </x:c>
      <x:c r="C11" s="9"/>
      <x:c r="D11" s="9"/>
      <x:c r="E11" s="9" t="n">
        <x:f>E9/C9-1</x:f>
        <x:v>0.03131028596980756</x:v>
      </x:c>
      <x:c r="F11" s="9" t="n">
        <x:f>F9/E9-1</x:f>
        <x:v>-0.020226410423104024</x:v>
      </x:c>
      <x:c r="G11" s="9" t="n">
        <x:f>G9/F9-1</x:f>
        <x:v>0.027131193037364998</x:v>
      </x:c>
      <x:c r="H11" s="10" t="n">
        <x:f>H9/G9-1</x:f>
        <x:v>-0.026848677117354502</x:v>
      </x:c>
    </x:row>
    <x:row r="12">
      <x:c r="B12" s="1" t="s">
        <x:v>42</x:v>
      </x:c>
      <x:c r="C12" s="9" t="n">
        <x:f>C9/C30</x:f>
        <x:v>0.5003558142468911</x:v>
      </x:c>
      <x:c r="D12" s="9" t="n">
        <x:f>D9/D30</x:f>
        <x:v>0.5031608596256767</x:v>
      </x:c>
      <x:c r="E12" s="9" t="n">
        <x:f>E9/E30</x:f>
        <x:v>0.484473292116022</x:v>
      </x:c>
      <x:c r="F12" s="9" t="n">
        <x:f>F9/F30</x:f>
        <x:v>0.49303754486377965</x:v>
      </x:c>
      <x:c r="G12" s="9" t="n">
        <x:f>G9/G30</x:f>
        <x:v>0.48817724663299955</x:v>
      </x:c>
      <x:c r="H12" s="10" t="n">
        <x:f>H9/H30</x:f>
        <x:v>0.4917191418107661</x:v>
      </x:c>
    </x:row>
    <x:row r="13">
      <x:c r="B13" s="1" t="s">
        <x:v>43</x:v>
      </x:c>
      <x:c r="C13" s="37" t="n">
        <x:f>'Segment - Americas'!C13</x:f>
        <x:v>0.050000000000000044</x:v>
      </x:c>
      <x:c r="D13" s="37" t="n">
        <x:f>'Segment - Americas'!D13</x:f>
        <x:v>0.07692886402634214</x:v>
      </x:c>
      <x:c r="E13" s="37" t="n">
        <x:f>'Segment - Americas'!E13</x:f>
        <x:v>0.03972978651898318</x:v>
      </x:c>
      <x:c r="F13" s="37" t="n">
        <x:f>'Segment - Americas'!F13</x:f>
        <x:v>0.04013797106031047</x:v>
      </x:c>
      <x:c r="G13" s="37" t="n">
        <x:f>'Segment - Americas'!G13</x:f>
        <x:v>0.010000000000000009</x:v>
      </x:c>
      <x:c r="H13" s="23" t="n">
        <x:f>'Segment - Americas'!H13</x:f>
        <x:v>0.015075376884422065</x:v>
      </x:c>
    </x:row>
    <x:row r="14">
      <x:c r="B14" s="1" t="s">
        <x:v>44</x:v>
      </x:c>
      <x:c r="C14" s="37" t="n">
        <x:f>'Segment - Americas'!C14</x:f>
        <x:v>0</x:v>
      </x:c>
      <x:c r="D14" s="37" t="n">
        <x:f>'Segment - Americas'!D14</x:f>
        <x:v>0</x:v>
      </x:c>
      <x:c r="E14" s="37" t="n">
        <x:f>'Segment - Americas'!E14</x:f>
        <x:v>0</x:v>
      </x:c>
      <x:c r="F14" s="37" t="n">
        <x:f>'Segment - Americas'!F14</x:f>
        <x:v>0</x:v>
      </x:c>
      <x:c r="G14" s="37" t="n">
        <x:f>'Segment - Americas'!G14</x:f>
        <x:v>0</x:v>
      </x:c>
      <x:c r="H14" s="23" t="n">
        <x:f>'Segment - Americas'!H14</x:f>
        <x:v>0</x:v>
      </x:c>
    </x:row>
    <x:row r="15">
      <x:c r="B15" s="1" t="s">
        <x:v>45</x:v>
      </x:c>
      <x:c r="C15" s="37" t="n">
        <x:f>'Segment - Americas'!C15</x:f>
        <x:v>-0.004548341585780213</x:v>
      </x:c>
      <x:c r="D15" s="37" t="n">
        <x:f>'Segment - Americas'!D15</x:f>
        <x:v>0</x:v>
      </x:c>
      <x:c r="E15" s="37" t="n">
        <x:f>'Segment - Americas'!E15</x:f>
        <x:v>0</x:v>
      </x:c>
      <x:c r="F15" s="37" t="n">
        <x:f>'Segment - Americas'!F15</x:f>
        <x:v>0</x:v>
      </x:c>
      <x:c r="G15" s="37" t="n">
        <x:f>'Segment - Americas'!G15</x:f>
        <x:v>0.009052735221132924</x:v>
      </x:c>
      <x:c r="H15" s="23" t="n">
        <x:f>'Segment - Americas'!H15</x:f>
        <x:v>-0.005</x:v>
      </x:c>
    </x:row>
    <x:row r="16">
      <x:c r="B16" s="4" t="s">
        <x:v>46</x:v>
      </x:c>
      <x:c r="C16" s="13" t="n">
        <x:f>'Segment - EMEA'!C18</x:f>
        <x:v>6196.281</x:v>
      </x:c>
      <x:c r="D16" s="13" t="n">
        <x:f>'Segment - EMEA'!D18</x:f>
        <x:v>24643.957</x:v>
      </x:c>
      <x:c r="E16" s="13" t="n">
        <x:f>'Segment - EMEA'!E18</x:f>
        <x:v>6935.233</x:v>
      </x:c>
      <x:c r="F16" s="13" t="n">
        <x:f>'Segment - EMEA'!F18</x:f>
        <x:v>6569.391</x:v>
      </x:c>
      <x:c r="G16" s="13" t="n">
        <x:f>'Segment - EMEA'!G18</x:f>
        <x:v>6873.448</x:v>
      </x:c>
      <x:c r="H16" s="6" t="n">
        <x:f>'Segment - EMEA'!H18</x:f>
        <x:v>6518.487612</x:v>
      </x:c>
    </x:row>
    <x:row r="17">
      <x:c r="B17" s="1" t="s">
        <x:v>40</x:v>
      </x:c>
      <x:c r="C17" s="37" t="n">
        <x:f>'Segment - EMEA'!C16</x:f>
        <x:v>0.09887239453050256</x:v>
      </x:c>
      <x:c r="D17" s="37" t="n">
        <x:f>'Segment - EMEA'!D16</x:f>
        <x:v>0.08002838475916185</x:v>
      </x:c>
      <x:c r="E17" s="37" t="n">
        <x:f>'Segment - EMEA'!E16</x:f>
        <x:v>0.08161024910978742</x:v>
      </x:c>
      <x:c r="F17" s="37" t="n">
        <x:f>'Segment - EMEA'!F16</x:f>
        <x:v>0.131897396136202</x:v>
      </x:c>
      <x:c r="G17" s="37" t="n">
        <x:f>'Segment - EMEA'!G16</x:f>
        <x:v>0.10295483732035238</x:v>
      </x:c>
      <x:c r="H17" s="23" t="n">
        <x:f>'Segment - EMEA'!H16</x:f>
        <x:v>0.052000000000000046</x:v>
      </x:c>
    </x:row>
    <x:row r="18">
      <x:c r="B18" s="1" t="s">
        <x:v>41</x:v>
      </x:c>
      <x:c r="C18" s="9"/>
      <x:c r="D18" s="9"/>
      <x:c r="E18" s="9" t="n">
        <x:f>E16/C16-1</x:f>
        <x:v>0.11925734162153079</x:v>
      </x:c>
      <x:c r="F18" s="9" t="n">
        <x:f>F16/E16-1</x:f>
        <x:v>-0.05275121974993491</x:v>
      </x:c>
      <x:c r="G18" s="9" t="n">
        <x:f>G16/F16-1</x:f>
        <x:v>0.046283894504072</x:v>
      </x:c>
      <x:c r="H18" s="10" t="n">
        <x:f>H16/G16-1</x:f>
        <x:v>-0.05164225989634319</x:v>
      </x:c>
    </x:row>
    <x:row r="19">
      <x:c r="B19" s="1" t="s">
        <x:v>42</x:v>
      </x:c>
      <x:c r="C19" s="9" t="n">
        <x:f>C16/C30</x:f>
        <x:v>0.35213624940754457</x:v>
      </x:c>
      <x:c r="D19" s="9" t="n">
        <x:f>D16/D30</x:f>
        <x:v>0.3537089709831116</x:v>
      </x:c>
      <x:c r="E19" s="9" t="n">
        <x:f>E16/E30</x:f>
        <x:v>0.3700345078266205</x:v>
      </x:c>
      <x:c r="F19" s="9" t="n">
        <x:f>F16/F30</x:f>
        <x:v>0.3640748709298669</x:v>
      </x:c>
      <x:c r="G19" s="9" t="n">
        <x:f>G16/G30</x:f>
        <x:v>0.3672077744460135</x:v>
      </x:c>
      <x:c r="H19" s="10" t="n">
        <x:f>H16/H30</x:f>
        <x:v>0.3604485348408078</x:v>
      </x:c>
    </x:row>
    <x:row r="20">
      <x:c r="B20" s="1" t="s">
        <x:v>43</x:v>
      </x:c>
      <x:c r="C20" s="37" t="n">
        <x:f>'Segment - EMEA'!C13</x:f>
        <x:v>0.030000000000000027</x:v>
      </x:c>
      <x:c r="D20" s="37" t="n">
        <x:f>'Segment - EMEA'!D13</x:f>
        <x:v>0.08002838475916185</x:v>
      </x:c>
      <x:c r="E20" s="37" t="n">
        <x:f>'Segment - EMEA'!E13</x:f>
        <x:v>0.08161024910978742</x:v>
      </x:c>
      <x:c r="F20" s="37" t="n">
        <x:f>'Segment - EMEA'!F13</x:f>
        <x:v>0.131897396136202</x:v>
      </x:c>
      <x:c r="G20" s="37" t="n">
        <x:f>'Segment - EMEA'!G13</x:f>
        <x:v>0.040000000000000036</x:v>
      </x:c>
      <x:c r="H20" s="23" t="n">
        <x:f>'Segment - EMEA'!H13</x:f>
        <x:v>0.05728643216080398</x:v>
      </x:c>
    </x:row>
    <x:row r="21">
      <x:c r="B21" s="1" t="s">
        <x:v>44</x:v>
      </x:c>
      <x:c r="C21" s="37" t="n">
        <x:f>'Segment - EMEA'!C14</x:f>
        <x:v>0</x:v>
      </x:c>
      <x:c r="D21" s="37" t="n">
        <x:f>'Segment - EMEA'!D14</x:f>
        <x:v>0</x:v>
      </x:c>
      <x:c r="E21" s="37" t="n">
        <x:f>'Segment - EMEA'!E14</x:f>
        <x:v>0</x:v>
      </x:c>
      <x:c r="F21" s="37" t="n">
        <x:f>'Segment - EMEA'!F14</x:f>
        <x:v>0</x:v>
      </x:c>
      <x:c r="G21" s="37" t="n">
        <x:f>'Segment - EMEA'!G14</x:f>
        <x:v>0</x:v>
      </x:c>
      <x:c r="H21" s="23" t="n">
        <x:f>'Segment - EMEA'!H14</x:f>
        <x:v>0</x:v>
      </x:c>
    </x:row>
    <x:row r="22">
      <x:c r="B22" s="1" t="s">
        <x:v>45</x:v>
      </x:c>
      <x:c r="C22" s="37" t="n">
        <x:f>'Segment - EMEA'!C15</x:f>
        <x:v>0.06686640245679865</x:v>
      </x:c>
      <x:c r="D22" s="37" t="n">
        <x:f>'Segment - EMEA'!D15</x:f>
        <x:v>0</x:v>
      </x:c>
      <x:c r="E22" s="37" t="n">
        <x:f>'Segment - EMEA'!E15</x:f>
        <x:v>0</x:v>
      </x:c>
      <x:c r="F22" s="37" t="n">
        <x:f>'Segment - EMEA'!F15</x:f>
        <x:v>0</x:v>
      </x:c>
      <x:c r="G22" s="37" t="n">
        <x:f>'Segment - EMEA'!G15</x:f>
        <x:v>0.06053349742341574</x:v>
      </x:c>
      <x:c r="H22" s="23" t="n">
        <x:f>'Segment - EMEA'!H15</x:f>
        <x:v>-0.005</x:v>
      </x:c>
    </x:row>
    <x:row r="23">
      <x:c r="B23" s="4" t="s">
        <x:v>47</x:v>
      </x:c>
      <x:c r="C23" s="13" t="n">
        <x:f>'Segment - Asia Pacific'!C18</x:f>
        <x:v>2595.588</x:v>
      </x:c>
      <x:c r="D23" s="13" t="n">
        <x:f>'Segment - Asia Pacific'!D18</x:f>
        <x:v>9972.305</x:v>
      </x:c>
      <x:c r="E23" s="13" t="n">
        <x:f>'Segment - Asia Pacific'!E18</x:f>
        <x:v>2726.833</x:v>
      </x:c>
      <x:c r="F23" s="13" t="n">
        <x:f>'Segment - Asia Pacific'!F18</x:f>
        <x:v>2578.273</x:v>
      </x:c>
      <x:c r="G23" s="13" t="n">
        <x:f>'Segment - Asia Pacific'!G18</x:f>
        <x:v>2706.924</x:v>
      </x:c>
      <x:c r="H23" s="6" t="n">
        <x:f>'Segment - Asia Pacific'!H18</x:f>
        <x:v>2673.45564</x:v>
      </x:c>
    </x:row>
    <x:row r="24">
      <x:c r="B24" s="1" t="s">
        <x:v>40</x:v>
      </x:c>
      <x:c r="C24" s="37" t="n">
        <x:f>'Segment - Asia Pacific'!C16</x:f>
        <x:v>0.10751750825329665</x:v>
      </x:c>
      <x:c r="D24" s="37" t="n">
        <x:f>'Segment - Asia Pacific'!D16</x:f>
        <x:v>0.0468406994848678</x:v>
      </x:c>
      <x:c r="E24" s="37" t="n">
        <x:f>'Segment - Asia Pacific'!E16</x:f>
        <x:v>0.07165853539676581</x:v>
      </x:c>
      <x:c r="F24" s="37" t="n">
        <x:f>'Segment - Asia Pacific'!F16</x:f>
        <x:v>0.11985477308185466</x:v>
      </x:c>
      <x:c r="G24" s="37" t="n">
        <x:f>'Segment - Asia Pacific'!G16</x:f>
        <x:v>0.06997653258579128</x:v>
      </x:c>
      <x:c r="H24" s="23" t="n">
        <x:f>'Segment - Asia Pacific'!H16</x:f>
        <x:v>0.030000000000000027</x:v>
      </x:c>
    </x:row>
    <x:row r="25">
      <x:c r="B25" s="1" t="s">
        <x:v>41</x:v>
      </x:c>
      <x:c r="C25" s="9"/>
      <x:c r="D25" s="9"/>
      <x:c r="E25" s="9" t="n">
        <x:f>E23/C23-1</x:f>
        <x:v>0.05056465047611547</x:v>
      </x:c>
      <x:c r="F25" s="9" t="n">
        <x:f>F23/E23-1</x:f>
        <x:v>-0.05448078411842605</x:v>
      </x:c>
      <x:c r="G25" s="9" t="n">
        <x:f>G23/F23-1</x:f>
        <x:v>0.049898129484348575</x:v>
      </x:c>
      <x:c r="H25" s="10" t="n">
        <x:f>H23/G23-1</x:f>
        <x:v>-0.012363982143569596</x:v>
      </x:c>
    </x:row>
    <x:row r="26">
      <x:c r="B26" s="1" t="s">
        <x:v>42</x:v>
      </x:c>
      <x:c r="C26" s="9" t="n">
        <x:f>C23/C30</x:f>
        <x:v>0.14750793634556436</x:v>
      </x:c>
      <x:c r="D26" s="9" t="n">
        <x:f>D23/D30</x:f>
        <x:v>0.1431301693912118</x:v>
      </x:c>
      <x:c r="E26" s="9" t="n">
        <x:f>E23/E30</x:f>
        <x:v>0.14549220005735744</x:v>
      </x:c>
      <x:c r="F26" s="9" t="n">
        <x:f>F23/F30</x:f>
        <x:v>0.1428875842063535</x:v>
      </x:c>
      <x:c r="G26" s="9" t="n">
        <x:f>G23/G30</x:f>
        <x:v>0.14461497892098704</x:v>
      </x:c>
      <x:c r="H26" s="10" t="n">
        <x:f>H23/H30</x:f>
        <x:v>0.14783232334842614</x:v>
      </x:c>
    </x:row>
    <x:row r="27">
      <x:c r="B27" s="1" t="s">
        <x:v>43</x:v>
      </x:c>
      <x:c r="C27" s="37" t="n">
        <x:f>'Segment - Asia Pacific'!C13</x:f>
        <x:v>0.06000000000000005</x:v>
      </x:c>
      <x:c r="D27" s="37" t="n">
        <x:f>'Segment - Asia Pacific'!D13</x:f>
        <x:v>0.0468406994848678</x:v>
      </x:c>
      <x:c r="E27" s="37" t="n">
        <x:f>'Segment - Asia Pacific'!E13</x:f>
        <x:v>0.07165853539676581</x:v>
      </x:c>
      <x:c r="F27" s="37" t="n">
        <x:f>'Segment - Asia Pacific'!F13</x:f>
        <x:v>0.11985477308185466</x:v>
      </x:c>
      <x:c r="G27" s="37" t="n">
        <x:f>'Segment - Asia Pacific'!G13</x:f>
        <x:v>0.08000000000000007</x:v>
      </x:c>
      <x:c r="H27" s="23" t="n">
        <x:f>'Segment - Asia Pacific'!H13</x:f>
        <x:v>0.035175879396984966</x:v>
      </x:c>
    </x:row>
    <x:row r="28">
      <x:c r="B28" s="1" t="s">
        <x:v>44</x:v>
      </x:c>
      <x:c r="C28" s="37" t="n">
        <x:f>'Segment - Asia Pacific'!C14</x:f>
        <x:v>0</x:v>
      </x:c>
      <x:c r="D28" s="37" t="n">
        <x:f>'Segment - Asia Pacific'!D14</x:f>
        <x:v>0</x:v>
      </x:c>
      <x:c r="E28" s="37" t="n">
        <x:f>'Segment - Asia Pacific'!E14</x:f>
        <x:v>0</x:v>
      </x:c>
      <x:c r="F28" s="37" t="n">
        <x:f>'Segment - Asia Pacific'!F14</x:f>
        <x:v>0</x:v>
      </x:c>
      <x:c r="G28" s="37" t="n">
        <x:f>'Segment - Asia Pacific'!G14</x:f>
        <x:v>0</x:v>
      </x:c>
      <x:c r="H28" s="23" t="n">
        <x:f>'Segment - Asia Pacific'!H14</x:f>
        <x:v>0</x:v>
      </x:c>
    </x:row>
    <x:row r="29">
      <x:c r="B29" s="1" t="s">
        <x:v>45</x:v>
      </x:c>
      <x:c r="C29" s="37" t="n">
        <x:f>'Segment - Asia Pacific'!C15</x:f>
        <x:v>0.04482783797480816</x:v>
      </x:c>
      <x:c r="D29" s="37" t="n">
        <x:f>'Segment - Asia Pacific'!D15</x:f>
        <x:v>0</x:v>
      </x:c>
      <x:c r="E29" s="37" t="n">
        <x:f>'Segment - Asia Pacific'!E15</x:f>
        <x:v>0</x:v>
      </x:c>
      <x:c r="F29" s="37" t="n">
        <x:f>'Segment - Asia Pacific'!F15</x:f>
        <x:v>0</x:v>
      </x:c>
      <x:c r="G29" s="37" t="n">
        <x:f>'Segment - Asia Pacific'!G15</x:f>
        <x:v>-0.009280988346489605</x:v>
      </x:c>
      <x:c r="H29" s="23" t="n">
        <x:f>'Segment - Asia Pacific'!H15</x:f>
        <x:v>-0.005</x:v>
      </x:c>
    </x:row>
    <x:row r="30">
      <x:c r="B30" s="4" t="s">
        <x:v>48</x:v>
      </x:c>
      <x:c r="C30" s="18" t="n">
        <x:f>SUM(C9,C16,C23)</x:f>
        <x:v>17596.26</x:v>
      </x:c>
      <x:c r="D30" s="18" t="n">
        <x:f>SUM(D9,D16,D23)</x:f>
        <x:v>69672.97699999998</x:v>
      </x:c>
      <x:c r="E30" s="18" t="n">
        <x:f>SUM(E9,E16,E23)</x:f>
        <x:v>18742.125</x:v>
      </x:c>
      <x:c r="F30" s="18" t="n">
        <x:f>SUM(F9,F16,F23)</x:f>
        <x:v>18044.066</x:v>
      </x:c>
      <x:c r="G30" s="18" t="n">
        <x:f>SUM(G9,G16,G23)</x:f>
        <x:v>18718.144</x:v>
      </x:c>
      <x:c r="H30" s="12" t="n">
        <x:f>SUM(H9,H16,H23)</x:f>
        <x:v>18084.378161999997</x:v>
      </x:c>
    </x:row>
    <x:row r="31">
      <x:c r="B31" s="1" t="s">
        <x:v>49</x:v>
      </x:c>
      <x:c r="C31" s="9" t="n">
        <x:f>C30/Inputs!C167-1</x:f>
        <x:v>0.07256211957476788</x:v>
      </x:c>
      <x:c r="D31" s="9" t="n">
        <x:f>D30/Inputs!C168-1</x:f>
        <x:v>0.07360205326441172</x:v>
      </x:c>
      <x:c r="E31" s="9" t="n">
        <x:f>E30/C72-1</x:f>
        <x:v>0.05950294368792419</x:v>
      </x:c>
      <x:c r="F31" s="9" t="n">
        <x:f>F30/Inputs!C160-1</x:f>
        <x:v>0.08312263521740793</x:v>
      </x:c>
      <x:c r="G31" s="9" t="n">
        <x:f>G30/Inputs!C161-1</x:f>
        <x:v>0.055859668653951866</x:v>
      </x:c>
      <x:c r="H31" s="10" t="n">
        <x:f>H30/C30-1</x:f>
        <x:v>0.027739881202028194</x:v>
      </x:c>
    </x:row>
    <x:row r="32">
      <x:c r="B32" s="1" t="s">
        <x:v>50</x:v>
      </x:c>
      <x:c r="C32" s="9" t="n">
        <x:f>C30/Inputs!C161-1</x:f>
        <x:v>-0.0074239597072880414</x:v>
      </x:c>
      <x:c r="D32" s="9"/>
      <x:c r="E32" s="9" t="n">
        <x:f>E30/C30-1</x:f>
        <x:v>0.06511980386741278</x:v>
      </x:c>
      <x:c r="F32" s="9" t="n">
        <x:f>F30/E30-1</x:f>
        <x:v>-0.03724545642503185</x:v>
      </x:c>
      <x:c r="G32" s="9" t="n">
        <x:f>G30/F30-1</x:f>
        <x:v>0.03735732290050375</x:v>
      </x:c>
      <x:c r="H32" s="10" t="n">
        <x:f>H30/G30-1</x:f>
        <x:v>-0.03385836961185906</x:v>
      </x:c>
    </x:row>
    <x:row r="33">
      <x:c r="B33" s="8" t="s">
        <x:v>51</x:v>
      </x:c>
      <x:c r="C33" s="5" t="n">
        <x:f>C30-Inputs!H119</x:f>
        <x:v>0</x:v>
      </x:c>
      <x:c r="D33" s="3"/>
      <x:c r="E33" s="5" t="n">
        <x:f>E30-Inputs!H120</x:f>
        <x:v>-0.005000000001018634</x:v>
      </x:c>
      <x:c r="F33" s="5" t="n">
        <x:f>F30-Inputs!H121</x:f>
        <x:v>-0.004000000000814907</x:v>
      </x:c>
      <x:c r="G33" s="5" t="n">
        <x:f>G30-Inputs!H122</x:f>
        <x:v>0.004000000000814907</x:v>
      </x:c>
      <x:c r="H33" s="15"/>
    </x:row>
    <x:row r="34">
      <x:c r="B34" s="8"/>
      <x:c r="C34" s="3"/>
      <x:c r="D34" s="3"/>
      <x:c r="E34" s="3"/>
      <x:c r="F34" s="3"/>
      <x:c r="G34" s="3"/>
      <x:c r="H34" s="15"/>
    </x:row>
    <x:row r="35">
      <x:c r="B35" s="8" t="s">
        <x:v>52</x:v>
      </x:c>
      <x:c r="C35" s="3"/>
      <x:c r="D35" s="3"/>
      <x:c r="E35" s="3"/>
      <x:c r="F35" s="3"/>
      <x:c r="G35" s="3"/>
      <x:c r="H35" s="15"/>
    </x:row>
    <x:row r="36">
      <x:c r="B36" s="8" t="s">
        <x:v>53</x:v>
      </x:c>
      <x:c r="C36" s="19">
        <x:v>2953.957</x:v>
      </x:c>
      <x:c r="D36" s="19">
        <x:v>11453.982</x:v>
      </x:c>
      <x:c r="E36" s="19">
        <x:v>3102.457</x:v>
      </x:c>
      <x:c r="F36" s="19">
        <x:v>3090.839</x:v>
      </x:c>
      <x:c r="G36" s="19">
        <x:v>3217.835</x:v>
      </x:c>
      <x:c r="H36" s="15" t="n">
        <x:f>C36*H30/C30</x:f>
        <x:v>3035.8994162558993</x:v>
      </x:c>
    </x:row>
    <x:row r="37">
      <x:c r="B37" s="1" t="s">
        <x:v>54</x:v>
      </x:c>
      <x:c r="C37" s="9" t="n">
        <x:f>C36/Inputs!C170-1</x:f>
        <x:v>0.07396583837269621</x:v>
      </x:c>
      <x:c r="D37" s="9" t="n">
        <x:f>D36/Inputs!D170-1</x:f>
        <x:v>0.05691594506095399</x:v>
      </x:c>
      <x:c r="E37" s="9" t="n">
        <x:f>E36/Inputs!E170-1</x:f>
        <x:v>0.08557797112200083</x:v>
      </x:c>
      <x:c r="F37" s="9" t="n">
        <x:f>F36/Inputs!F170-1</x:f>
        <x:v>0.13231855307722018</x:v>
      </x:c>
      <x:c r="G37" s="9" t="n">
        <x:f>G36/Inputs!G170-1</x:f>
        <x:v>0.10484174167420601</x:v>
      </x:c>
      <x:c r="H37" s="10" t="n">
        <x:f>H36/C36-1</x:f>
        <x:v>0.027739881202028194</x:v>
      </x:c>
    </x:row>
    <x:row r="38">
      <x:c r="B38" s="1" t="s">
        <x:v>55</x:v>
      </x:c>
      <x:c r="C38" s="9" t="n">
        <x:f>C36/C30</x:f>
        <x:v>0.1678741391636632</x:v>
      </x:c>
      <x:c r="D38" s="9" t="n">
        <x:f>D36/D30</x:f>
        <x:v>0.16439633403349482</x:v>
      </x:c>
      <x:c r="E38" s="9" t="n">
        <x:f>E36/E30</x:f>
        <x:v>0.16553389757031287</x:v>
      </x:c>
      <x:c r="F38" s="9" t="n">
        <x:f>F36/F30</x:f>
        <x:v>0.1712939312015374</x:v>
      </x:c>
      <x:c r="G38" s="9" t="n">
        <x:f>G36/G30</x:f>
        <x:v>0.17190993936150933</x:v>
      </x:c>
      <x:c r="H38" s="10" t="n">
        <x:f>H36/H30</x:f>
        <x:v>0.1678741391636632</x:v>
      </x:c>
    </x:row>
    <x:row r="39">
      <x:c r="B39" s="8" t="s">
        <x:v>56</x:v>
      </x:c>
      <x:c r="C39" s="3" t="n">
        <x:f>C36-Inputs!G170</x:f>
        <x:v>41.47199999999975</x:v>
      </x:c>
      <x:c r="D39" s="3"/>
      <x:c r="E39" s="3" t="n">
        <x:f>E36-C36</x:f>
        <x:v>148.5</x:v>
      </x:c>
      <x:c r="F39" s="3" t="n">
        <x:f>F36-E36</x:f>
        <x:v>-11.617999999999938</x:v>
      </x:c>
      <x:c r="G39" s="3" t="n">
        <x:f>G36-F36</x:f>
        <x:v>126.9960000000001</x:v>
      </x:c>
      <x:c r="H39" s="15" t="n">
        <x:f>H36-G36</x:f>
        <x:v>-181.93558374410077</x:v>
      </x:c>
    </x:row>
    <x:row r="40">
      <x:c r="B40" s="8" t="s">
        <x:v>57</x:v>
      </x:c>
      <x:c r="C40" s="19">
        <x:v>3315.7</x:v>
      </x:c>
      <x:c r="D40" s="19">
        <x:v>12773.856</x:v>
      </x:c>
      <x:c r="E40" s="19">
        <x:v>3602.372</x:v>
      </x:c>
      <x:c r="F40" s="19">
        <x:v>3395.016</x:v>
      </x:c>
      <x:c r="G40" s="19">
        <x:v>3488.749</x:v>
      </x:c>
      <x:c r="H40" s="15" t="n">
        <x:f>C40*H30/C30</x:f>
        <x:v>3407.6771241015645</x:v>
      </x:c>
    </x:row>
    <x:row r="41">
      <x:c r="B41" s="1" t="s">
        <x:v>54</x:v>
      </x:c>
      <x:c r="C41" s="9" t="n">
        <x:f>C40/Inputs!C171-1</x:f>
        <x:v>0.15410426305376612</x:v>
      </x:c>
      <x:c r="D41" s="9" t="n">
        <x:f>D40/Inputs!D171-1</x:f>
        <x:v>0.1002246726484628</x:v>
      </x:c>
      <x:c r="E41" s="9" t="n">
        <x:f>E40/Inputs!E171-1</x:f>
        <x:v>0.13681274032885904</x:v>
      </x:c>
      <x:c r="F41" s="9" t="n">
        <x:f>F40/Inputs!F171-1</x:f>
        <x:v>0.12775118504665461</x:v>
      </x:c>
      <x:c r="G41" s="9" t="n">
        <x:f>G40/Inputs!G171-1</x:f>
        <x:v>0.06400273751094487</x:v>
      </x:c>
      <x:c r="H41" s="10" t="n">
        <x:f>H40/C40-1</x:f>
        <x:v>0.027739881202028194</x:v>
      </x:c>
    </x:row>
    <x:row r="42">
      <x:c r="B42" s="1" t="s">
        <x:v>55</x:v>
      </x:c>
      <x:c r="C42" s="9" t="n">
        <x:f>C40/C30</x:f>
        <x:v>0.188432087273091</x:v>
      </x:c>
      <x:c r="D42" s="9" t="n">
        <x:f>D40/D30</x:f>
        <x:v>0.18334017792866814</x:v>
      </x:c>
      <x:c r="E42" s="9" t="n">
        <x:f>E40/E30</x:f>
        <x:v>0.19220723370482268</x:v>
      </x:c>
      <x:c r="F42" s="9" t="n">
        <x:f>F40/F30</x:f>
        <x:v>0.18815138450502233</x:v>
      </x:c>
      <x:c r="G42" s="9" t="n">
        <x:f>G40/G30</x:f>
        <x:v>0.1863832760342051</x:v>
      </x:c>
      <x:c r="H42" s="10" t="n">
        <x:f>H40/H30</x:f>
        <x:v>0.188432087273091</x:v>
      </x:c>
    </x:row>
    <x:row r="43">
      <x:c r="B43" s="8" t="s">
        <x:v>56</x:v>
      </x:c>
      <x:c r="C43" s="3" t="n">
        <x:f>C40-Inputs!G171</x:f>
        <x:v>36.80899999999974</x:v>
      </x:c>
      <x:c r="D43" s="3"/>
      <x:c r="E43" s="3" t="n">
        <x:f>E40-C40</x:f>
        <x:v>286.672</x:v>
      </x:c>
      <x:c r="F43" s="3" t="n">
        <x:f>F40-E40</x:f>
        <x:v>-207.35599999999977</x:v>
      </x:c>
      <x:c r="G43" s="3" t="n">
        <x:f>G40-F40</x:f>
        <x:v>93.73299999999972</x:v>
      </x:c>
      <x:c r="H43" s="15" t="n">
        <x:f>H40-G40</x:f>
        <x:v>-81.07187589843534</x:v>
      </x:c>
    </x:row>
    <x:row r="44">
      <x:c r="B44" s="8" t="s">
        <x:v>58</x:v>
      </x:c>
      <x:c r="C44" s="19">
        <x:v>3563.632</x:v>
      </x:c>
      <x:c r="D44" s="19">
        <x:v>14762.837</x:v>
      </x:c>
      <x:c r="E44" s="19">
        <x:v>3796.837</x:v>
      </x:c>
      <x:c r="F44" s="19">
        <x:v>3670.199</x:v>
      </x:c>
      <x:c r="G44" s="19">
        <x:v>3845.053</x:v>
      </x:c>
      <x:c r="H44" s="15" t="n">
        <x:f>C44*H30/C30</x:f>
        <x:v>3662.486728327746</x:v>
      </x:c>
    </x:row>
    <x:row r="45">
      <x:c r="B45" s="1" t="s">
        <x:v>54</x:v>
      </x:c>
      <x:c r="C45" s="9" t="n">
        <x:f>C44/Inputs!C172-1</x:f>
        <x:v>-0.01390007651088232</x:v>
      </x:c>
      <x:c r="D45" s="9" t="n">
        <x:f>D44/Inputs!D172-1</x:f>
        <x:v>0.06663011246450123</x:v>
      </x:c>
      <x:c r="E45" s="9" t="n">
        <x:f>E44/Inputs!E172-1</x:f>
        <x:v>-0.004136799761003562</x:v>
      </x:c>
      <x:c r="F45" s="9" t="n">
        <x:f>F44/Inputs!F172-1</x:f>
        <x:v>0.01698212646914099</x:v>
      </x:c>
      <x:c r="G45" s="9" t="n">
        <x:f>G44/Inputs!G172-1</x:f>
        <x:v>0.017833413276494126</x:v>
      </x:c>
      <x:c r="H45" s="10" t="n">
        <x:f>H44/C44-1</x:f>
        <x:v>0.027739881202028194</x:v>
      </x:c>
    </x:row>
    <x:row r="46">
      <x:c r="B46" s="1" t="s">
        <x:v>55</x:v>
      </x:c>
      <x:c r="C46" s="9" t="n">
        <x:f>C44/C30</x:f>
        <x:v>0.2025221268610489</x:v>
      </x:c>
      <x:c r="D46" s="9" t="n">
        <x:f>D44/D30</x:f>
        <x:v>0.21188755864414985</x:v>
      </x:c>
      <x:c r="E46" s="9" t="n">
        <x:f>E44/E30</x:f>
        <x:v>0.2025830582177848</x:v>
      </x:c>
      <x:c r="F46" s="9" t="n">
        <x:f>F44/F30</x:f>
        <x:v>0.2034019937634899</x:v>
      </x:c>
      <x:c r="G46" s="9" t="n">
        <x:f>G44/G30</x:f>
        <x:v>0.20541849662017772</x:v>
      </x:c>
      <x:c r="H46" s="10" t="n">
        <x:f>H44/H30</x:f>
        <x:v>0.2025221268610489</x:v>
      </x:c>
    </x:row>
    <x:row r="47">
      <x:c r="B47" s="8" t="s">
        <x:v>56</x:v>
      </x:c>
      <x:c r="C47" s="3" t="n">
        <x:f>C44-Inputs!G172</x:f>
        <x:v>-214.05200000000013</x:v>
      </x:c>
      <x:c r="D47" s="3"/>
      <x:c r="E47" s="3" t="n">
        <x:f>E44-C44</x:f>
        <x:v>233.20499999999993</x:v>
      </x:c>
      <x:c r="F47" s="3" t="n">
        <x:f>F44-E44</x:f>
        <x:v>-126.63799999999992</x:v>
      </x:c>
      <x:c r="G47" s="3" t="n">
        <x:f>G44-F44</x:f>
        <x:v>174.85399999999981</x:v>
      </x:c>
      <x:c r="H47" s="15" t="n">
        <x:f>H44-G44</x:f>
        <x:v>-182.56627167225406</x:v>
      </x:c>
    </x:row>
    <x:row r="48">
      <x:c r="B48" s="8" t="s">
        <x:v>59</x:v>
      </x:c>
      <x:c r="C48" s="19">
        <x:v>5376.132</x:v>
      </x:c>
      <x:c r="D48" s="19">
        <x:v>21197.397</x:v>
      </x:c>
      <x:c r="E48" s="19">
        <x:v>5741.241</x:v>
      </x:c>
      <x:c r="F48" s="19">
        <x:v>5476.867</x:v>
      </x:c>
      <x:c r="G48" s="19">
        <x:v>5668.694</x:v>
      </x:c>
      <x:c r="H48" s="15" t="n">
        <x:f>C48*H30/C30</x:f>
        <x:v>5525.265263006421</x:v>
      </x:c>
    </x:row>
    <x:row r="49">
      <x:c r="B49" s="1" t="s">
        <x:v>54</x:v>
      </x:c>
      <x:c r="C49" s="9" t="n">
        <x:f>C48/Inputs!C173-1</x:f>
        <x:v>0.0863271425387464</x:v>
      </x:c>
      <x:c r="D49" s="9" t="n">
        <x:f>D48/Inputs!D173-1</x:f>
        <x:v>0.08403549445299463</x:v>
      </x:c>
      <x:c r="E49" s="9" t="n">
        <x:f>E48/Inputs!E173-1</x:f>
        <x:v>0.05823143606170844</x:v>
      </x:c>
      <x:c r="F49" s="9" t="n">
        <x:f>F48/Inputs!F173-1</x:f>
        <x:v>0.08413332253858452</x:v>
      </x:c>
      <x:c r="G49" s="9" t="n">
        <x:f>G48/Inputs!G173-1</x:f>
        <x:v>0.060736972243642384</x:v>
      </x:c>
      <x:c r="H49" s="10" t="n">
        <x:f>H48/C48-1</x:f>
        <x:v>0.027739881202028194</x:v>
      </x:c>
    </x:row>
    <x:row r="50">
      <x:c r="B50" s="1" t="s">
        <x:v>55</x:v>
      </x:c>
      <x:c r="C50" s="9" t="n">
        <x:f>C48/C30</x:f>
        <x:v>0.3055269699356568</x:v>
      </x:c>
      <x:c r="D50" s="9" t="n">
        <x:f>D48/D30</x:f>
        <x:v>0.3042412986027568</x:v>
      </x:c>
      <x:c r="E50" s="9" t="n">
        <x:f>E48/E30</x:f>
        <x:v>0.3063281778346906</x:v>
      </x:c>
      <x:c r="F50" s="9" t="n">
        <x:f>F48/F30</x:f>
        <x:v>0.30352732028357693</x:v>
      </x:c>
      <x:c r="G50" s="9" t="n">
        <x:f>G48/G30</x:f>
        <x:v>0.30284487607318333</x:v>
      </x:c>
      <x:c r="H50" s="10" t="n">
        <x:f>H48/H30</x:f>
        <x:v>0.3055269699356568</x:v>
      </x:c>
    </x:row>
    <x:row r="51">
      <x:c r="B51" s="8" t="s">
        <x:v>56</x:v>
      </x:c>
      <x:c r="C51" s="3" t="n">
        <x:f>C48-Inputs!G173</x:f>
        <x:v>32.02299999999923</x:v>
      </x:c>
      <x:c r="D51" s="3"/>
      <x:c r="E51" s="3" t="n">
        <x:f>E48-C48</x:f>
        <x:v>365.1090000000004</x:v>
      </x:c>
      <x:c r="F51" s="3" t="n">
        <x:f>F48-E48</x:f>
        <x:v>-264.3739999999998</x:v>
      </x:c>
      <x:c r="G51" s="3" t="n">
        <x:f>G48-F48</x:f>
        <x:v>191.82700000000023</x:v>
      </x:c>
      <x:c r="H51" s="15" t="n">
        <x:f>H48-G48</x:f>
        <x:v>-143.42873699357915</x:v>
      </x:c>
    </x:row>
    <x:row r="52">
      <x:c r="B52" s="8" t="s">
        <x:v>60</x:v>
      </x:c>
      <x:c r="C52" s="19">
        <x:v>2386.839</x:v>
      </x:c>
      <x:c r="D52" s="19">
        <x:v>9484.905</x:v>
      </x:c>
      <x:c r="E52" s="19">
        <x:v>2499.218</x:v>
      </x:c>
      <x:c r="F52" s="19">
        <x:v>2411.145</x:v>
      </x:c>
      <x:c r="G52" s="19">
        <x:v>2497.813</x:v>
      </x:c>
      <x:c r="H52" s="15" t="n">
        <x:f>C52*H30/C30</x:f>
        <x:v>2453.049630308368</x:v>
      </x:c>
    </x:row>
    <x:row r="53">
      <x:c r="B53" s="1" t="s">
        <x:v>54</x:v>
      </x:c>
      <x:c r="C53" s="9" t="n">
        <x:f>C52/Inputs!C174-1</x:f>
        <x:v>0.0753609933455579</x:v>
      </x:c>
      <x:c r="D53" s="9" t="n">
        <x:f>D52/Inputs!D174-1</x:f>
        <x:v>0.04756072737779071</x:v>
      </x:c>
      <x:c r="E53" s="9" t="n">
        <x:f>E52/Inputs!E174-1</x:f>
        <x:v>0.030648286794625168</x:v>
      </x:c>
      <x:c r="F53" s="9" t="n">
        <x:f>F52/Inputs!F174-1</x:f>
        <x:v>0.06760343861870766</x:v>
      </x:c>
      <x:c r="G53" s="9" t="n">
        <x:f>G52/Inputs!G174-1</x:f>
        <x:v>0.03441873986935029</x:v>
      </x:c>
      <x:c r="H53" s="10" t="n">
        <x:f>H52/C52-1</x:f>
        <x:v>0.027739881202028194</x:v>
      </x:c>
    </x:row>
    <x:row r="54">
      <x:c r="B54" s="1" t="s">
        <x:v>55</x:v>
      </x:c>
      <x:c r="C54" s="9" t="n">
        <x:f>C52/C30</x:f>
        <x:v>0.13564467676654018</x:v>
      </x:c>
      <x:c r="D54" s="9" t="n">
        <x:f>D52/D30</x:f>
        <x:v>0.13613463079093066</x:v>
      </x:c>
      <x:c r="E54" s="9" t="n">
        <x:f>E52/E30</x:f>
        <x:v>0.13334763267238905</x:v>
      </x:c>
      <x:c r="F54" s="9" t="n">
        <x:f>F52/F30</x:f>
        <x:v>0.13362537024637353</x:v>
      </x:c>
      <x:c r="G54" s="9" t="n">
        <x:f>G52/G30</x:f>
        <x:v>0.13344341191092451</x:v>
      </x:c>
      <x:c r="H54" s="10" t="n">
        <x:f>H52/H30</x:f>
        <x:v>0.13564467676654018</x:v>
      </x:c>
    </x:row>
    <x:row r="55">
      <x:c r="B55" s="8" t="s">
        <x:v>56</x:v>
      </x:c>
      <x:c r="C55" s="3" t="n">
        <x:f>C52-Inputs!G174</x:f>
        <x:v>-27.863000000000284</x:v>
      </x:c>
      <x:c r="D55" s="3"/>
      <x:c r="E55" s="3" t="n">
        <x:f>E52-C52</x:f>
        <x:v>112.3789999999999</x:v>
      </x:c>
      <x:c r="F55" s="3" t="n">
        <x:f>F52-E52</x:f>
        <x:v>-88.07299999999987</x:v>
      </x:c>
      <x:c r="G55" s="3" t="n">
        <x:f>G52-F52</x:f>
        <x:v>86.66800000000012</x:v>
      </x:c>
      <x:c r="H55" s="15" t="n">
        <x:f>H52-G52</x:f>
        <x:v>-44.763369691632306</x:v>
      </x:c>
    </x:row>
    <x:row r="56">
      <x:c r="B56" s="8" t="s">
        <x:v>61</x:v>
      </x:c>
      <x:c r="C56" s="3"/>
      <x:c r="D56" s="3"/>
      <x:c r="E56" s="3"/>
      <x:c r="F56" s="3"/>
      <x:c r="G56" s="3"/>
      <x:c r="H56" s="15"/>
    </x:row>
    <x:row r="57">
      <x:c r="B57" s="8" t="s">
        <x:v>62</x:v>
      </x:c>
      <x:c r="C57" s="19">
        <x:v>8772.265</x:v>
      </x:c>
      <x:c r="D57" s="19">
        <x:v>35106.786</x:v>
      </x:c>
      <x:c r="E57" s="19">
        <x:v>9414.567</x:v>
      </x:c>
      <x:c r="F57" s="19">
        <x:v>8859.641</x:v>
      </x:c>
      <x:c r="G57" s="19">
        <x:v>9328.494</x:v>
      </x:c>
      <x:c r="H57" s="15" t="n">
        <x:f>C57*H30/C30</x:f>
        <x:v>9015.606588972709</x:v>
      </x:c>
    </x:row>
    <x:row r="58">
      <x:c r="B58" s="1" t="s">
        <x:v>63</x:v>
      </x:c>
      <x:c r="C58" s="9" t="n">
        <x:f>C57/Inputs!C175-1</x:f>
        <x:v>0.06196677035420217</x:v>
      </x:c>
      <x:c r="D58" s="9" t="n">
        <x:f>D57/Inputs!D175-1</x:f>
        <x:v>0.0575892758160963</x:v>
      </x:c>
      <x:c r="E58" s="9" t="n">
        <x:f>E57/Inputs!E175-1</x:f>
        <x:v>0.04083246989462297</x:v>
      </x:c>
      <x:c r="F58" s="9" t="n">
        <x:f>F57/Inputs!F175-1</x:f>
        <x:v>0.06971297689278044</x:v>
      </x:c>
      <x:c r="G58" s="9" t="n">
        <x:f>G57/Inputs!G175-1</x:f>
        <x:v>0.035689999137340944</x:v>
      </x:c>
      <x:c r="H58" s="10" t="n">
        <x:f>H57/C57-1</x:f>
        <x:v>0.027739881202028194</x:v>
      </x:c>
    </x:row>
    <x:row r="59">
      <x:c r="B59" s="1" t="s">
        <x:v>64</x:v>
      </x:c>
      <x:c r="C59" s="9" t="n">
        <x:f>C57/C30</x:f>
        <x:v>0.49853008537041393</x:v>
      </x:c>
      <x:c r="D59" s="9" t="n">
        <x:f>D57/D30</x:f>
        <x:v>0.5038795170184849</x:v>
      </x:c>
      <x:c r="E59" s="9" t="n">
        <x:f>E57/E30</x:f>
        <x:v>0.5023212149102623</x:v>
      </x:c>
      <x:c r="F59" s="9" t="n">
        <x:f>F57/F30</x:f>
        <x:v>0.49100025459893576</x:v>
      </x:c>
      <x:c r="G59" s="9" t="n">
        <x:f>G57/G30</x:f>
        <x:v>0.4983663978650875</x:v>
      </x:c>
      <x:c r="H59" s="10" t="n">
        <x:f>H57/H30</x:f>
        <x:v>0.498530085370414</x:v>
      </x:c>
    </x:row>
    <x:row r="60">
      <x:c r="B60" s="8" t="s">
        <x:v>56</x:v>
      </x:c>
      <x:c r="C60" s="3" t="n">
        <x:f>C57-Inputs!G175</x:f>
        <x:v>-234.76800000000003</x:v>
      </x:c>
      <x:c r="D60" s="3"/>
      <x:c r="E60" s="3" t="n">
        <x:f>E57-C57</x:f>
        <x:v>642.3019999999997</x:v>
      </x:c>
      <x:c r="F60" s="3" t="n">
        <x:f>F57-E57</x:f>
        <x:v>-554.9259999999995</x:v>
      </x:c>
      <x:c r="G60" s="3" t="n">
        <x:f>G57-F57</x:f>
        <x:v>468.853000000001</x:v>
      </x:c>
      <x:c r="H60" s="15" t="n">
        <x:f>H57-G57</x:f>
        <x:v>-312.8874110272918</x:v>
      </x:c>
    </x:row>
    <x:row r="61">
      <x:c r="B61" s="8" t="s">
        <x:v>65</x:v>
      </x:c>
      <x:c r="C61" s="19">
        <x:v>8823.995</x:v>
      </x:c>
      <x:c r="D61" s="19">
        <x:v>34566.191</x:v>
      </x:c>
      <x:c r="E61" s="19">
        <x:v>9327.558</x:v>
      </x:c>
      <x:c r="F61" s="19">
        <x:v>9184.425</x:v>
      </x:c>
      <x:c r="G61" s="19">
        <x:v>9389.65</x:v>
      </x:c>
      <x:c r="H61" s="15" t="n">
        <x:f>C61*H30/C30</x:f>
        <x:v>9068.77157302729</x:v>
      </x:c>
    </x:row>
    <x:row r="62">
      <x:c r="B62" s="1" t="s">
        <x:v>63</x:v>
      </x:c>
      <x:c r="C62" s="9" t="n">
        <x:f>C61/Inputs!C176-1</x:f>
        <x:v>0.08330701999061074</x:v>
      </x:c>
      <x:c r="D62" s="9" t="n">
        <x:f>D61/Inputs!D176-1</x:f>
        <x:v>0.0903693406213486</x:v>
      </x:c>
      <x:c r="E62" s="9" t="n">
        <x:f>E61/Inputs!E176-1</x:f>
        <x:v>0.07903932722504292</x:v>
      </x:c>
      <x:c r="F62" s="9" t="n">
        <x:f>F61/Inputs!F176-1</x:f>
        <x:v>0.09638057161233893</x:v>
      </x:c>
      <x:c r="G62" s="9" t="n">
        <x:f>G61/Inputs!G176-1</x:f>
        <x:v>0.07669125375336638</x:v>
      </x:c>
      <x:c r="H62" s="10" t="n">
        <x:f>H61/C61-1</x:f>
        <x:v>0.02773988120202797</x:v>
      </x:c>
    </x:row>
    <x:row r="63">
      <x:c r="B63" s="1" t="s">
        <x:v>64</x:v>
      </x:c>
      <x:c r="C63" s="9" t="n">
        <x:f>C61/C30</x:f>
        <x:v>0.5014699146295861</x:v>
      </x:c>
      <x:c r="D63" s="9" t="n">
        <x:f>D61/D30</x:f>
        <x:v>0.4961204829815153</x:v>
      </x:c>
      <x:c r="E63" s="9" t="n">
        <x:f>E61/E30</x:f>
        <x:v>0.49767878508973773</x:v>
      </x:c>
      <x:c r="F63" s="9" t="n">
        <x:f>F61/F30</x:f>
        <x:v>0.5089997454010643</x:v>
      </x:c>
      <x:c r="G63" s="9" t="n">
        <x:f>G61/G30</x:f>
        <x:v>0.5016336021349125</x:v>
      </x:c>
      <x:c r="H63" s="10" t="n">
        <x:f>H61/H30</x:f>
        <x:v>0.5014699146295861</x:v>
      </x:c>
    </x:row>
    <x:row r="64">
      <x:c r="B64" s="8" t="s">
        <x:v>56</x:v>
      </x:c>
      <x:c r="C64" s="3" t="n">
        <x:f>C61-Inputs!G176</x:f>
        <x:v>103.15700000000106</x:v>
      </x:c>
      <x:c r="D64" s="3"/>
      <x:c r="E64" s="3" t="n">
        <x:f>E61-C61</x:f>
        <x:v>503.5630000000001</x:v>
      </x:c>
      <x:c r="F64" s="3" t="n">
        <x:f>F61-E61</x:f>
        <x:v>-143.13300000000163</x:v>
      </x:c>
      <x:c r="G64" s="3" t="n">
        <x:f>G61-F61</x:f>
        <x:v>205.22500000000036</x:v>
      </x:c>
      <x:c r="H64" s="15" t="n">
        <x:f>H61-G61</x:f>
        <x:v>-320.87842697270935</x:v>
      </x:c>
    </x:row>
    <x:row r="65">
      <x:c r="B65" s="8"/>
      <x:c r="C65" s="3"/>
      <x:c r="D65" s="3"/>
      <x:c r="E65" s="3"/>
      <x:c r="F65" s="3"/>
      <x:c r="G65" s="3"/>
      <x:c r="H65" s="15"/>
    </x:row>
    <x:row r="66">
      <x:c r="B66" s="8"/>
      <x:c r="C66" s="3"/>
      <x:c r="D66" s="3"/>
      <x:c r="E66" s="3"/>
      <x:c r="F66" s="3"/>
      <x:c r="G66" s="3"/>
      <x:c r="H66" s="15"/>
    </x:row>
    <x:row r="67">
      <x:c r="B67" s="8"/>
      <x:c r="C67" s="3"/>
      <x:c r="D67" s="3"/>
      <x:c r="E67" s="3"/>
      <x:c r="F67" s="3"/>
      <x:c r="G67" s="3"/>
      <x:c r="H67" s="15"/>
    </x:row>
    <x:row r="68">
      <x:c r="B68" s="8"/>
      <x:c r="C68" s="3"/>
      <x:c r="D68" s="3"/>
      <x:c r="E68" s="3"/>
      <x:c r="F68" s="3"/>
      <x:c r="G68" s="3"/>
      <x:c r="H68" s="15"/>
    </x:row>
    <x:row r="69">
      <x:c r="B69" s="4" t="s">
        <x:v>66</x:v>
      </x:c>
      <x:c r="C69" s="18" t="n">
        <x:f>SUM(C9,C16,C23)-C30</x:f>
        <x:v>0</x:v>
      </x:c>
      <x:c r="D69" s="18" t="n">
        <x:f>SUM(D9,D16,D23)-D30</x:f>
        <x:v>0</x:v>
      </x:c>
      <x:c r="E69" s="18" t="n">
        <x:f>SUM(E9,E16,E23)-E30</x:f>
        <x:v>0</x:v>
      </x:c>
      <x:c r="F69" s="18" t="n">
        <x:f>SUM(F9,F16,F23)-F30</x:f>
        <x:v>0</x:v>
      </x:c>
      <x:c r="G69" s="18" t="n">
        <x:f>SUM(G9,G16,G23)-G30</x:f>
        <x:v>0</x:v>
      </x:c>
      <x:c r="H69" s="12" t="n">
        <x:f>SUM(H9,H16,H23)-H30</x:f>
        <x:v>0</x:v>
      </x:c>
    </x:row>
    <x:row r="70">
      <x:c r="B70" s="8"/>
      <x:c r="C70" s="3"/>
      <x:c r="D70" s="3"/>
      <x:c r="E70" s="3"/>
      <x:c r="F70" s="3"/>
      <x:c r="G70" s="3"/>
      <x:c r="H70" s="15"/>
    </x:row>
    <x:row r="71">
      <x:c r="B71" s="8" t="s">
        <x:v>67</x:v>
      </x:c>
      <x:c r="C71" s="3"/>
      <x:c r="D71" s="3"/>
      <x:c r="E71" s="3"/>
      <x:c r="F71" s="3"/>
      <x:c r="G71" s="3"/>
      <x:c r="H71" s="15"/>
    </x:row>
    <x:row r="72">
      <x:c r="B72" s="8" t="s">
        <x:v>68</x:v>
      </x:c>
      <x:c r="C72" s="19">
        <x:v>17689.545</x:v>
      </x:c>
      <x:c r="D72" s="3"/>
      <x:c r="E72" s="3"/>
      <x:c r="F72" s="3"/>
      <x:c r="G72" s="3"/>
      <x:c r="H72" s="15"/>
    </x:row>
    <x:row r="73">
      <x:c r="B73" s="4" t="s">
        <x:v>69</x:v>
      </x:c>
      <x:c r="C73" s="18"/>
      <x:c r="D73" s="13" t="n">
        <x:f>SUM(C72,Inputs!C160,Inputs!C161,C30)</x:f>
        <x:v>69672.977</x:v>
      </x:c>
      <x:c r="E73" s="18"/>
      <x:c r="F73" s="18"/>
      <x:c r="G73" s="18"/>
      <x:c r="H73" s="12"/>
    </x:row>
    <x:row r="74">
      <x:c r="B74" s="4" t="s">
        <x:v>70</x:v>
      </x:c>
      <x:c r="C74" s="18"/>
      <x:c r="D74" s="18" t="n">
        <x:f>D30-D73</x:f>
        <x:v>-1.4551915228366852e-11</x:v>
      </x:c>
      <x:c r="E74" s="18"/>
      <x:c r="F74" s="18"/>
      <x:c r="G74" s="18"/>
      <x:c r="H74" s="12"/>
      <x:c r="J74" s="2" t="s">
        <x:v>71</x:v>
      </x:c>
    </x:row>
    <x:row r="75">
      <x:c r="B75" s="51"/>
    </x:row>
    <x:row r="76">
      <x:c r="B76" s="51"/>
    </x:row>
    <x:row r="77">
      <x:c r="B77" s="51"/>
    </x:row>
    <x:row r="78">
      <x:c r="B78" s="51"/>
    </x:row>
    <x:row r="79">
      <x:c r="B79" s="51"/>
    </x:row>
    <x:row r="80">
      <x:c r="B80" s="8" t="s">
        <x:v>72</x:v>
      </x:c>
      <x:c r="C80" s="3" t="n">
        <x:f>C36</x:f>
        <x:v>2953.957</x:v>
      </x:c>
      <x:c r="D80" s="3" t="n">
        <x:f>D36</x:f>
        <x:v>11453.982</x:v>
      </x:c>
      <x:c r="E80" s="3" t="n">
        <x:f>E36</x:f>
        <x:v>3102.457</x:v>
      </x:c>
      <x:c r="F80" s="3" t="n">
        <x:f>F36</x:f>
        <x:v>3090.839</x:v>
      </x:c>
      <x:c r="G80" s="3" t="n">
        <x:f>G36</x:f>
        <x:v>3217.835</x:v>
      </x:c>
      <x:c r="H80" s="3" t="n">
        <x:f>H36</x:f>
        <x:v>3035.8994162558993</x:v>
      </x:c>
    </x:row>
    <x:row r="81">
      <x:c r="B81" s="49" t="s">
        <x:v>73</x:v>
      </x:c>
      <x:c r="C81" s="9" t="n">
        <x:f>(1+C84)/((1+C82)*(1+C83))-1</x:f>
        <x:v>0.050000000000000044</x:v>
      </x:c>
      <x:c r="D81" s="9" t="n">
        <x:f>(1+D84)/((1+D82)*(1+D83))-1</x:f>
        <x:v>0.05691594506095399</x:v>
      </x:c>
      <x:c r="E81" s="9" t="n">
        <x:f>(1+E84)/((1+E82)*(1+E83))-1</x:f>
        <x:v>0.08557797112200083</x:v>
      </x:c>
      <x:c r="F81" s="9" t="n">
        <x:f>(1+F84)/((1+F82)*(1+F83))-1</x:f>
        <x:v>0.13231855307722018</x:v>
      </x:c>
      <x:c r="G81" s="9" t="n">
        <x:f>(1+G84)/((1+G82)*(1+G83))-1</x:f>
        <x:v>0.09000000000000008</x:v>
      </x:c>
      <x:c r="H81" s="9" t="n">
        <x:f>(1+H84)/((1+H82)*(1+H83))-1</x:f>
        <x:v>0.032904403218118716</x:v>
      </x:c>
    </x:row>
    <x:row r="82">
      <x:c r="B82" s="49" t="s">
        <x:v>74</x:v>
      </x:c>
      <x:c r="C82" s="9" t="n">
        <x:f>0</x:f>
        <x:v>0</x:v>
      </x:c>
      <x:c r="D82" s="9" t="n">
        <x:f>0</x:f>
        <x:v>0</x:v>
      </x:c>
      <x:c r="E82" s="9" t="n">
        <x:f>0</x:f>
        <x:v>0</x:v>
      </x:c>
      <x:c r="F82" s="9" t="n">
        <x:f>0</x:f>
        <x:v>0</x:v>
      </x:c>
      <x:c r="G82" s="9" t="n">
        <x:f>0</x:f>
        <x:v>0</x:v>
      </x:c>
      <x:c r="H82" s="9" t="n">
        <x:f>0</x:f>
        <x:v>0</x:v>
      </x:c>
    </x:row>
    <x:row r="83">
      <x:c r="B83" s="49" t="s">
        <x:v>75</x:v>
      </x:c>
      <x:c r="C83" s="9" t="n">
        <x:f>(1+C84)/(1+Inputs!C181)-1</x:f>
        <x:v>0.022824607973996436</x:v>
      </x:c>
      <x:c r="D83" s="9" t="n">
        <x:f>0</x:f>
        <x:v>0</x:v>
      </x:c>
      <x:c r="E83" s="9" t="n">
        <x:f>0</x:f>
        <x:v>0</x:v>
      </x:c>
      <x:c r="F83" s="9" t="n">
        <x:f>0</x:f>
        <x:v>0</x:v>
      </x:c>
      <x:c r="G83" s="9" t="n">
        <x:f>(1+G84)/(1+Inputs!G181)-1</x:f>
        <x:v>0.013616276765326507</x:v>
      </x:c>
      <x:c r="H83" s="9" t="n">
        <x:f>Inputs!C155</x:f>
        <x:v>-0.005</x:v>
      </x:c>
    </x:row>
    <x:row r="84">
      <x:c r="B84" s="49" t="s">
        <x:v>76</x:v>
      </x:c>
      <x:c r="C84" s="9" t="n">
        <x:f>C37</x:f>
        <x:v>0.07396583837269621</x:v>
      </x:c>
      <x:c r="D84" s="9" t="n">
        <x:f>D37</x:f>
        <x:v>0.05691594506095399</x:v>
      </x:c>
      <x:c r="E84" s="9" t="n">
        <x:f>E37</x:f>
        <x:v>0.08557797112200083</x:v>
      </x:c>
      <x:c r="F84" s="9" t="n">
        <x:f>F37</x:f>
        <x:v>0.13231855307722018</x:v>
      </x:c>
      <x:c r="G84" s="9" t="n">
        <x:f>G37</x:f>
        <x:v>0.10484174167420601</x:v>
      </x:c>
      <x:c r="H84" s="9" t="n">
        <x:f>H37</x:f>
        <x:v>0.027739881202028194</x:v>
      </x:c>
    </x:row>
    <x:row r="85">
      <x:c r="B85" s="8" t="s">
        <x:v>77</x:v>
      </x:c>
      <x:c r="C85" s="3" t="n">
        <x:f>C40</x:f>
        <x:v>3315.7</x:v>
      </x:c>
      <x:c r="D85" s="3" t="n">
        <x:f>D40</x:f>
        <x:v>12773.856</x:v>
      </x:c>
      <x:c r="E85" s="3" t="n">
        <x:f>E40</x:f>
        <x:v>3602.372</x:v>
      </x:c>
      <x:c r="F85" s="3" t="n">
        <x:f>F40</x:f>
        <x:v>3395.016</x:v>
      </x:c>
      <x:c r="G85" s="3" t="n">
        <x:f>G40</x:f>
        <x:v>3488.749</x:v>
      </x:c>
      <x:c r="H85" s="3" t="n">
        <x:f>H40</x:f>
        <x:v>3407.6771241015645</x:v>
      </x:c>
    </x:row>
    <x:row r="86">
      <x:c r="B86" s="49" t="s">
        <x:v>73</x:v>
      </x:c>
      <x:c r="C86" s="9" t="n">
        <x:f>(1+C89)/((1+C87)*(1+C88))-1</x:f>
        <x:v>0.1200000000000001</x:v>
      </x:c>
      <x:c r="D86" s="9" t="n">
        <x:f>(1+D89)/((1+D87)*(1+D88))-1</x:f>
        <x:v>0.1002246726484628</x:v>
      </x:c>
      <x:c r="E86" s="9" t="n">
        <x:f>(1+E89)/((1+E87)*(1+E88))-1</x:f>
        <x:v>0.13681274032885904</x:v>
      </x:c>
      <x:c r="F86" s="9" t="n">
        <x:f>(1+F89)/((1+F87)*(1+F88))-1</x:f>
        <x:v>0.12775118504665461</x:v>
      </x:c>
      <x:c r="G86" s="9" t="n">
        <x:f>(1+G89)/((1+G87)*(1+G88))-1</x:f>
        <x:v>0.030000000000000027</x:v>
      </x:c>
      <x:c r="H86" s="9" t="n">
        <x:f>(1+H89)/((1+H87)*(1+H88))-1</x:f>
        <x:v>0.032904403218118716</x:v>
      </x:c>
    </x:row>
    <x:row r="87">
      <x:c r="B87" s="49" t="s">
        <x:v>74</x:v>
      </x:c>
      <x:c r="C87" s="9" t="n">
        <x:f>0</x:f>
        <x:v>0</x:v>
      </x:c>
      <x:c r="D87" s="9" t="n">
        <x:f>0</x:f>
        <x:v>0</x:v>
      </x:c>
      <x:c r="E87" s="9" t="n">
        <x:f>0</x:f>
        <x:v>0</x:v>
      </x:c>
      <x:c r="F87" s="9" t="n">
        <x:f>0</x:f>
        <x:v>0</x:v>
      </x:c>
      <x:c r="G87" s="9" t="n">
        <x:f>0</x:f>
        <x:v>0</x:v>
      </x:c>
      <x:c r="H87" s="9" t="n">
        <x:f>0</x:f>
        <x:v>0</x:v>
      </x:c>
    </x:row>
    <x:row r="88">
      <x:c r="B88" s="49" t="s">
        <x:v>75</x:v>
      </x:c>
      <x:c r="C88" s="9" t="n">
        <x:f>(1+C89)/(1+Inputs!C182)-1</x:f>
        <x:v>0.03045023486943399</x:v>
      </x:c>
      <x:c r="D88" s="9" t="n">
        <x:f>0</x:f>
        <x:v>0</x:v>
      </x:c>
      <x:c r="E88" s="9" t="n">
        <x:f>0</x:f>
        <x:v>0</x:v>
      </x:c>
      <x:c r="F88" s="9" t="n">
        <x:f>0</x:f>
        <x:v>0</x:v>
      </x:c>
      <x:c r="G88" s="9" t="n">
        <x:f>(1+G89)/(1+Inputs!G182)-1</x:f>
        <x:v>0.03301236651548045</x:v>
      </x:c>
      <x:c r="H88" s="9" t="n">
        <x:f>Inputs!C155</x:f>
        <x:v>-0.005</x:v>
      </x:c>
    </x:row>
    <x:row r="89">
      <x:c r="B89" s="49" t="s">
        <x:v>76</x:v>
      </x:c>
      <x:c r="C89" s="9" t="n">
        <x:f>C41</x:f>
        <x:v>0.15410426305376612</x:v>
      </x:c>
      <x:c r="D89" s="9" t="n">
        <x:f>D41</x:f>
        <x:v>0.1002246726484628</x:v>
      </x:c>
      <x:c r="E89" s="9" t="n">
        <x:f>E41</x:f>
        <x:v>0.13681274032885904</x:v>
      </x:c>
      <x:c r="F89" s="9" t="n">
        <x:f>F41</x:f>
        <x:v>0.12775118504665461</x:v>
      </x:c>
      <x:c r="G89" s="9" t="n">
        <x:f>G41</x:f>
        <x:v>0.06400273751094487</x:v>
      </x:c>
      <x:c r="H89" s="9" t="n">
        <x:f>H41</x:f>
        <x:v>0.027739881202028194</x:v>
      </x:c>
    </x:row>
    <x:row r="90">
      <x:c r="B90" s="8" t="s">
        <x:v>78</x:v>
      </x:c>
      <x:c r="C90" s="3" t="n">
        <x:f>C44</x:f>
        <x:v>3563.632</x:v>
      </x:c>
      <x:c r="D90" s="3" t="n">
        <x:f>D44</x:f>
        <x:v>14762.837</x:v>
      </x:c>
      <x:c r="E90" s="3" t="n">
        <x:f>E44</x:f>
        <x:v>3796.837</x:v>
      </x:c>
      <x:c r="F90" s="3" t="n">
        <x:f>F44</x:f>
        <x:v>3670.199</x:v>
      </x:c>
      <x:c r="G90" s="3" t="n">
        <x:f>G44</x:f>
        <x:v>3845.053</x:v>
      </x:c>
      <x:c r="H90" s="3" t="n">
        <x:f>H44</x:f>
        <x:v>3662.486728327746</x:v>
      </x:c>
    </x:row>
    <x:row r="91">
      <x:c r="B91" s="49" t="s">
        <x:v>73</x:v>
      </x:c>
      <x:c r="C91" s="9" t="n">
        <x:f>(1+C94)/((1+C92)*(1+C93))-1</x:f>
        <x:v>-0.030000000000000027</x:v>
      </x:c>
      <x:c r="D91" s="9" t="n">
        <x:f>(1+D94)/((1+D92)*(1+D93))-1</x:f>
        <x:v>0.06663011246450123</x:v>
      </x:c>
      <x:c r="E91" s="9" t="n">
        <x:f>(1+E94)/((1+E92)*(1+E93))-1</x:f>
        <x:v>-0.004136799761003562</x:v>
      </x:c>
      <x:c r="F91" s="9" t="n">
        <x:f>(1+F94)/((1+F92)*(1+F93))-1</x:f>
        <x:v>0.01698212646914099</x:v>
      </x:c>
      <x:c r="G91" s="9" t="n">
        <x:f>(1+G94)/((1+G92)*(1+G93))-1</x:f>
        <x:v>0</x:v>
      </x:c>
      <x:c r="H91" s="9" t="n">
        <x:f>(1+H94)/((1+H92)*(1+H93))-1</x:f>
        <x:v>0.032904403218118716</x:v>
      </x:c>
    </x:row>
    <x:row r="92">
      <x:c r="B92" s="49" t="s">
        <x:v>74</x:v>
      </x:c>
      <x:c r="C92" s="9" t="n">
        <x:f>0</x:f>
        <x:v>0</x:v>
      </x:c>
      <x:c r="D92" s="9" t="n">
        <x:f>0</x:f>
        <x:v>0</x:v>
      </x:c>
      <x:c r="E92" s="9" t="n">
        <x:f>0</x:f>
        <x:v>0</x:v>
      </x:c>
      <x:c r="F92" s="9" t="n">
        <x:f>0</x:f>
        <x:v>0</x:v>
      </x:c>
      <x:c r="G92" s="9" t="n">
        <x:f>0</x:f>
        <x:v>0</x:v>
      </x:c>
      <x:c r="H92" s="9" t="n">
        <x:f>0</x:f>
        <x:v>0</x:v>
      </x:c>
    </x:row>
    <x:row r="93">
      <x:c r="B93" s="49" t="s">
        <x:v>75</x:v>
      </x:c>
      <x:c r="C93" s="9" t="n">
        <x:f>(1+C94)/(1+Inputs!C183)-1</x:f>
        <x:v>0.016597859267131643</x:v>
      </x:c>
      <x:c r="D93" s="9" t="n">
        <x:f>0</x:f>
        <x:v>0</x:v>
      </x:c>
      <x:c r="E93" s="9" t="n">
        <x:f>0</x:f>
        <x:v>0</x:v>
      </x:c>
      <x:c r="F93" s="9" t="n">
        <x:f>0</x:f>
        <x:v>0</x:v>
      </x:c>
      <x:c r="G93" s="9" t="n">
        <x:f>(1+G94)/(1+Inputs!G183)-1</x:f>
        <x:v>0.017833413276494126</x:v>
      </x:c>
      <x:c r="H93" s="9" t="n">
        <x:f>Inputs!C155</x:f>
        <x:v>-0.005</x:v>
      </x:c>
    </x:row>
    <x:row r="94">
      <x:c r="B94" s="49" t="s">
        <x:v>76</x:v>
      </x:c>
      <x:c r="C94" s="9" t="n">
        <x:f>C45</x:f>
        <x:v>-0.01390007651088232</x:v>
      </x:c>
      <x:c r="D94" s="9" t="n">
        <x:f>D45</x:f>
        <x:v>0.06663011246450123</x:v>
      </x:c>
      <x:c r="E94" s="9" t="n">
        <x:f>E45</x:f>
        <x:v>-0.004136799761003562</x:v>
      </x:c>
      <x:c r="F94" s="9" t="n">
        <x:f>F45</x:f>
        <x:v>0.01698212646914099</x:v>
      </x:c>
      <x:c r="G94" s="9" t="n">
        <x:f>G45</x:f>
        <x:v>0.017833413276494126</x:v>
      </x:c>
      <x:c r="H94" s="9" t="n">
        <x:f>H45</x:f>
        <x:v>0.027739881202028194</x:v>
      </x:c>
    </x:row>
    <x:row r="95">
      <x:c r="B95" s="8" t="s">
        <x:v>79</x:v>
      </x:c>
      <x:c r="C95" s="3" t="n">
        <x:f>C48</x:f>
        <x:v>5376.132</x:v>
      </x:c>
      <x:c r="D95" s="3" t="n">
        <x:f>D48</x:f>
        <x:v>21197.397</x:v>
      </x:c>
      <x:c r="E95" s="3" t="n">
        <x:f>E48</x:f>
        <x:v>5741.241</x:v>
      </x:c>
      <x:c r="F95" s="3" t="n">
        <x:f>F48</x:f>
        <x:v>5476.867</x:v>
      </x:c>
      <x:c r="G95" s="3" t="n">
        <x:f>G48</x:f>
        <x:v>5668.694</x:v>
      </x:c>
      <x:c r="H95" s="3" t="n">
        <x:f>H48</x:f>
        <x:v>5525.265263006421</x:v>
      </x:c>
    </x:row>
    <x:row r="96">
      <x:c r="B96" s="49" t="s">
        <x:v>73</x:v>
      </x:c>
      <x:c r="C96" s="9" t="n">
        <x:f>(1+C99)/((1+C97)*(1+C98))-1</x:f>
        <x:v>0.050000000000000044</x:v>
      </x:c>
      <x:c r="D96" s="9" t="n">
        <x:f>(1+D99)/((1+D97)*(1+D98))-1</x:f>
        <x:v>0.08403549445299463</x:v>
      </x:c>
      <x:c r="E96" s="9" t="n">
        <x:f>(1+E99)/((1+E97)*(1+E98))-1</x:f>
        <x:v>0.05823143606170844</x:v>
      </x:c>
      <x:c r="F96" s="9" t="n">
        <x:f>(1+F99)/((1+F97)*(1+F98))-1</x:f>
        <x:v>0.08413332253858452</x:v>
      </x:c>
      <x:c r="G96" s="9" t="n">
        <x:f>(1+G99)/((1+G97)*(1+G98))-1</x:f>
        <x:v>0.030000000000000027</x:v>
      </x:c>
      <x:c r="H96" s="9" t="n">
        <x:f>(1+H99)/((1+H97)*(1+H98))-1</x:f>
        <x:v>0.032904403218118716</x:v>
      </x:c>
    </x:row>
    <x:row r="97">
      <x:c r="B97" s="49" t="s">
        <x:v>74</x:v>
      </x:c>
      <x:c r="C97" s="9" t="n">
        <x:f>0</x:f>
        <x:v>0</x:v>
      </x:c>
      <x:c r="D97" s="9" t="n">
        <x:f>0</x:f>
        <x:v>0</x:v>
      </x:c>
      <x:c r="E97" s="9" t="n">
        <x:f>0</x:f>
        <x:v>0</x:v>
      </x:c>
      <x:c r="F97" s="9" t="n">
        <x:f>0</x:f>
        <x:v>0</x:v>
      </x:c>
      <x:c r="G97" s="9" t="n">
        <x:f>0</x:f>
        <x:v>0</x:v>
      </x:c>
      <x:c r="H97" s="9" t="n">
        <x:f>0</x:f>
        <x:v>0</x:v>
      </x:c>
    </x:row>
    <x:row r="98">
      <x:c r="B98" s="49" t="s">
        <x:v>75</x:v>
      </x:c>
      <x:c r="C98" s="9" t="n">
        <x:f>(1+C99)/(1+Inputs!C184)-1</x:f>
        <x:v>0.03459727860832995</x:v>
      </x:c>
      <x:c r="D98" s="9" t="n">
        <x:f>0</x:f>
        <x:v>0</x:v>
      </x:c>
      <x:c r="E98" s="9" t="n">
        <x:f>0</x:f>
        <x:v>0</x:v>
      </x:c>
      <x:c r="F98" s="9" t="n">
        <x:f>0</x:f>
        <x:v>0</x:v>
      </x:c>
      <x:c r="G98" s="9" t="n">
        <x:f>(1+G99)/(1+Inputs!G184)-1</x:f>
        <x:v>0.02984172062489554</x:v>
      </x:c>
      <x:c r="H98" s="9" t="n">
        <x:f>Inputs!C155</x:f>
        <x:v>-0.005</x:v>
      </x:c>
    </x:row>
    <x:row r="99">
      <x:c r="B99" s="49" t="s">
        <x:v>76</x:v>
      </x:c>
      <x:c r="C99" s="9" t="n">
        <x:f>C49</x:f>
        <x:v>0.0863271425387464</x:v>
      </x:c>
      <x:c r="D99" s="9" t="n">
        <x:f>D49</x:f>
        <x:v>0.08403549445299463</x:v>
      </x:c>
      <x:c r="E99" s="9" t="n">
        <x:f>E49</x:f>
        <x:v>0.05823143606170844</x:v>
      </x:c>
      <x:c r="F99" s="9" t="n">
        <x:f>F49</x:f>
        <x:v>0.08413332253858452</x:v>
      </x:c>
      <x:c r="G99" s="9" t="n">
        <x:f>G49</x:f>
        <x:v>0.060736972243642384</x:v>
      </x:c>
      <x:c r="H99" s="9" t="n">
        <x:f>H49</x:f>
        <x:v>0.027739881202028194</x:v>
      </x:c>
    </x:row>
    <x:row r="100">
      <x:c r="B100" s="8" t="s">
        <x:v>80</x:v>
      </x:c>
      <x:c r="C100" s="3" t="n">
        <x:f>C52</x:f>
        <x:v>2386.839</x:v>
      </x:c>
      <x:c r="D100" s="3" t="n">
        <x:f>D52</x:f>
        <x:v>9484.905</x:v>
      </x:c>
      <x:c r="E100" s="3" t="n">
        <x:f>E52</x:f>
        <x:v>2499.218</x:v>
      </x:c>
      <x:c r="F100" s="3" t="n">
        <x:f>F52</x:f>
        <x:v>2411.145</x:v>
      </x:c>
      <x:c r="G100" s="3" t="n">
        <x:f>G52</x:f>
        <x:v>2497.813</x:v>
      </x:c>
      <x:c r="H100" s="3" t="n">
        <x:f>H52</x:f>
        <x:v>2453.049630308368</x:v>
      </x:c>
    </x:row>
    <x:row r="101">
      <x:c r="B101" s="49" t="s">
        <x:v>73</x:v>
      </x:c>
      <x:c r="C101" s="9" t="n">
        <x:f>(1+C104)/((1+C102)*(1+C103))-1</x:f>
        <x:v>0.050000000000000044</x:v>
      </x:c>
      <x:c r="D101" s="9" t="n">
        <x:f>(1+D104)/((1+D102)*(1+D103))-1</x:f>
        <x:v>0.04756072737779071</x:v>
      </x:c>
      <x:c r="E101" s="9" t="n">
        <x:f>(1+E104)/((1+E102)*(1+E103))-1</x:f>
        <x:v>0.030648286794625168</x:v>
      </x:c>
      <x:c r="F101" s="9" t="n">
        <x:f>(1+F104)/((1+F102)*(1+F103))-1</x:f>
        <x:v>0.06760343861870766</x:v>
      </x:c>
      <x:c r="G101" s="9" t="n">
        <x:f>(1+G104)/((1+G102)*(1+G103))-1</x:f>
        <x:v>0.010000000000000009</x:v>
      </x:c>
      <x:c r="H101" s="9" t="n">
        <x:f>(1+H104)/((1+H102)*(1+H103))-1</x:f>
        <x:v>0.032904403218118716</x:v>
      </x:c>
    </x:row>
    <x:row r="102">
      <x:c r="B102" s="49" t="s">
        <x:v>74</x:v>
      </x:c>
      <x:c r="C102" s="9" t="n">
        <x:f>0</x:f>
        <x:v>0</x:v>
      </x:c>
      <x:c r="D102" s="9" t="n">
        <x:f>0</x:f>
        <x:v>0</x:v>
      </x:c>
      <x:c r="E102" s="9" t="n">
        <x:f>0</x:f>
        <x:v>0</x:v>
      </x:c>
      <x:c r="F102" s="9" t="n">
        <x:f>0</x:f>
        <x:v>0</x:v>
      </x:c>
      <x:c r="G102" s="9" t="n">
        <x:f>0</x:f>
        <x:v>0</x:v>
      </x:c>
      <x:c r="H102" s="9" t="n">
        <x:f>0</x:f>
        <x:v>0</x:v>
      </x:c>
    </x:row>
    <x:row r="103">
      <x:c r="B103" s="49" t="s">
        <x:v>75</x:v>
      </x:c>
      <x:c r="C103" s="9" t="n">
        <x:f>(1+C104)/(1+Inputs!C185)-1</x:f>
        <x:v>0.024153326995769442</x:v>
      </x:c>
      <x:c r="D103" s="9" t="n">
        <x:f>0</x:f>
        <x:v>0</x:v>
      </x:c>
      <x:c r="E103" s="9" t="n">
        <x:f>0</x:f>
        <x:v>0</x:v>
      </x:c>
      <x:c r="F103" s="9" t="n">
        <x:f>0</x:f>
        <x:v>0</x:v>
      </x:c>
      <x:c r="G103" s="9" t="n">
        <x:f>(1+G104)/(1+Inputs!G185)-1</x:f>
        <x:v>0.024176970167673506</x:v>
      </x:c>
      <x:c r="H103" s="9" t="n">
        <x:f>Inputs!C155</x:f>
        <x:v>-0.005</x:v>
      </x:c>
    </x:row>
    <x:row r="104">
      <x:c r="B104" s="49" t="s">
        <x:v>76</x:v>
      </x:c>
      <x:c r="C104" s="9" t="n">
        <x:f>C53</x:f>
        <x:v>0.0753609933455579</x:v>
      </x:c>
      <x:c r="D104" s="9" t="n">
        <x:f>D53</x:f>
        <x:v>0.04756072737779071</x:v>
      </x:c>
      <x:c r="E104" s="9" t="n">
        <x:f>E53</x:f>
        <x:v>0.030648286794625168</x:v>
      </x:c>
      <x:c r="F104" s="9" t="n">
        <x:f>F53</x:f>
        <x:v>0.06760343861870766</x:v>
      </x:c>
      <x:c r="G104" s="9" t="n">
        <x:f>G53</x:f>
        <x:v>0.03441873986935029</x:v>
      </x:c>
      <x:c r="H104" s="9" t="n">
        <x:f>H53</x:f>
        <x:v>0.027739881202028194</x:v>
      </x:c>
    </x:row>
    <x:row r="105">
      <x:c r="B105" s="8" t="s">
        <x:v>81</x:v>
      </x:c>
      <x:c r="C105" s="3" t="n">
        <x:f>C57</x:f>
        <x:v>8772.265</x:v>
      </x:c>
      <x:c r="D105" s="3" t="n">
        <x:f>D57</x:f>
        <x:v>35106.786</x:v>
      </x:c>
      <x:c r="E105" s="3" t="n">
        <x:f>E57</x:f>
        <x:v>9414.567</x:v>
      </x:c>
      <x:c r="F105" s="3" t="n">
        <x:f>F57</x:f>
        <x:v>8859.641</x:v>
      </x:c>
      <x:c r="G105" s="3" t="n">
        <x:f>G57</x:f>
        <x:v>9328.494</x:v>
      </x:c>
      <x:c r="H105" s="3" t="n">
        <x:f>H57</x:f>
        <x:v>9015.606588972709</x:v>
      </x:c>
    </x:row>
    <x:row r="106">
      <x:c r="B106" s="49" t="s">
        <x:v>73</x:v>
      </x:c>
      <x:c r="C106" s="9" t="n">
        <x:f>(1+C109)/((1+C107)*(1+C108))-1</x:f>
        <x:v>0.030000000000000027</x:v>
      </x:c>
      <x:c r="D106" s="9" t="n">
        <x:f>(1+D109)/((1+D107)*(1+D108))-1</x:f>
        <x:v>0.0575892758160963</x:v>
      </x:c>
      <x:c r="E106" s="9" t="n">
        <x:f>(1+E109)/((1+E107)*(1+E108))-1</x:f>
        <x:v>0.04083246989462297</x:v>
      </x:c>
      <x:c r="F106" s="9" t="n">
        <x:f>(1+F109)/((1+F107)*(1+F108))-1</x:f>
        <x:v>0.06971297689278044</x:v>
      </x:c>
      <x:c r="G106" s="9" t="n">
        <x:f>(1+G109)/((1+G107)*(1+G108))-1</x:f>
        <x:v>0.010000000000000009</x:v>
      </x:c>
      <x:c r="H106" s="9" t="n">
        <x:f>(1+H109)/((1+H107)*(1+H108))-1</x:f>
        <x:v>0.032904403218118716</x:v>
      </x:c>
    </x:row>
    <x:row r="107">
      <x:c r="B107" s="49" t="s">
        <x:v>74</x:v>
      </x:c>
      <x:c r="C107" s="9" t="n">
        <x:f>0</x:f>
        <x:v>0</x:v>
      </x:c>
      <x:c r="D107" s="9" t="n">
        <x:f>0</x:f>
        <x:v>0</x:v>
      </x:c>
      <x:c r="E107" s="9" t="n">
        <x:f>0</x:f>
        <x:v>0</x:v>
      </x:c>
      <x:c r="F107" s="9" t="n">
        <x:f>0</x:f>
        <x:v>0</x:v>
      </x:c>
      <x:c r="G107" s="9" t="n">
        <x:f>0</x:f>
        <x:v>0</x:v>
      </x:c>
      <x:c r="H107" s="9" t="n">
        <x:f>0</x:f>
        <x:v>0</x:v>
      </x:c>
    </x:row>
    <x:row r="108">
      <x:c r="B108" s="49" t="s">
        <x:v>75</x:v>
      </x:c>
      <x:c r="C108" s="9" t="n">
        <x:f>(1+C109)/(1+Inputs!C186)-1</x:f>
        <x:v>0.03103569937301187</x:v>
      </x:c>
      <x:c r="D108" s="9" t="n">
        <x:f>0</x:f>
        <x:v>0</x:v>
      </x:c>
      <x:c r="E108" s="9" t="n">
        <x:f>0</x:f>
        <x:v>0</x:v>
      </x:c>
      <x:c r="F108" s="9" t="n">
        <x:f>0</x:f>
        <x:v>0</x:v>
      </x:c>
      <x:c r="G108" s="9" t="n">
        <x:f>(1+G109)/(1+Inputs!G186)-1</x:f>
        <x:v>0.02543564271023846</x:v>
      </x:c>
      <x:c r="H108" s="9" t="n">
        <x:f>Inputs!C155</x:f>
        <x:v>-0.005</x:v>
      </x:c>
    </x:row>
    <x:row r="109">
      <x:c r="B109" s="49" t="s">
        <x:v>76</x:v>
      </x:c>
      <x:c r="C109" s="9" t="n">
        <x:f>C58</x:f>
        <x:v>0.06196677035420217</x:v>
      </x:c>
      <x:c r="D109" s="9" t="n">
        <x:f>D58</x:f>
        <x:v>0.0575892758160963</x:v>
      </x:c>
      <x:c r="E109" s="9" t="n">
        <x:f>E58</x:f>
        <x:v>0.04083246989462297</x:v>
      </x:c>
      <x:c r="F109" s="9" t="n">
        <x:f>F58</x:f>
        <x:v>0.06971297689278044</x:v>
      </x:c>
      <x:c r="G109" s="9" t="n">
        <x:f>G58</x:f>
        <x:v>0.035689999137340944</x:v>
      </x:c>
      <x:c r="H109" s="9" t="n">
        <x:f>H58</x:f>
        <x:v>0.027739881202028194</x:v>
      </x:c>
    </x:row>
    <x:row r="110">
      <x:c r="B110" s="8" t="s">
        <x:v>82</x:v>
      </x:c>
      <x:c r="C110" s="3" t="n">
        <x:f>C61</x:f>
        <x:v>8823.995</x:v>
      </x:c>
      <x:c r="D110" s="3" t="n">
        <x:f>D61</x:f>
        <x:v>34566.191</x:v>
      </x:c>
      <x:c r="E110" s="3" t="n">
        <x:f>E61</x:f>
        <x:v>9327.558</x:v>
      </x:c>
      <x:c r="F110" s="3" t="n">
        <x:f>F61</x:f>
        <x:v>9184.425</x:v>
      </x:c>
      <x:c r="G110" s="3" t="n">
        <x:f>G61</x:f>
        <x:v>9389.65</x:v>
      </x:c>
      <x:c r="H110" s="3" t="n">
        <x:f>H61</x:f>
        <x:v>9068.77157302729</x:v>
      </x:c>
    </x:row>
    <x:row r="111">
      <x:c r="B111" s="49" t="s">
        <x:v>73</x:v>
      </x:c>
      <x:c r="C111" s="9" t="n">
        <x:f>(1+C114)/((1+C112)*(1+C113))-1</x:f>
        <x:v>0.06000000000000005</x:v>
      </x:c>
      <x:c r="D111" s="9" t="n">
        <x:f>(1+D114)/((1+D112)*(1+D113))-1</x:f>
        <x:v>0.0903693406213486</x:v>
      </x:c>
      <x:c r="E111" s="9" t="n">
        <x:f>(1+E114)/((1+E112)*(1+E113))-1</x:f>
        <x:v>0.07903932722504292</x:v>
      </x:c>
      <x:c r="F111" s="9" t="n">
        <x:f>(1+F114)/((1+F112)*(1+F113))-1</x:f>
        <x:v>0.09638057161233893</x:v>
      </x:c>
      <x:c r="G111" s="9" t="n">
        <x:f>(1+G114)/((1+G112)*(1+G113))-1</x:f>
        <x:v>0.050000000000000044</x:v>
      </x:c>
      <x:c r="H111" s="9" t="n">
        <x:f>(1+H114)/((1+H112)*(1+H113))-1</x:f>
        <x:v>0.032904403218118494</x:v>
      </x:c>
    </x:row>
    <x:row r="112">
      <x:c r="B112" s="49" t="s">
        <x:v>74</x:v>
      </x:c>
      <x:c r="C112" s="9" t="n">
        <x:f>0</x:f>
        <x:v>0</x:v>
      </x:c>
      <x:c r="D112" s="9" t="n">
        <x:f>0</x:f>
        <x:v>0</x:v>
      </x:c>
      <x:c r="E112" s="9" t="n">
        <x:f>0</x:f>
        <x:v>0</x:v>
      </x:c>
      <x:c r="F112" s="9" t="n">
        <x:f>0</x:f>
        <x:v>0</x:v>
      </x:c>
      <x:c r="G112" s="9" t="n">
        <x:f>0</x:f>
        <x:v>0</x:v>
      </x:c>
      <x:c r="H112" s="9" t="n">
        <x:f>0</x:f>
        <x:v>0</x:v>
      </x:c>
    </x:row>
    <x:row r="113">
      <x:c r="B113" s="49" t="s">
        <x:v>75</x:v>
      </x:c>
      <x:c r="C113" s="9" t="n">
        <x:f>(1+C114)/(1+Inputs!C187)-1</x:f>
        <x:v>0.021987754708123308</x:v>
      </x:c>
      <x:c r="D113" s="9" t="n">
        <x:f>0</x:f>
        <x:v>0</x:v>
      </x:c>
      <x:c r="E113" s="9" t="n">
        <x:f>0</x:f>
        <x:v>0</x:v>
      </x:c>
      <x:c r="F113" s="9" t="n">
        <x:f>0</x:f>
        <x:v>0</x:v>
      </x:c>
      <x:c r="G113" s="9" t="n">
        <x:f>(1+G114)/(1+Inputs!G187)-1</x:f>
        <x:v>0.02542024166987278</x:v>
      </x:c>
      <x:c r="H113" s="9" t="n">
        <x:f>Inputs!C155</x:f>
        <x:v>-0.005</x:v>
      </x:c>
    </x:row>
    <x:row r="114">
      <x:c r="B114" s="49" t="s">
        <x:v>76</x:v>
      </x:c>
      <x:c r="C114" s="9" t="n">
        <x:f>C62</x:f>
        <x:v>0.08330701999061074</x:v>
      </x:c>
      <x:c r="D114" s="9" t="n">
        <x:f>D62</x:f>
        <x:v>0.0903693406213486</x:v>
      </x:c>
      <x:c r="E114" s="9" t="n">
        <x:f>E62</x:f>
        <x:v>0.07903932722504292</x:v>
      </x:c>
      <x:c r="F114" s="9" t="n">
        <x:f>F62</x:f>
        <x:v>0.09638057161233893</x:v>
      </x:c>
      <x:c r="G114" s="9" t="n">
        <x:f>G62</x:f>
        <x:v>0.07669125375336638</x:v>
      </x:c>
      <x:c r="H114" s="9" t="n">
        <x:f>H62</x:f>
        <x:v>0.02773988120202797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83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8" t="s">
        <x:v>84</x:v>
      </x:c>
      <x:c r="C9" s="19">
        <x:v>8423.447</x:v>
      </x:c>
      <x:c r="D9" s="19">
        <x:v>32552.489</x:v>
      </x:c>
      <x:c r="E9" s="19">
        <x:v>8733.095</x:v>
      </x:c>
      <x:c r="F9" s="19">
        <x:v>8553.098</x:v>
      </x:c>
      <x:c r="G9" s="19">
        <x:v>8966.131</x:v>
      </x:c>
      <x:c r="H9" s="15" t="n">
        <x:f>C18</x:f>
        <x:v>8804.391</x:v>
      </x:c>
    </x:row>
    <x:row r="10">
      <x:c r="B10" s="1" t="s">
        <x:v>85</x:v>
      </x:c>
      <x:c r="C10" s="53" t="s">
        <x:v>31</x:v>
      </x:c>
      <x:c r="D10" s="53" t="n">
        <x:f>D9/Inputs!C193-1</x:f>
        <x:v>0.011162473339812351</x:v>
      </x:c>
      <x:c r="E10" s="53" t="s">
        <x:v>31</x:v>
      </x:c>
      <x:c r="F10" s="53" t="s">
        <x:v>31</x:v>
      </x:c>
      <x:c r="G10" s="53" t="s">
        <x:v>31</x:v>
      </x:c>
      <x:c r="H10" s="10" t="n">
        <x:f>H9/C9-1</x:f>
        <x:v>0.04522424133493086</x:v>
      </x:c>
    </x:row>
    <x:row r="11">
      <x:c r="B11" s="8" t="s">
        <x:v>86</x:v>
      </x:c>
      <x:c r="C11" s="3"/>
      <x:c r="D11" s="3"/>
      <x:c r="E11" s="3" t="n">
        <x:f>E9-C9</x:f>
        <x:v>309.64799999999923</x:v>
      </x:c>
      <x:c r="F11" s="3" t="n">
        <x:f>F9-E9</x:f>
        <x:v>-179.9969999999994</x:v>
      </x:c>
      <x:c r="G11" s="3" t="n">
        <x:f>G9-F9</x:f>
        <x:v>413.03299999999945</x:v>
      </x:c>
      <x:c r="H11" s="15" t="n">
        <x:f>H9-G9</x:f>
        <x:v>-161.73999999999978</x:v>
      </x:c>
    </x:row>
    <x:row r="12">
      <x:c r="B12" s="8"/>
      <x:c r="C12" s="3"/>
      <x:c r="D12" s="3"/>
      <x:c r="E12" s="3"/>
      <x:c r="F12" s="3"/>
      <x:c r="G12" s="3"/>
      <x:c r="H12" s="15"/>
    </x:row>
    <x:row r="13">
      <x:c r="B13" s="1" t="s">
        <x:v>87</x:v>
      </x:c>
      <x:c r="C13" s="9" t="n">
        <x:f>(1+C16)/((1+C14)*(1+C15))-1</x:f>
        <x:v>0.050000000000000044</x:v>
      </x:c>
      <x:c r="D13" s="9" t="n">
        <x:f>(1+D16)/((1+D14)*(1+D15))-1</x:f>
        <x:v>0.07692886402634214</x:v>
      </x:c>
      <x:c r="E13" s="9" t="n">
        <x:f>(1+E16)/((1+E14)*(1+E15))-1</x:f>
        <x:v>0.03972978651898318</x:v>
      </x:c>
      <x:c r="F13" s="9" t="n">
        <x:f>(1+F16)/((1+F14)*(1+F15))-1</x:f>
        <x:v>0.04013797106031047</x:v>
      </x:c>
      <x:c r="G13" s="9" t="n">
        <x:f>(1+G16)/((1+G14)*(1+G15))-1</x:f>
        <x:v>0.010000000000000009</x:v>
      </x:c>
      <x:c r="H13" s="23" t="n">
        <x:f>(1+Inputs!C126)/(1+H15)-1</x:f>
        <x:v>0.015075376884422065</x:v>
      </x:c>
    </x:row>
    <x:row r="14">
      <x:c r="B14" s="1" t="s">
        <x:v>88</x:v>
      </x:c>
      <x:c r="C14" s="9" t="n">
        <x:f>0</x:f>
        <x:v>0</x:v>
      </x:c>
      <x:c r="D14" s="9" t="n">
        <x:f>0</x:f>
        <x:v>0</x:v>
      </x:c>
      <x:c r="E14" s="9" t="n">
        <x:f>0</x:f>
        <x:v>0</x:v>
      </x:c>
      <x:c r="F14" s="9" t="n">
        <x:f>0</x:f>
        <x:v>0</x:v>
      </x:c>
      <x:c r="G14" s="9" t="n">
        <x:f>0</x:f>
        <x:v>0</x:v>
      </x:c>
      <x:c r="H14" s="10" t="n">
        <x:f>0</x:f>
        <x:v>0</x:v>
      </x:c>
    </x:row>
    <x:row r="15">
      <x:c r="B15" s="1" t="s">
        <x:v>89</x:v>
      </x:c>
      <x:c r="C15" s="9" t="n">
        <x:f>(1+C16)/(1+C41)-1</x:f>
        <x:v>-0.004548341585780213</x:v>
      </x:c>
      <x:c r="D15" s="9" t="n">
        <x:f>0</x:f>
        <x:v>0</x:v>
      </x:c>
      <x:c r="E15" s="9" t="n">
        <x:f>0</x:f>
        <x:v>0</x:v>
      </x:c>
      <x:c r="F15" s="9" t="n">
        <x:f>0</x:f>
        <x:v>0</x:v>
      </x:c>
      <x:c r="G15" s="9" t="n">
        <x:f>(1+G16)/(1+G41)-1</x:f>
        <x:v>0.009052735221132924</x:v>
      </x:c>
      <x:c r="H15" s="23" t="n">
        <x:f>Inputs!C155</x:f>
        <x:v>-0.005</x:v>
      </x:c>
    </x:row>
    <x:row r="16">
      <x:c r="B16" s="1" t="s">
        <x:v>90</x:v>
      </x:c>
      <x:c r="C16" s="9" t="n">
        <x:f>C18/C9-1</x:f>
        <x:v>0.04522424133493086</x:v>
      </x:c>
      <x:c r="D16" s="9" t="n">
        <x:f>D18/D9-1</x:f>
        <x:v>0.07692886402634214</x:v>
      </x:c>
      <x:c r="E16" s="9" t="n">
        <x:f>E18/E9-1</x:f>
        <x:v>0.03972978651898318</x:v>
      </x:c>
      <x:c r="F16" s="9" t="n">
        <x:f>F18/F9-1</x:f>
        <x:v>0.04013797106031047</x:v>
      </x:c>
      <x:c r="G16" s="9" t="n">
        <x:f>G18/G9-1</x:f>
        <x:v>0.01914326257334431</x:v>
      </x:c>
      <x:c r="H16" s="10" t="n">
        <x:f>H18/H9-1</x:f>
        <x:v>0.009999999999999787</x:v>
      </x:c>
    </x:row>
    <x:row r="17">
      <x:c r="B17" s="1" t="s">
        <x:v>91</x:v>
      </x:c>
      <x:c r="C17" s="9"/>
      <x:c r="D17" s="9"/>
      <x:c r="E17" s="9" t="n">
        <x:f>E18/C18-1</x:f>
        <x:v>0.03131028596980756</x:v>
      </x:c>
      <x:c r="F17" s="9" t="n">
        <x:f>F18/E18-1</x:f>
        <x:v>-0.020226410423104024</x:v>
      </x:c>
      <x:c r="G17" s="9" t="n">
        <x:f>G18/F18-1</x:f>
        <x:v>0.027131193037364998</x:v>
      </x:c>
      <x:c r="H17" s="10" t="n">
        <x:f>H18/G18-1</x:f>
        <x:v>-0.026848677117354502</x:v>
      </x:c>
    </x:row>
    <x:row r="18">
      <x:c r="B18" s="4" t="s">
        <x:v>92</x:v>
      </x:c>
      <x:c r="C18" s="17">
        <x:v>8804.391</x:v>
      </x:c>
      <x:c r="D18" s="17">
        <x:v>35056.715</x:v>
      </x:c>
      <x:c r="E18" s="17">
        <x:v>9080.059</x:v>
      </x:c>
      <x:c r="F18" s="17">
        <x:v>8896.402</x:v>
      </x:c>
      <x:c r="G18" s="17">
        <x:v>9137.772</x:v>
      </x:c>
      <x:c r="H18" s="12" t="n">
        <x:f>H9*(1+H13)*(1+H14)*(1+H15)</x:f>
        <x:v>8892.434909999998</x:v>
      </x:c>
    </x:row>
    <x:row r="19">
      <x:c r="B19" s="1" t="s">
        <x:v>93</x:v>
      </x:c>
      <x:c r="C19" s="9" t="n">
        <x:f>'Revenue summary'!C12</x:f>
        <x:v>0.5003558142468911</x:v>
      </x:c>
      <x:c r="D19" s="9" t="n">
        <x:f>'Revenue summary'!D12</x:f>
        <x:v>0.5031608596256767</x:v>
      </x:c>
      <x:c r="E19" s="9" t="n">
        <x:f>'Revenue summary'!E12</x:f>
        <x:v>0.484473292116022</x:v>
      </x:c>
      <x:c r="F19" s="9" t="n">
        <x:f>'Revenue summary'!F12</x:f>
        <x:v>0.49303754486377965</x:v>
      </x:c>
      <x:c r="G19" s="9" t="n">
        <x:f>'Revenue summary'!G12</x:f>
        <x:v>0.48817724663299955</x:v>
      </x:c>
      <x:c r="H19" s="10" t="n">
        <x:f>'Revenue summary'!H12</x:f>
        <x:v>0.4917191418107661</x:v>
      </x:c>
    </x:row>
    <x:row r="20">
      <x:c r="B20" s="8" t="s">
        <x:v>94</x:v>
      </x:c>
      <x:c r="C20" s="3"/>
      <x:c r="D20" s="3"/>
      <x:c r="E20" s="3" t="n">
        <x:f>E18-C18</x:f>
        <x:v>275.66799999999967</x:v>
      </x:c>
      <x:c r="F20" s="3" t="n">
        <x:f>F18-E18</x:f>
        <x:v>-183.65699999999924</x:v>
      </x:c>
      <x:c r="G20" s="3" t="n">
        <x:f>G18-F18</x:f>
        <x:v>241.3700000000008</x:v>
      </x:c>
      <x:c r="H20" s="15" t="n">
        <x:f>H18-G18</x:f>
        <x:v>-245.33709000000272</x:v>
      </x:c>
    </x:row>
    <x:row r="21">
      <x:c r="B21" s="8"/>
      <x:c r="C21" s="3"/>
      <x:c r="D21" s="3"/>
      <x:c r="E21" s="3"/>
      <x:c r="F21" s="3"/>
      <x:c r="G21" s="3"/>
      <x:c r="H21" s="15"/>
    </x:row>
    <x:row r="22">
      <x:c r="B22" s="8" t="s">
        <x:v>95</x:v>
      </x:c>
      <x:c r="C22" s="5" t="n">
        <x:f>D22-Inputs!C164</x:f>
        <x:v>5730.929</x:v>
      </x:c>
      <x:c r="D22" s="19">
        <x:v>22603.084</x:v>
      </x:c>
      <x:c r="E22" s="19">
        <x:v>5828.921</x:v>
      </x:c>
      <x:c r="F22" s="19">
        <x:v>5820.277</x:v>
      </x:c>
      <x:c r="G22" s="19">
        <x:v>5629.691</x:v>
      </x:c>
      <x:c r="H22" s="15" t="n">
        <x:f>H18*C22/C18</x:f>
        <x:v>5788.238289999999</x:v>
      </x:c>
    </x:row>
    <x:row r="23">
      <x:c r="B23" s="1" t="s">
        <x:v>96</x:v>
      </x:c>
      <x:c r="C23" s="9"/>
      <x:c r="D23" s="9" t="n">
        <x:f>D22/D43-1</x:f>
        <x:v>0.06923476321289779</x:v>
      </x:c>
      <x:c r="E23" s="9" t="n">
        <x:f>E22/E43-1</x:f>
        <x:v>0.030707142937977716</x:v>
      </x:c>
      <x:c r="F23" s="9" t="n">
        <x:f>F22/F43-1</x:f>
        <x:v>0.02967262037971885</x:v>
      </x:c>
      <x:c r="G23" s="9" t="n">
        <x:f>G22/G43-1</x:f>
        <x:v>0.011744609423579355</x:v>
      </x:c>
      <x:c r="H23" s="10" t="n">
        <x:f>H22/C22-1</x:f>
        <x:v>0.009999999999999787</x:v>
      </x:c>
    </x:row>
    <x:row r="24">
      <x:c r="B24" s="8" t="s">
        <x:v>97</x:v>
      </x:c>
      <x:c r="C24" s="3"/>
      <x:c r="D24" s="3"/>
      <x:c r="E24" s="3" t="n">
        <x:f>E22-C22</x:f>
        <x:v>97.99200000000019</x:v>
      </x:c>
      <x:c r="F24" s="3" t="n">
        <x:f>F22-E22</x:f>
        <x:v>-8.644000000000233</x:v>
      </x:c>
      <x:c r="G24" s="3" t="n">
        <x:f>G22-F22</x:f>
        <x:v>-190.58600000000024</x:v>
      </x:c>
      <x:c r="H24" s="15" t="n">
        <x:f>H22-G22</x:f>
        <x:v>158.54728999999952</x:v>
      </x:c>
    </x:row>
    <x:row r="25">
      <x:c r="B25" s="8" t="s">
        <x:v>98</x:v>
      </x:c>
      <x:c r="C25" s="5" t="n">
        <x:f>D25-Inputs!C165</x:f>
        <x:v>1486.7640000000001</x:v>
      </x:c>
      <x:c r="D25" s="19">
        <x:v>5917.032</x:v>
      </x:c>
      <x:c r="E25" s="19">
        <x:v>1480.392</x:v>
      </x:c>
      <x:c r="F25" s="19">
        <x:v>1491.471</x:v>
      </x:c>
      <x:c r="G25" s="19">
        <x:v>1616.931</x:v>
      </x:c>
      <x:c r="H25" s="15" t="n">
        <x:f>H18*C25/C18</x:f>
        <x:v>1501.6316399999998</x:v>
      </x:c>
    </x:row>
    <x:row r="26">
      <x:c r="B26" s="1" t="s">
        <x:v>99</x:v>
      </x:c>
      <x:c r="C26" s="9"/>
      <x:c r="D26" s="9" t="n">
        <x:f>D25/D44-1</x:f>
        <x:v>0.0768916891601803</x:v>
      </x:c>
      <x:c r="E26" s="9" t="n">
        <x:f>E25/E44-1</x:f>
        <x:v>-0.011865157979612295</x:v>
      </x:c>
      <x:c r="F26" s="9" t="n">
        <x:f>F25/F44-1</x:f>
        <x:v>0.022965911218687074</x:v>
      </x:c>
      <x:c r="G26" s="9" t="n">
        <x:f>G25/G44-1</x:f>
        <x:v>0.09688402449472999</x:v>
      </x:c>
      <x:c r="H26" s="10" t="n">
        <x:f>H25/C25-1</x:f>
        <x:v>0.009999999999999787</x:v>
      </x:c>
    </x:row>
    <x:row r="27">
      <x:c r="B27" s="8" t="s">
        <x:v>100</x:v>
      </x:c>
      <x:c r="C27" s="3"/>
      <x:c r="D27" s="3"/>
      <x:c r="E27" s="3" t="n">
        <x:f>E25-C25</x:f>
        <x:v>-6.372000000000071</x:v>
      </x:c>
      <x:c r="F27" s="3" t="n">
        <x:f>F25-E25</x:f>
        <x:v>11.07899999999995</x:v>
      </x:c>
      <x:c r="G27" s="3" t="n">
        <x:f>G25-F25</x:f>
        <x:v>125.46000000000004</x:v>
      </x:c>
      <x:c r="H27" s="15" t="n">
        <x:f>H25-G25</x:f>
        <x:v>-115.2993600000002</x:v>
      </x:c>
    </x:row>
    <x:row r="28">
      <x:c r="B28" s="8" t="s">
        <x:v>101</x:v>
      </x:c>
      <x:c r="C28" s="5" t="n">
        <x:f>D28-Inputs!C166</x:f>
        <x:v>179.197</x:v>
      </x:c>
      <x:c r="D28" s="19">
        <x:v>791.791</x:v>
      </x:c>
      <x:c r="E28" s="19">
        <x:v>176.662</x:v>
      </x:c>
      <x:c r="F28" s="19">
        <x:v>191.595</x:v>
      </x:c>
      <x:c r="G28" s="19">
        <x:v>183.052</x:v>
      </x:c>
      <x:c r="H28" s="15" t="n">
        <x:f>H18*C28/C18</x:f>
        <x:v>180.98897</x:v>
      </x:c>
    </x:row>
    <x:row r="29">
      <x:c r="B29" s="8" t="s">
        <x:v>102</x:v>
      </x:c>
      <x:c r="C29" s="3" t="n">
        <x:f>D29</x:f>
        <x:v>420.469</x:v>
      </x:c>
      <x:c r="D29" s="19">
        <x:v>420.469</x:v>
      </x:c>
      <x:c r="E29" s="19">
        <x:v>66.749</x:v>
      </x:c>
      <x:c r="F29" s="3" t="n">
        <x:f>0</x:f>
        <x:v>0</x:v>
      </x:c>
      <x:c r="G29" s="3" t="n">
        <x:f>0</x:f>
        <x:v>0</x:v>
      </x:c>
      <x:c r="H29" s="16" t="n">
        <x:f>Inputs!C140</x:f>
        <x:v>0</x:v>
      </x:c>
    </x:row>
    <x:row r="30">
      <x:c r="B30" s="4" t="s">
        <x:v>103</x:v>
      </x:c>
      <x:c r="C30" s="18" t="n">
        <x:f>SUM(C22,C25,C28,C29)</x:f>
        <x:v>7817.359</x:v>
      </x:c>
      <x:c r="D30" s="18" t="n">
        <x:f>SUM(D22,D25,D28,D29)</x:f>
        <x:v>29732.376</x:v>
      </x:c>
      <x:c r="E30" s="18" t="n">
        <x:f>SUM(E22,E25,E28,E29)</x:f>
        <x:v>7552.724</x:v>
      </x:c>
      <x:c r="F30" s="18" t="n">
        <x:f>SUM(F22,F25,F28,F29)</x:f>
        <x:v>7503.343</x:v>
      </x:c>
      <x:c r="G30" s="18" t="n">
        <x:f>SUM(G22,G25,G28,G29)</x:f>
        <x:v>7429.673999999999</x:v>
      </x:c>
      <x:c r="H30" s="12" t="n">
        <x:f>SUM(H22,H25,H28,H29)</x:f>
        <x:v>7470.858899999999</x:v>
      </x:c>
    </x:row>
    <x:row r="31">
      <x:c r="B31" s="4" t="s">
        <x:v>104</x:v>
      </x:c>
      <x:c r="C31" s="18" t="n">
        <x:f>C18-C30</x:f>
        <x:v>987.0319999999992</x:v>
      </x:c>
      <x:c r="D31" s="18" t="n">
        <x:f>D18-D30</x:f>
        <x:v>5324.338999999996</x:v>
      </x:c>
      <x:c r="E31" s="18" t="n">
        <x:f>E18-E30</x:f>
        <x:v>1527.3349999999991</x:v>
      </x:c>
      <x:c r="F31" s="18" t="n">
        <x:f>F18-F30</x:f>
        <x:v>1393.0590000000002</x:v>
      </x:c>
      <x:c r="G31" s="18" t="n">
        <x:f>G18-G30</x:f>
        <x:v>1708.0980000000018</x:v>
      </x:c>
      <x:c r="H31" s="12" t="n">
        <x:f>H18-H30</x:f>
        <x:v>1421.5760099999989</x:v>
      </x:c>
    </x:row>
    <x:row r="32">
      <x:c r="B32" s="1" t="s">
        <x:v>105</x:v>
      </x:c>
      <x:c r="C32" s="9" t="n">
        <x:f>C31/C18</x:f>
        <x:v>0.11210678853313072</x:v>
      </x:c>
      <x:c r="D32" s="9" t="n">
        <x:f>D31/D18</x:f>
        <x:v>0.15187786419805727</x:v>
      </x:c>
      <x:c r="E32" s="9" t="n">
        <x:f>E31/E18</x:f>
        <x:v>0.1682076074615814</x:v>
      </x:c>
      <x:c r="F32" s="9" t="n">
        <x:f>F31/F18</x:f>
        <x:v>0.15658678643343682</x:v>
      </x:c>
      <x:c r="G32" s="9" t="n">
        <x:f>G31/G18</x:f>
        <x:v>0.18692718531388194</x:v>
      </x:c>
      <x:c r="H32" s="10" t="n">
        <x:f>H31/H18</x:f>
        <x:v>0.15986352718774066</x:v>
      </x:c>
    </x:row>
    <x:row r="33">
      <x:c r="B33" s="8" t="s">
        <x:v>106</x:v>
      </x:c>
      <x:c r="C33" s="3" t="n">
        <x:f>(C32-C46)*10000</x:f>
        <x:v>-417.18124237140194</x:v>
      </x:c>
      <x:c r="D33" s="3" t="n">
        <x:f>(D32-D46)*10000</x:f>
        <x:v>-41.67069877490687</x:v>
      </x:c>
      <x:c r="E33" s="3" t="n">
        <x:f>(E32-E46)*10000</x:f>
        <x:v>105.04754120354704</x:v>
      </x:c>
      <x:c r="F33" s="3" t="n">
        <x:f>(F32-F46)*10000</x:f>
        <x:v>115.58283310942497</x:v>
      </x:c>
      <x:c r="G33" s="3" t="n">
        <x:f>(G32-G46)*10000</x:f>
        <x:v>-48.645696805521276</x:v>
      </x:c>
      <x:c r="H33" s="15" t="n">
        <x:f>(H32-C32)*10000</x:f>
        <x:v>477.56738654609944</x:v>
      </x:c>
    </x:row>
    <x:row r="34">
      <x:c r="B34" s="8" t="s">
        <x:v>107</x:v>
      </x:c>
      <x:c r="C34" s="3"/>
      <x:c r="D34" s="3"/>
      <x:c r="E34" s="3" t="n">
        <x:f>(E32-C32)*10000</x:f>
        <x:v>561.0081892845068</x:v>
      </x:c>
      <x:c r="F34" s="3" t="n">
        <x:f>(F32-E32)*10000</x:f>
        <x:v>-116.20821028144573</x:v>
      </x:c>
      <x:c r="G34" s="3" t="n">
        <x:f>(G32-F32)*10000</x:f>
        <x:v>303.4039888044512</x:v>
      </x:c>
      <x:c r="H34" s="15" t="n">
        <x:f>(H32-G32)*10000</x:f>
        <x:v>-270.6365812614128</x:v>
      </x:c>
    </x:row>
    <x:row r="35">
      <x:c r="B35" s="8"/>
      <x:c r="C35" s="3"/>
      <x:c r="D35" s="3"/>
      <x:c r="E35" s="3"/>
      <x:c r="F35" s="3"/>
      <x:c r="G35" s="3"/>
      <x:c r="H35" s="15"/>
    </x:row>
    <x:row r="36">
      <x:c r="B36" s="8" t="s">
        <x:v>108</x:v>
      </x:c>
      <x:c r="C36" s="3"/>
      <x:c r="D36" s="3"/>
      <x:c r="E36" s="3"/>
      <x:c r="F36" s="3"/>
      <x:c r="G36" s="3"/>
      <x:c r="H36" s="15"/>
    </x:row>
    <x:row r="37">
      <x:c r="B37" s="8" t="s">
        <x:v>109</x:v>
      </x:c>
      <x:c r="C37" s="3"/>
      <x:c r="D37" s="3"/>
      <x:c r="E37" s="3"/>
      <x:c r="F37" s="3"/>
      <x:c r="G37" s="3"/>
      <x:c r="H37" s="15"/>
    </x:row>
    <x:row r="38">
      <x:c r="B38" s="8"/>
      <x:c r="C38" s="3"/>
      <x:c r="D38" s="3"/>
      <x:c r="E38" s="3"/>
      <x:c r="F38" s="3"/>
      <x:c r="G38" s="3"/>
      <x:c r="H38" s="15"/>
    </x:row>
    <x:row r="39">
      <x:c r="B39" s="4" t="s">
        <x:v>110</x:v>
      </x:c>
      <x:c r="C39" s="18" t="n">
        <x:f>C18-C30-C31</x:f>
        <x:v>0</x:v>
      </x:c>
      <x:c r="D39" s="18" t="n">
        <x:f>D18-D30-D31</x:f>
        <x:v>0</x:v>
      </x:c>
      <x:c r="E39" s="18" t="n">
        <x:f>E18-E30-E31</x:f>
        <x:v>0</x:v>
      </x:c>
      <x:c r="F39" s="18" t="n">
        <x:f>F18-F30-F31</x:f>
        <x:v>0</x:v>
      </x:c>
      <x:c r="G39" s="18" t="n">
        <x:f>G18-G30-G31</x:f>
        <x:v>0</x:v>
      </x:c>
      <x:c r="H39" s="12" t="n">
        <x:f>H18-H30-H31</x:f>
        <x:v>0</x:v>
      </x:c>
    </x:row>
    <x:row r="40">
      <x:c r="B40" s="8"/>
      <x:c r="C40" s="3"/>
      <x:c r="D40" s="3"/>
      <x:c r="E40" s="3"/>
      <x:c r="F40" s="3"/>
      <x:c r="G40" s="3"/>
      <x:c r="H40" s="15"/>
    </x:row>
    <x:row r="41">
      <x:c r="B41" s="1" t="s">
        <x:v>111</x:v>
      </x:c>
      <x:c r="C41" s="22">
        <x:v>0.05</x:v>
      </x:c>
      <x:c r="D41" s="9"/>
      <x:c r="E41" s="9"/>
      <x:c r="F41" s="9"/>
      <x:c r="G41" s="22">
        <x:v>0.01</x:v>
      </x:c>
      <x:c r="H41" s="10"/>
    </x:row>
    <x:row r="42">
      <x:c r="B42" s="8"/>
      <x:c r="C42" s="2"/>
      <x:c r="D42" s="2"/>
      <x:c r="E42" s="2"/>
      <x:c r="F42" s="2"/>
      <x:c r="G42" s="2"/>
      <x:c r="H42" s="2"/>
    </x:row>
    <x:row r="43">
      <x:c r="B43" s="8" t="s">
        <x:v>112</x:v>
      </x:c>
      <x:c r="C43" s="2"/>
      <x:c r="D43" s="2">
        <x:v>21139.496</x:v>
      </x:c>
      <x:c r="E43" s="2">
        <x:v>5655.264</x:v>
      </x:c>
      <x:c r="F43" s="2">
        <x:v>5652.551</x:v>
      </x:c>
      <x:c r="G43" s="2">
        <x:v>5564.34</x:v>
      </x:c>
      <x:c r="H43" s="2"/>
    </x:row>
    <x:row r="44">
      <x:c r="B44" s="8" t="s">
        <x:v>113</x:v>
      </x:c>
      <x:c r="C44" s="2"/>
      <x:c r="D44" s="2">
        <x:v>5494.547</x:v>
      </x:c>
      <x:c r="E44" s="2">
        <x:v>1498.168</x:v>
      </x:c>
      <x:c r="F44" s="2">
        <x:v>1457.987</x:v>
      </x:c>
      <x:c r="G44" s="2">
        <x:v>1474.113</x:v>
      </x:c>
      <x:c r="H44" s="2"/>
    </x:row>
    <x:row r="45">
      <x:c r="B45" s="8" t="s">
        <x:v>114</x:v>
      </x:c>
      <x:c r="C45" s="2"/>
      <x:c r="D45" s="2">
        <x:v>755.594</x:v>
      </x:c>
      <x:c r="E45" s="2">
        <x:v>202.429</x:v>
      </x:c>
      <x:c r="F45" s="2">
        <x:v>202.117</x:v>
      </x:c>
      <x:c r="G45" s="2">
        <x:v>208.048</x:v>
      </x:c>
      <x:c r="H45" s="2"/>
    </x:row>
    <x:row r="46">
      <x:c r="B46" s="1" t="s">
        <x:v>115</x:v>
      </x:c>
      <x:c r="C46" s="9" t="n">
        <x:f>C47/C9</x:f>
        <x:v>0.1538249127702709</x:v>
      </x:c>
      <x:c r="D46" s="9" t="n">
        <x:f>D47/D9</x:f>
        <x:v>0.15604493407554795</x:v>
      </x:c>
      <x:c r="E46" s="9" t="n">
        <x:f>E47/E9</x:f>
        <x:v>0.1577028533412267</x:v>
      </x:c>
      <x:c r="F46" s="9" t="n">
        <x:f>F47/F9</x:f>
        <x:v>0.14502850312249432</x:v>
      </x:c>
      <x:c r="G46" s="9" t="n">
        <x:f>G47/G9</x:f>
        <x:v>0.19179175499443407</x:v>
      </x:c>
      <x:c r="H46" s="9"/>
    </x:row>
    <x:row r="47">
      <x:c r="B47" s="8" t="s">
        <x:v>116</x:v>
      </x:c>
      <x:c r="C47" s="2">
        <x:v>1295.736</x:v>
      </x:c>
      <x:c r="D47" s="2">
        <x:v>5079.651</x:v>
      </x:c>
      <x:c r="E47" s="2">
        <x:v>1377.234</x:v>
      </x:c>
      <x:c r="F47" s="2">
        <x:v>1240.443</x:v>
      </x:c>
      <x:c r="G47" s="2">
        <x:v>1719.63</x:v>
      </x:c>
      <x:c r="H47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117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8" t="s">
        <x:v>84</x:v>
      </x:c>
      <x:c r="C9" s="19">
        <x:v>5638.763</x:v>
      </x:c>
      <x:c r="D9" s="19">
        <x:v>22817.879</x:v>
      </x:c>
      <x:c r="E9" s="19">
        <x:v>6411.952</x:v>
      </x:c>
      <x:c r="F9" s="19">
        <x:v>5803.875</x:v>
      </x:c>
      <x:c r="G9" s="19">
        <x:v>6231.849</x:v>
      </x:c>
      <x:c r="H9" s="15" t="n">
        <x:f>C18</x:f>
        <x:v>6196.281</x:v>
      </x:c>
    </x:row>
    <x:row r="10">
      <x:c r="B10" s="1" t="s">
        <x:v>85</x:v>
      </x:c>
      <x:c r="C10" s="53" t="s">
        <x:v>31</x:v>
      </x:c>
      <x:c r="D10" s="53" t="n">
        <x:f>D9/Inputs!C194-1</x:f>
        <x:v>0.02356366583613645</x:v>
      </x:c>
      <x:c r="E10" s="53" t="s">
        <x:v>31</x:v>
      </x:c>
      <x:c r="F10" s="53" t="s">
        <x:v>31</x:v>
      </x:c>
      <x:c r="G10" s="53" t="s">
        <x:v>31</x:v>
      </x:c>
      <x:c r="H10" s="10" t="n">
        <x:f>H9/C9-1</x:f>
        <x:v>0.09887239453050256</x:v>
      </x:c>
    </x:row>
    <x:row r="11">
      <x:c r="B11" s="8" t="s">
        <x:v>86</x:v>
      </x:c>
      <x:c r="C11" s="3"/>
      <x:c r="D11" s="3"/>
      <x:c r="E11" s="3" t="n">
        <x:f>E9-C9</x:f>
        <x:v>773.1890000000003</x:v>
      </x:c>
      <x:c r="F11" s="3" t="n">
        <x:f>F9-E9</x:f>
        <x:v>-608.0770000000002</x:v>
      </x:c>
      <x:c r="G11" s="3" t="n">
        <x:f>G9-F9</x:f>
        <x:v>427.97400000000016</x:v>
      </x:c>
      <x:c r="H11" s="15" t="n">
        <x:f>H9-G9</x:f>
        <x:v>-35.56800000000021</x:v>
      </x:c>
    </x:row>
    <x:row r="12">
      <x:c r="B12" s="8"/>
      <x:c r="C12" s="3"/>
      <x:c r="D12" s="3"/>
      <x:c r="E12" s="3"/>
      <x:c r="F12" s="3"/>
      <x:c r="G12" s="3"/>
      <x:c r="H12" s="15"/>
    </x:row>
    <x:row r="13">
      <x:c r="B13" s="1" t="s">
        <x:v>87</x:v>
      </x:c>
      <x:c r="C13" s="9" t="n">
        <x:f>(1+C16)/((1+C14)*(1+C15))-1</x:f>
        <x:v>0.030000000000000027</x:v>
      </x:c>
      <x:c r="D13" s="9" t="n">
        <x:f>(1+D16)/((1+D14)*(1+D15))-1</x:f>
        <x:v>0.08002838475916185</x:v>
      </x:c>
      <x:c r="E13" s="9" t="n">
        <x:f>(1+E16)/((1+E14)*(1+E15))-1</x:f>
        <x:v>0.08161024910978742</x:v>
      </x:c>
      <x:c r="F13" s="9" t="n">
        <x:f>(1+F16)/((1+F14)*(1+F15))-1</x:f>
        <x:v>0.131897396136202</x:v>
      </x:c>
      <x:c r="G13" s="9" t="n">
        <x:f>(1+G16)/((1+G14)*(1+G15))-1</x:f>
        <x:v>0.040000000000000036</x:v>
      </x:c>
      <x:c r="H13" s="23" t="n">
        <x:f>(1+Inputs!C127)/(1+H15)-1</x:f>
        <x:v>0.05728643216080398</x:v>
      </x:c>
    </x:row>
    <x:row r="14">
      <x:c r="B14" s="1" t="s">
        <x:v>88</x:v>
      </x:c>
      <x:c r="C14" s="9" t="n">
        <x:f>0</x:f>
        <x:v>0</x:v>
      </x:c>
      <x:c r="D14" s="9" t="n">
        <x:f>0</x:f>
        <x:v>0</x:v>
      </x:c>
      <x:c r="E14" s="9" t="n">
        <x:f>0</x:f>
        <x:v>0</x:v>
      </x:c>
      <x:c r="F14" s="9" t="n">
        <x:f>0</x:f>
        <x:v>0</x:v>
      </x:c>
      <x:c r="G14" s="9" t="n">
        <x:f>0</x:f>
        <x:v>0</x:v>
      </x:c>
      <x:c r="H14" s="10" t="n">
        <x:f>0</x:f>
        <x:v>0</x:v>
      </x:c>
    </x:row>
    <x:row r="15">
      <x:c r="B15" s="1" t="s">
        <x:v>89</x:v>
      </x:c>
      <x:c r="C15" s="9" t="n">
        <x:f>(1+C16)/(1+C41)-1</x:f>
        <x:v>0.06686640245679865</x:v>
      </x:c>
      <x:c r="D15" s="9" t="n">
        <x:f>0</x:f>
        <x:v>0</x:v>
      </x:c>
      <x:c r="E15" s="9" t="n">
        <x:f>0</x:f>
        <x:v>0</x:v>
      </x:c>
      <x:c r="F15" s="9" t="n">
        <x:f>0</x:f>
        <x:v>0</x:v>
      </x:c>
      <x:c r="G15" s="9" t="n">
        <x:f>(1+G16)/(1+G41)-1</x:f>
        <x:v>0.06053349742341574</x:v>
      </x:c>
      <x:c r="H15" s="23" t="n">
        <x:f>Inputs!C155</x:f>
        <x:v>-0.005</x:v>
      </x:c>
    </x:row>
    <x:row r="16">
      <x:c r="B16" s="1" t="s">
        <x:v>90</x:v>
      </x:c>
      <x:c r="C16" s="9" t="n">
        <x:f>C18/C9-1</x:f>
        <x:v>0.09887239453050256</x:v>
      </x:c>
      <x:c r="D16" s="9" t="n">
        <x:f>D18/D9-1</x:f>
        <x:v>0.08002838475916185</x:v>
      </x:c>
      <x:c r="E16" s="9" t="n">
        <x:f>E18/E9-1</x:f>
        <x:v>0.08161024910978742</x:v>
      </x:c>
      <x:c r="F16" s="9" t="n">
        <x:f>F18/F9-1</x:f>
        <x:v>0.131897396136202</x:v>
      </x:c>
      <x:c r="G16" s="9" t="n">
        <x:f>G18/G9-1</x:f>
        <x:v>0.10295483732035238</x:v>
      </x:c>
      <x:c r="H16" s="10" t="n">
        <x:f>H18/H9-1</x:f>
        <x:v>0.052000000000000046</x:v>
      </x:c>
    </x:row>
    <x:row r="17">
      <x:c r="B17" s="1" t="s">
        <x:v>91</x:v>
      </x:c>
      <x:c r="C17" s="9"/>
      <x:c r="D17" s="9"/>
      <x:c r="E17" s="9" t="n">
        <x:f>E18/C18-1</x:f>
        <x:v>0.11925734162153079</x:v>
      </x:c>
      <x:c r="F17" s="9" t="n">
        <x:f>F18/E18-1</x:f>
        <x:v>-0.05275121974993491</x:v>
      </x:c>
      <x:c r="G17" s="9" t="n">
        <x:f>G18/F18-1</x:f>
        <x:v>0.046283894504072</x:v>
      </x:c>
      <x:c r="H17" s="10" t="n">
        <x:f>H18/G18-1</x:f>
        <x:v>-0.05164225989634319</x:v>
      </x:c>
    </x:row>
    <x:row r="18">
      <x:c r="B18" s="4" t="s">
        <x:v>92</x:v>
      </x:c>
      <x:c r="C18" s="17">
        <x:v>6196.281</x:v>
      </x:c>
      <x:c r="D18" s="17">
        <x:v>24643.957</x:v>
      </x:c>
      <x:c r="E18" s="17">
        <x:v>6935.233</x:v>
      </x:c>
      <x:c r="F18" s="17">
        <x:v>6569.391</x:v>
      </x:c>
      <x:c r="G18" s="17">
        <x:v>6873.448</x:v>
      </x:c>
      <x:c r="H18" s="12" t="n">
        <x:f>H9*(1+H13)*(1+H14)*(1+H15)</x:f>
        <x:v>6518.487612</x:v>
      </x:c>
    </x:row>
    <x:row r="19">
      <x:c r="B19" s="1" t="s">
        <x:v>93</x:v>
      </x:c>
      <x:c r="C19" s="9" t="n">
        <x:f>'Revenue summary'!C19</x:f>
        <x:v>0.35213624940754457</x:v>
      </x:c>
      <x:c r="D19" s="9" t="n">
        <x:f>'Revenue summary'!D19</x:f>
        <x:v>0.3537089709831116</x:v>
      </x:c>
      <x:c r="E19" s="9" t="n">
        <x:f>'Revenue summary'!E19</x:f>
        <x:v>0.3700345078266205</x:v>
      </x:c>
      <x:c r="F19" s="9" t="n">
        <x:f>'Revenue summary'!F19</x:f>
        <x:v>0.3640748709298669</x:v>
      </x:c>
      <x:c r="G19" s="9" t="n">
        <x:f>'Revenue summary'!G19</x:f>
        <x:v>0.3672077744460135</x:v>
      </x:c>
      <x:c r="H19" s="10" t="n">
        <x:f>'Revenue summary'!H19</x:f>
        <x:v>0.3604485348408078</x:v>
      </x:c>
    </x:row>
    <x:row r="20">
      <x:c r="B20" s="8" t="s">
        <x:v>94</x:v>
      </x:c>
      <x:c r="C20" s="3"/>
      <x:c r="D20" s="3"/>
      <x:c r="E20" s="3" t="n">
        <x:f>E18-C18</x:f>
        <x:v>738.9520000000002</x:v>
      </x:c>
      <x:c r="F20" s="3" t="n">
        <x:f>F18-E18</x:f>
        <x:v>-365.84200000000055</x:v>
      </x:c>
      <x:c r="G20" s="3" t="n">
        <x:f>G18-F18</x:f>
        <x:v>304.0570000000007</x:v>
      </x:c>
      <x:c r="H20" s="15" t="n">
        <x:f>H18-G18</x:f>
        <x:v>-354.9603880000004</x:v>
      </x:c>
    </x:row>
    <x:row r="21">
      <x:c r="B21" s="8"/>
      <x:c r="C21" s="3"/>
      <x:c r="D21" s="3"/>
      <x:c r="E21" s="3"/>
      <x:c r="F21" s="3"/>
      <x:c r="G21" s="3"/>
      <x:c r="H21" s="15"/>
    </x:row>
    <x:row r="22">
      <x:c r="B22" s="8" t="s">
        <x:v>95</x:v>
      </x:c>
      <x:c r="C22" s="5" t="n">
        <x:f>D22-Inputs!D164</x:f>
        <x:v>4210.5560000000005</x:v>
      </x:c>
      <x:c r="D22" s="19">
        <x:v>16859.804</x:v>
      </x:c>
      <x:c r="E22" s="19">
        <x:v>4620.806</x:v>
      </x:c>
      <x:c r="F22" s="19">
        <x:v>4612.648</x:v>
      </x:c>
      <x:c r="G22" s="19">
        <x:v>4536.068</x:v>
      </x:c>
      <x:c r="H22" s="15" t="n">
        <x:f>H18*C22/C18</x:f>
        <x:v>4429.504912</x:v>
      </x:c>
    </x:row>
    <x:row r="23">
      <x:c r="B23" s="1" t="s">
        <x:v>96</x:v>
      </x:c>
      <x:c r="C23" s="9"/>
      <x:c r="D23" s="9" t="n">
        <x:f>D22/D43-1</x:f>
        <x:v>0.08510801938259727</x:v>
      </x:c>
      <x:c r="E23" s="9" t="n">
        <x:f>E22/E43-1</x:f>
        <x:v>0.08988702295981943</x:v>
      </x:c>
      <x:c r="F23" s="9" t="n">
        <x:f>F22/F43-1</x:f>
        <x:v>0.14149478183486597</x:v>
      </x:c>
      <x:c r="G23" s="9" t="n">
        <x:f>G22/G43-1</x:f>
        <x:v>0.03832188090928712</x:v>
      </x:c>
      <x:c r="H23" s="10" t="n">
        <x:f>H22/C22-1</x:f>
        <x:v>0.052000000000000046</x:v>
      </x:c>
    </x:row>
    <x:row r="24">
      <x:c r="B24" s="8" t="s">
        <x:v>97</x:v>
      </x:c>
      <x:c r="C24" s="3"/>
      <x:c r="D24" s="3"/>
      <x:c r="E24" s="3" t="n">
        <x:f>E22-C22</x:f>
        <x:v>410.2499999999991</x:v>
      </x:c>
      <x:c r="F24" s="3" t="n">
        <x:f>F22-E22</x:f>
        <x:v>-8.157999999999447</x:v>
      </x:c>
      <x:c r="G24" s="3" t="n">
        <x:f>G22-F22</x:f>
        <x:v>-76.57999999999993</x:v>
      </x:c>
      <x:c r="H24" s="15" t="n">
        <x:f>H22-G22</x:f>
        <x:v>-106.56308799999988</x:v>
      </x:c>
    </x:row>
    <x:row r="25">
      <x:c r="B25" s="8" t="s">
        <x:v>98</x:v>
      </x:c>
      <x:c r="C25" s="5" t="n">
        <x:f>D25-Inputs!D165</x:f>
        <x:v>1043.9540000000002</x:v>
      </x:c>
      <x:c r="D25" s="19">
        <x:v>4000.523</x:v>
      </x:c>
      <x:c r="E25" s="19">
        <x:v>1098.985</x:v>
      </x:c>
      <x:c r="F25" s="19">
        <x:v>1128.806</x:v>
      </x:c>
      <x:c r="G25" s="19">
        <x:v>1191.989</x:v>
      </x:c>
      <x:c r="H25" s="15" t="n">
        <x:f>H18*C25/C18</x:f>
        <x:v>1098.239608</x:v>
      </x:c>
    </x:row>
    <x:row r="26">
      <x:c r="B26" s="1" t="s">
        <x:v>99</x:v>
      </x:c>
      <x:c r="C26" s="9"/>
      <x:c r="D26" s="9" t="n">
        <x:f>D25/D44-1</x:f>
        <x:v>0.07942591762142914</x:v>
      </x:c>
      <x:c r="E26" s="9" t="n">
        <x:f>E25/E44-1</x:f>
        <x:v>0.10313610114862226</x:v>
      </x:c>
      <x:c r="F26" s="9" t="n">
        <x:f>F25/F44-1</x:f>
        <x:v>0.13788518589828258</x:v>
      </x:c>
      <x:c r="G26" s="9" t="n">
        <x:f>G25/G44-1</x:f>
        <x:v>0.23099809875133093</x:v>
      </x:c>
      <x:c r="H26" s="10" t="n">
        <x:f>H25/C25-1</x:f>
        <x:v>0.051999999999999824</x:v>
      </x:c>
    </x:row>
    <x:row r="27">
      <x:c r="B27" s="8" t="s">
        <x:v>100</x:v>
      </x:c>
      <x:c r="C27" s="3"/>
      <x:c r="D27" s="3"/>
      <x:c r="E27" s="3" t="n">
        <x:f>E25-C25</x:f>
        <x:v>55.03099999999972</x:v>
      </x:c>
      <x:c r="F27" s="3" t="n">
        <x:f>F25-E25</x:f>
        <x:v>29.82100000000014</x:v>
      </x:c>
      <x:c r="G27" s="3" t="n">
        <x:f>G25-F25</x:f>
        <x:v>63.18299999999999</x:v>
      </x:c>
      <x:c r="H27" s="15" t="n">
        <x:f>H25-G25</x:f>
        <x:v>-93.74939199999994</x:v>
      </x:c>
    </x:row>
    <x:row r="28">
      <x:c r="B28" s="8" t="s">
        <x:v>101</x:v>
      </x:c>
      <x:c r="C28" s="5" t="n">
        <x:f>D28-Inputs!D166</x:f>
        <x:v>147.10300000000007</x:v>
      </x:c>
      <x:c r="D28" s="19">
        <x:v>560.657</x:v>
      </x:c>
      <x:c r="E28" s="19">
        <x:v>145.14</x:v>
      </x:c>
      <x:c r="F28" s="19">
        <x:v>151.19</x:v>
      </x:c>
      <x:c r="G28" s="19">
        <x:v>151.385</x:v>
      </x:c>
      <x:c r="H28" s="15" t="n">
        <x:f>H18*C28/C18</x:f>
        <x:v>154.75235600000008</x:v>
      </x:c>
    </x:row>
    <x:row r="29">
      <x:c r="B29" s="8" t="s">
        <x:v>102</x:v>
      </x:c>
      <x:c r="C29" s="3" t="n">
        <x:f>D29</x:f>
        <x:v>131.98</x:v>
      </x:c>
      <x:c r="D29" s="19">
        <x:v>131.98</x:v>
      </x:c>
      <x:c r="E29" s="19">
        <x:v>169.811</x:v>
      </x:c>
      <x:c r="F29" s="3" t="n">
        <x:f>0</x:f>
        <x:v>0</x:v>
      </x:c>
      <x:c r="G29" s="3" t="n">
        <x:f>0</x:f>
        <x:v>0</x:v>
      </x:c>
      <x:c r="H29" s="16" t="n">
        <x:f>Inputs!C140</x:f>
        <x:v>0</x:v>
      </x:c>
    </x:row>
    <x:row r="30">
      <x:c r="B30" s="4" t="s">
        <x:v>103</x:v>
      </x:c>
      <x:c r="C30" s="18" t="n">
        <x:f>SUM(C22,C25,C28,C29)</x:f>
        <x:v>5533.593</x:v>
      </x:c>
      <x:c r="D30" s="18" t="n">
        <x:f>SUM(D22,D25,D28,D29)</x:f>
        <x:v>21552.964</x:v>
      </x:c>
      <x:c r="E30" s="18" t="n">
        <x:f>SUM(E22,E25,E28,E29)</x:f>
        <x:v>6034.741999999999</x:v>
      </x:c>
      <x:c r="F30" s="18" t="n">
        <x:f>SUM(F22,F25,F28,F29)</x:f>
        <x:v>5892.643999999999</x:v>
      </x:c>
      <x:c r="G30" s="18" t="n">
        <x:f>SUM(G22,G25,G28,G29)</x:f>
        <x:v>5879.442000000001</x:v>
      </x:c>
      <x:c r="H30" s="12" t="n">
        <x:f>SUM(H22,H25,H28,H29)</x:f>
        <x:v>5682.496876</x:v>
      </x:c>
    </x:row>
    <x:row r="31">
      <x:c r="B31" s="4" t="s">
        <x:v>104</x:v>
      </x:c>
      <x:c r="C31" s="18" t="n">
        <x:f>C18-C30</x:f>
        <x:v>662.6880000000001</x:v>
      </x:c>
      <x:c r="D31" s="18" t="n">
        <x:f>D18-D30</x:f>
        <x:v>3090.9929999999986</x:v>
      </x:c>
      <x:c r="E31" s="18" t="n">
        <x:f>E18-E30</x:f>
        <x:v>900.4910000000009</x:v>
      </x:c>
      <x:c r="F31" s="18" t="n">
        <x:f>F18-F30</x:f>
        <x:v>676.7470000000003</x:v>
      </x:c>
      <x:c r="G31" s="18" t="n">
        <x:f>G18-G30</x:f>
        <x:v>994.0059999999994</x:v>
      </x:c>
      <x:c r="H31" s="12" t="n">
        <x:f>H18-H30</x:f>
        <x:v>835.9907359999997</x:v>
      </x:c>
    </x:row>
    <x:row r="32">
      <x:c r="B32" s="1" t="s">
        <x:v>105</x:v>
      </x:c>
      <x:c r="C32" s="9" t="n">
        <x:f>C31/C18</x:f>
        <x:v>0.10694931362861047</x:v>
      </x:c>
      <x:c r="D32" s="9" t="n">
        <x:f>D31/D18</x:f>
        <x:v>0.12542600200122078</x:v>
      </x:c>
      <x:c r="E32" s="9" t="n">
        <x:f>E31/E18</x:f>
        <x:v>0.12984293389998589</x:v>
      </x:c>
      <x:c r="F32" s="9" t="n">
        <x:f>F31/F18</x:f>
        <x:v>0.10301518055478816</x:v>
      </x:c>
      <x:c r="G32" s="9" t="n">
        <x:f>G31/G18</x:f>
        <x:v>0.14461533716411318</x:v>
      </x:c>
      <x:c r="H32" s="10" t="n">
        <x:f>H31/H18</x:f>
        <x:v>0.12824918689129813</x:v>
      </x:c>
    </x:row>
    <x:row r="33">
      <x:c r="B33" s="8" t="s">
        <x:v>106</x:v>
      </x:c>
      <x:c r="C33" s="3" t="n">
        <x:f>(C32-C46)*10000</x:f>
        <x:v>-173.93206175821823</x:v>
      </x:c>
      <x:c r="D33" s="3" t="n">
        <x:f>(D32-D46)*10000</x:f>
        <x:v>25.57000899058748</x:v>
      </x:c>
      <x:c r="E33" s="3" t="n">
        <x:f>(E32-E46)*10000</x:f>
        <x:v>-317.2674098217168</x:v>
      </x:c>
      <x:c r="F33" s="3" t="n">
        <x:f>(F32-F46)*10000</x:f>
        <x:v>-71.24166002468846</x:v>
      </x:c>
      <x:c r="G33" s="3" t="n">
        <x:f>(G32-G46)*10000</x:f>
        <x:v>237.69501522075007</x:v>
      </x:c>
      <x:c r="H33" s="15" t="n">
        <x:f>(H32-C32)*10000</x:f>
        <x:v>212.9987326268766</x:v>
      </x:c>
    </x:row>
    <x:row r="34">
      <x:c r="B34" s="8" t="s">
        <x:v>107</x:v>
      </x:c>
      <x:c r="C34" s="3"/>
      <x:c r="D34" s="3"/>
      <x:c r="E34" s="3" t="n">
        <x:f>(E32-C32)*10000</x:f>
        <x:v>228.9362027137541</x:v>
      </x:c>
      <x:c r="F34" s="3" t="n">
        <x:f>(F32-E32)*10000</x:f>
        <x:v>-268.27753345197726</x:v>
      </x:c>
      <x:c r="G34" s="3" t="n">
        <x:f>(G32-F32)*10000</x:f>
        <x:v>416.0015660932502</x:v>
      </x:c>
      <x:c r="H34" s="15" t="n">
        <x:f>(H32-G32)*10000</x:f>
        <x:v>-163.66150272815045</x:v>
      </x:c>
    </x:row>
    <x:row r="35">
      <x:c r="B35" s="8"/>
      <x:c r="C35" s="3"/>
      <x:c r="D35" s="3"/>
      <x:c r="E35" s="3"/>
      <x:c r="F35" s="3"/>
      <x:c r="G35" s="3"/>
      <x:c r="H35" s="15"/>
    </x:row>
    <x:row r="36">
      <x:c r="B36" s="8" t="s">
        <x:v>108</x:v>
      </x:c>
      <x:c r="C36" s="3"/>
      <x:c r="D36" s="3"/>
      <x:c r="E36" s="3"/>
      <x:c r="F36" s="3"/>
      <x:c r="G36" s="3"/>
      <x:c r="H36" s="15"/>
    </x:row>
    <x:row r="37">
      <x:c r="B37" s="8" t="s">
        <x:v>109</x:v>
      </x:c>
      <x:c r="C37" s="3"/>
      <x:c r="D37" s="3"/>
      <x:c r="E37" s="3"/>
      <x:c r="F37" s="3"/>
      <x:c r="G37" s="3"/>
      <x:c r="H37" s="15"/>
    </x:row>
    <x:row r="38">
      <x:c r="B38" s="8"/>
      <x:c r="C38" s="3"/>
      <x:c r="D38" s="3"/>
      <x:c r="E38" s="3"/>
      <x:c r="F38" s="3"/>
      <x:c r="G38" s="3"/>
      <x:c r="H38" s="15"/>
    </x:row>
    <x:row r="39">
      <x:c r="B39" s="4" t="s">
        <x:v>110</x:v>
      </x:c>
      <x:c r="C39" s="18" t="n">
        <x:f>C18-C30-C31</x:f>
        <x:v>0</x:v>
      </x:c>
      <x:c r="D39" s="18" t="n">
        <x:f>D18-D30-D31</x:f>
        <x:v>0</x:v>
      </x:c>
      <x:c r="E39" s="18" t="n">
        <x:f>E18-E30-E31</x:f>
        <x:v>0</x:v>
      </x:c>
      <x:c r="F39" s="18" t="n">
        <x:f>F18-F30-F31</x:f>
        <x:v>0</x:v>
      </x:c>
      <x:c r="G39" s="18" t="n">
        <x:f>G18-G30-G31</x:f>
        <x:v>0</x:v>
      </x:c>
      <x:c r="H39" s="12" t="n">
        <x:f>H18-H30-H31</x:f>
        <x:v>0</x:v>
      </x:c>
    </x:row>
    <x:row r="40">
      <x:c r="B40" s="8"/>
      <x:c r="C40" s="3"/>
      <x:c r="D40" s="3"/>
      <x:c r="E40" s="3"/>
      <x:c r="F40" s="3"/>
      <x:c r="G40" s="3"/>
      <x:c r="H40" s="15"/>
    </x:row>
    <x:row r="41">
      <x:c r="B41" s="1" t="s">
        <x:v>111</x:v>
      </x:c>
      <x:c r="C41" s="22">
        <x:v>0.03</x:v>
      </x:c>
      <x:c r="D41" s="9"/>
      <x:c r="E41" s="9"/>
      <x:c r="F41" s="9"/>
      <x:c r="G41" s="22">
        <x:v>0.04</x:v>
      </x:c>
      <x:c r="H41" s="10"/>
    </x:row>
    <x:row r="42">
      <x:c r="B42" s="8"/>
      <x:c r="C42" s="2"/>
      <x:c r="D42" s="2"/>
      <x:c r="E42" s="2"/>
      <x:c r="F42" s="2"/>
      <x:c r="G42" s="2"/>
      <x:c r="H42" s="2"/>
    </x:row>
    <x:row r="43">
      <x:c r="B43" s="8" t="s">
        <x:v>112</x:v>
      </x:c>
      <x:c r="C43" s="2"/>
      <x:c r="D43" s="2">
        <x:v>15537.443</x:v>
      </x:c>
      <x:c r="E43" s="2">
        <x:v>4239.711</x:v>
      </x:c>
      <x:c r="F43" s="2">
        <x:v>4040.884</x:v>
      </x:c>
      <x:c r="G43" s="2">
        <x:v>4368.653</x:v>
      </x:c>
      <x:c r="H43" s="2"/>
    </x:row>
    <x:row r="44">
      <x:c r="B44" s="8" t="s">
        <x:v>113</x:v>
      </x:c>
      <x:c r="C44" s="2"/>
      <x:c r="D44" s="2">
        <x:v>3706.158</x:v>
      </x:c>
      <x:c r="E44" s="2">
        <x:v>996.237</x:v>
      </x:c>
      <x:c r="F44" s="2">
        <x:v>992.021</x:v>
      </x:c>
      <x:c r="G44" s="2">
        <x:v>968.311</x:v>
      </x:c>
      <x:c r="H44" s="2"/>
    </x:row>
    <x:row r="45">
      <x:c r="B45" s="8" t="s">
        <x:v>114</x:v>
      </x:c>
      <x:c r="C45" s="2"/>
      <x:c r="D45" s="2">
        <x:v>521.944</x:v>
      </x:c>
      <x:c r="E45" s="2">
        <x:v>140.027</x:v>
      </x:c>
      <x:c r="F45" s="2">
        <x:v>131.735</x:v>
      </x:c>
      <x:c r="G45" s="2">
        <x:v>141.792</x:v>
      </x:c>
      <x:c r="H45" s="2"/>
    </x:row>
    <x:row r="46">
      <x:c r="B46" s="1" t="s">
        <x:v>115</x:v>
      </x:c>
      <x:c r="C46" s="9" t="n">
        <x:f>C47/C9</x:f>
        <x:v>0.1243425198044323</x:v>
      </x:c>
      <x:c r="D46" s="9" t="n">
        <x:f>D47/D9</x:f>
        <x:v>0.12286900110216203</x:v>
      </x:c>
      <x:c r="E46" s="9" t="n">
        <x:f>E47/E9</x:f>
        <x:v>0.16156967488215757</x:v>
      </x:c>
      <x:c r="F46" s="9" t="n">
        <x:f>F47/F9</x:f>
        <x:v>0.110139346557257</x:v>
      </x:c>
      <x:c r="G46" s="9" t="n">
        <x:f>G47/G9</x:f>
        <x:v>0.12084583564203817</x:v>
      </x:c>
      <x:c r="H46" s="9"/>
    </x:row>
    <x:row r="47">
      <x:c r="B47" s="8" t="s">
        <x:v>116</x:v>
      </x:c>
      <x:c r="C47" s="2">
        <x:v>701.138</x:v>
      </x:c>
      <x:c r="D47" s="2">
        <x:v>2803.61</x:v>
      </x:c>
      <x:c r="E47" s="2">
        <x:v>1035.977</x:v>
      </x:c>
      <x:c r="F47" s="2">
        <x:v>639.235</x:v>
      </x:c>
      <x:c r="G47" s="2">
        <x:v>753.093</x:v>
      </x:c>
      <x:c r="H47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118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8" t="s">
        <x:v>84</x:v>
      </x:c>
      <x:c r="C9" s="19">
        <x:v>2343.609</x:v>
      </x:c>
      <x:c r="D9" s="19">
        <x:v>9526.096</x:v>
      </x:c>
      <x:c r="E9" s="19">
        <x:v>2544.498</x:v>
      </x:c>
      <x:c r="F9" s="19">
        <x:v>2302.328</x:v>
      </x:c>
      <x:c r="G9" s="19">
        <x:v>2529.891</x:v>
      </x:c>
      <x:c r="H9" s="15" t="n">
        <x:f>C18</x:f>
        <x:v>2595.588</x:v>
      </x:c>
    </x:row>
    <x:row r="10">
      <x:c r="B10" s="1" t="s">
        <x:v>85</x:v>
      </x:c>
      <x:c r="C10" s="53" t="s">
        <x:v>31</x:v>
      </x:c>
      <x:c r="D10" s="53" t="n">
        <x:f>D9/Inputs!C195-1</x:f>
        <x:v>-0.010381333856636865</x:v>
      </x:c>
      <x:c r="E10" s="53" t="s">
        <x:v>31</x:v>
      </x:c>
      <x:c r="F10" s="53" t="s">
        <x:v>31</x:v>
      </x:c>
      <x:c r="G10" s="53" t="s">
        <x:v>31</x:v>
      </x:c>
      <x:c r="H10" s="10" t="n">
        <x:f>H9/C9-1</x:f>
        <x:v>0.10751750825329665</x:v>
      </x:c>
    </x:row>
    <x:row r="11">
      <x:c r="B11" s="8" t="s">
        <x:v>86</x:v>
      </x:c>
      <x:c r="C11" s="3"/>
      <x:c r="D11" s="3"/>
      <x:c r="E11" s="3" t="n">
        <x:f>E9-C9</x:f>
        <x:v>200.88900000000012</x:v>
      </x:c>
      <x:c r="F11" s="3" t="n">
        <x:f>F9-E9</x:f>
        <x:v>-242.17000000000007</x:v>
      </x:c>
      <x:c r="G11" s="3" t="n">
        <x:f>G9-F9</x:f>
        <x:v>227.5630000000001</x:v>
      </x:c>
      <x:c r="H11" s="15" t="n">
        <x:f>H9-G9</x:f>
        <x:v>65.69700000000012</x:v>
      </x:c>
    </x:row>
    <x:row r="12">
      <x:c r="B12" s="8"/>
      <x:c r="C12" s="3"/>
      <x:c r="D12" s="3"/>
      <x:c r="E12" s="3"/>
      <x:c r="F12" s="3"/>
      <x:c r="G12" s="3"/>
      <x:c r="H12" s="15"/>
    </x:row>
    <x:row r="13">
      <x:c r="B13" s="1" t="s">
        <x:v>87</x:v>
      </x:c>
      <x:c r="C13" s="9" t="n">
        <x:f>(1+C16)/((1+C14)*(1+C15))-1</x:f>
        <x:v>0.06000000000000005</x:v>
      </x:c>
      <x:c r="D13" s="9" t="n">
        <x:f>(1+D16)/((1+D14)*(1+D15))-1</x:f>
        <x:v>0.0468406994848678</x:v>
      </x:c>
      <x:c r="E13" s="9" t="n">
        <x:f>(1+E16)/((1+E14)*(1+E15))-1</x:f>
        <x:v>0.07165853539676581</x:v>
      </x:c>
      <x:c r="F13" s="9" t="n">
        <x:f>(1+F16)/((1+F14)*(1+F15))-1</x:f>
        <x:v>0.11985477308185466</x:v>
      </x:c>
      <x:c r="G13" s="9" t="n">
        <x:f>(1+G16)/((1+G14)*(1+G15))-1</x:f>
        <x:v>0.08000000000000007</x:v>
      </x:c>
      <x:c r="H13" s="23" t="n">
        <x:f>(1+Inputs!C128)/(1+H15)-1</x:f>
        <x:v>0.035175879396984966</x:v>
      </x:c>
    </x:row>
    <x:row r="14">
      <x:c r="B14" s="1" t="s">
        <x:v>88</x:v>
      </x:c>
      <x:c r="C14" s="9" t="n">
        <x:f>0</x:f>
        <x:v>0</x:v>
      </x:c>
      <x:c r="D14" s="9" t="n">
        <x:f>0</x:f>
        <x:v>0</x:v>
      </x:c>
      <x:c r="E14" s="9" t="n">
        <x:f>0</x:f>
        <x:v>0</x:v>
      </x:c>
      <x:c r="F14" s="9" t="n">
        <x:f>0</x:f>
        <x:v>0</x:v>
      </x:c>
      <x:c r="G14" s="9" t="n">
        <x:f>0</x:f>
        <x:v>0</x:v>
      </x:c>
      <x:c r="H14" s="10" t="n">
        <x:f>0</x:f>
        <x:v>0</x:v>
      </x:c>
    </x:row>
    <x:row r="15">
      <x:c r="B15" s="1" t="s">
        <x:v>89</x:v>
      </x:c>
      <x:c r="C15" s="9" t="n">
        <x:f>(1+C16)/(1+C41)-1</x:f>
        <x:v>0.04482783797480816</x:v>
      </x:c>
      <x:c r="D15" s="9" t="n">
        <x:f>0</x:f>
        <x:v>0</x:v>
      </x:c>
      <x:c r="E15" s="9" t="n">
        <x:f>0</x:f>
        <x:v>0</x:v>
      </x:c>
      <x:c r="F15" s="9" t="n">
        <x:f>0</x:f>
        <x:v>0</x:v>
      </x:c>
      <x:c r="G15" s="9" t="n">
        <x:f>(1+G16)/(1+G41)-1</x:f>
        <x:v>-0.009280988346489605</x:v>
      </x:c>
      <x:c r="H15" s="23" t="n">
        <x:f>Inputs!C155</x:f>
        <x:v>-0.005</x:v>
      </x:c>
    </x:row>
    <x:row r="16">
      <x:c r="B16" s="1" t="s">
        <x:v>90</x:v>
      </x:c>
      <x:c r="C16" s="9" t="n">
        <x:f>C18/C9-1</x:f>
        <x:v>0.10751750825329665</x:v>
      </x:c>
      <x:c r="D16" s="9" t="n">
        <x:f>D18/D9-1</x:f>
        <x:v>0.0468406994848678</x:v>
      </x:c>
      <x:c r="E16" s="9" t="n">
        <x:f>E18/E9-1</x:f>
        <x:v>0.07165853539676581</x:v>
      </x:c>
      <x:c r="F16" s="9" t="n">
        <x:f>F18/F9-1</x:f>
        <x:v>0.11985477308185466</x:v>
      </x:c>
      <x:c r="G16" s="9" t="n">
        <x:f>G18/G9-1</x:f>
        <x:v>0.06997653258579128</x:v>
      </x:c>
      <x:c r="H16" s="10" t="n">
        <x:f>H18/H9-1</x:f>
        <x:v>0.030000000000000027</x:v>
      </x:c>
    </x:row>
    <x:row r="17">
      <x:c r="B17" s="1" t="s">
        <x:v>91</x:v>
      </x:c>
      <x:c r="C17" s="9"/>
      <x:c r="D17" s="9"/>
      <x:c r="E17" s="9" t="n">
        <x:f>E18/C18-1</x:f>
        <x:v>0.05056465047611547</x:v>
      </x:c>
      <x:c r="F17" s="9" t="n">
        <x:f>F18/E18-1</x:f>
        <x:v>-0.05448078411842605</x:v>
      </x:c>
      <x:c r="G17" s="9" t="n">
        <x:f>G18/F18-1</x:f>
        <x:v>0.049898129484348575</x:v>
      </x:c>
      <x:c r="H17" s="10" t="n">
        <x:f>H18/G18-1</x:f>
        <x:v>-0.012363982143569596</x:v>
      </x:c>
    </x:row>
    <x:row r="18">
      <x:c r="B18" s="4" t="s">
        <x:v>92</x:v>
      </x:c>
      <x:c r="C18" s="17">
        <x:v>2595.588</x:v>
      </x:c>
      <x:c r="D18" s="17">
        <x:v>9972.305</x:v>
      </x:c>
      <x:c r="E18" s="17">
        <x:v>2726.833</x:v>
      </x:c>
      <x:c r="F18" s="17">
        <x:v>2578.273</x:v>
      </x:c>
      <x:c r="G18" s="17">
        <x:v>2706.924</x:v>
      </x:c>
      <x:c r="H18" s="12" t="n">
        <x:f>H9*(1+H13)*(1+H14)*(1+H15)</x:f>
        <x:v>2673.45564</x:v>
      </x:c>
    </x:row>
    <x:row r="19">
      <x:c r="B19" s="1" t="s">
        <x:v>93</x:v>
      </x:c>
      <x:c r="C19" s="9" t="n">
        <x:f>'Revenue summary'!C26</x:f>
        <x:v>0.14750793634556436</x:v>
      </x:c>
      <x:c r="D19" s="9" t="n">
        <x:f>'Revenue summary'!D26</x:f>
        <x:v>0.1431301693912118</x:v>
      </x:c>
      <x:c r="E19" s="9" t="n">
        <x:f>'Revenue summary'!E26</x:f>
        <x:v>0.14549220005735744</x:v>
      </x:c>
      <x:c r="F19" s="9" t="n">
        <x:f>'Revenue summary'!F26</x:f>
        <x:v>0.1428875842063535</x:v>
      </x:c>
      <x:c r="G19" s="9" t="n">
        <x:f>'Revenue summary'!G26</x:f>
        <x:v>0.14461497892098704</x:v>
      </x:c>
      <x:c r="H19" s="10" t="n">
        <x:f>'Revenue summary'!H26</x:f>
        <x:v>0.14783232334842614</x:v>
      </x:c>
    </x:row>
    <x:row r="20">
      <x:c r="B20" s="8" t="s">
        <x:v>94</x:v>
      </x:c>
      <x:c r="C20" s="3"/>
      <x:c r="D20" s="3"/>
      <x:c r="E20" s="3" t="n">
        <x:f>E18-C18</x:f>
        <x:v>131.2449999999999</x:v>
      </x:c>
      <x:c r="F20" s="3" t="n">
        <x:f>F18-E18</x:f>
        <x:v>-148.55999999999995</x:v>
      </x:c>
      <x:c r="G20" s="3" t="n">
        <x:f>G18-F18</x:f>
        <x:v>128.65099999999984</x:v>
      </x:c>
      <x:c r="H20" s="15" t="n">
        <x:f>H18-G18</x:f>
        <x:v>-33.46835999999985</x:v>
      </x:c>
    </x:row>
    <x:row r="21">
      <x:c r="B21" s="8"/>
      <x:c r="C21" s="3"/>
      <x:c r="D21" s="3"/>
      <x:c r="E21" s="3"/>
      <x:c r="F21" s="3"/>
      <x:c r="G21" s="3"/>
      <x:c r="H21" s="15"/>
    </x:row>
    <x:row r="22">
      <x:c r="B22" s="8" t="s">
        <x:v>95</x:v>
      </x:c>
      <x:c r="C22" s="5" t="n">
        <x:f>D22-Inputs!E164</x:f>
        <x:v>1611.8729999999996</x:v>
      </x:c>
      <x:c r="D22" s="19">
        <x:v>6216.464</x:v>
      </x:c>
      <x:c r="E22" s="19">
        <x:v>1680.353</x:v>
      </x:c>
      <x:c r="F22" s="19">
        <x:v>1620.452</x:v>
      </x:c>
      <x:c r="G22" s="19">
        <x:v>1668.328</x:v>
      </x:c>
      <x:c r="H22" s="15" t="n">
        <x:f>H18*C22/C18</x:f>
        <x:v>1660.2291899999996</x:v>
      </x:c>
    </x:row>
    <x:row r="23">
      <x:c r="B23" s="1" t="s">
        <x:v>96</x:v>
      </x:c>
      <x:c r="C23" s="9"/>
      <x:c r="D23" s="9" t="n">
        <x:f>D22/D43-1</x:f>
        <x:v>0.052711758180218116</x:v>
      </x:c>
      <x:c r="E23" s="9" t="n">
        <x:f>E22/E43-1</x:f>
        <x:v>0.08193275011380452</x:v>
      </x:c>
      <x:c r="F23" s="9" t="n">
        <x:f>F22/F43-1</x:f>
        <x:v>0.08565869711737517</x:v>
      </x:c>
      <x:c r="G23" s="9" t="n">
        <x:f>G22/G43-1</x:f>
        <x:v>0.07020251589271842</x:v>
      </x:c>
      <x:c r="H23" s="10" t="n">
        <x:f>H22/C22-1</x:f>
        <x:v>0.030000000000000027</x:v>
      </x:c>
    </x:row>
    <x:row r="24">
      <x:c r="B24" s="8" t="s">
        <x:v>97</x:v>
      </x:c>
      <x:c r="C24" s="3"/>
      <x:c r="D24" s="3"/>
      <x:c r="E24" s="3" t="n">
        <x:f>E22-C22</x:f>
        <x:v>68.48000000000047</x:v>
      </x:c>
      <x:c r="F24" s="3" t="n">
        <x:f>F22-E22</x:f>
        <x:v>-59.90100000000007</x:v>
      </x:c>
      <x:c r="G24" s="3" t="n">
        <x:f>G22-F22</x:f>
        <x:v>47.875999999999976</x:v>
      </x:c>
      <x:c r="H24" s="15" t="n">
        <x:f>H22-G22</x:f>
        <x:v>-8.098810000000412</x:v>
      </x:c>
    </x:row>
    <x:row r="25">
      <x:c r="B25" s="8" t="s">
        <x:v>98</x:v>
      </x:c>
      <x:c r="C25" s="5" t="n">
        <x:f>D25-Inputs!E165</x:f>
        <x:v>474.0899999999999</x:v>
      </x:c>
      <x:c r="D25" s="19">
        <x:v>1709.62</x:v>
      </x:c>
      <x:c r="E25" s="19">
        <x:v>479.486</x:v>
      </x:c>
      <x:c r="F25" s="19">
        <x:v>483.342</x:v>
      </x:c>
      <x:c r="G25" s="19">
        <x:v>508.993</x:v>
      </x:c>
      <x:c r="H25" s="15" t="n">
        <x:f>H18*C25/C18</x:f>
        <x:v>488.3126999999999</x:v>
      </x:c>
    </x:row>
    <x:row r="26">
      <x:c r="B26" s="1" t="s">
        <x:v>99</x:v>
      </x:c>
      <x:c r="C26" s="9"/>
      <x:c r="D26" s="9" t="n">
        <x:f>D25/D44-1</x:f>
        <x:v>0.042153824396452544</x:v>
      </x:c>
      <x:c r="E26" s="9" t="n">
        <x:f>E25/E44-1</x:f>
        <x:v>0.16328709162457344</x:v>
      </x:c>
      <x:c r="F26" s="9" t="n">
        <x:f>F25/F44-1</x:f>
        <x:v>0.19277144112174427</x:v>
      </x:c>
      <x:c r="G26" s="9" t="n">
        <x:f>G25/G44-1</x:f>
        <x:v>0.2173313052171375</x:v>
      </x:c>
      <x:c r="H26" s="10" t="n">
        <x:f>H25/C25-1</x:f>
        <x:v>0.030000000000000027</x:v>
      </x:c>
    </x:row>
    <x:row r="27">
      <x:c r="B27" s="8" t="s">
        <x:v>100</x:v>
      </x:c>
      <x:c r="C27" s="3"/>
      <x:c r="D27" s="3"/>
      <x:c r="E27" s="3" t="n">
        <x:f>E25-C25</x:f>
        <x:v>5.396000000000072</x:v>
      </x:c>
      <x:c r="F27" s="3" t="n">
        <x:f>F25-E25</x:f>
        <x:v>3.8559999999999945</x:v>
      </x:c>
      <x:c r="G27" s="3" t="n">
        <x:f>G25-F25</x:f>
        <x:v>25.65100000000001</x:v>
      </x:c>
      <x:c r="H27" s="15" t="n">
        <x:f>H25-G25</x:f>
        <x:v>-20.680300000000102</x:v>
      </x:c>
    </x:row>
    <x:row r="28">
      <x:c r="B28" s="8" t="s">
        <x:v>101</x:v>
      </x:c>
      <x:c r="C28" s="5" t="n">
        <x:f>D28-Inputs!E166</x:f>
        <x:v>46.77900000000001</x:v>
      </x:c>
      <x:c r="D28" s="19">
        <x:v>173.014</x:v>
      </x:c>
      <x:c r="E28" s="19">
        <x:v>50.141</x:v>
      </x:c>
      <x:c r="F28" s="19">
        <x:v>50.738</x:v>
      </x:c>
      <x:c r="G28" s="19">
        <x:v>56.409</x:v>
      </x:c>
      <x:c r="H28" s="15" t="n">
        <x:f>H18*C28/C18</x:f>
        <x:v>48.182370000000006</x:v>
      </x:c>
    </x:row>
    <x:row r="29">
      <x:c r="B29" s="8" t="s">
        <x:v>102</x:v>
      </x:c>
      <x:c r="C29" s="3" t="n">
        <x:f>D29</x:f>
        <x:v>62.875</x:v>
      </x:c>
      <x:c r="D29" s="19">
        <x:v>62.875</x:v>
      </x:c>
      <x:c r="E29" s="19">
        <x:v>70.981</x:v>
      </x:c>
      <x:c r="F29" s="3" t="n">
        <x:f>0</x:f>
        <x:v>0</x:v>
      </x:c>
      <x:c r="G29" s="3" t="n">
        <x:f>0</x:f>
        <x:v>0</x:v>
      </x:c>
      <x:c r="H29" s="16" t="n">
        <x:f>Inputs!C140</x:f>
        <x:v>0</x:v>
      </x:c>
    </x:row>
    <x:row r="30">
      <x:c r="B30" s="4" t="s">
        <x:v>103</x:v>
      </x:c>
      <x:c r="C30" s="18" t="n">
        <x:f>SUM(C22,C25,C28,C29)</x:f>
        <x:v>2195.6169999999997</x:v>
      </x:c>
      <x:c r="D30" s="18" t="n">
        <x:f>SUM(D22,D25,D28,D29)</x:f>
        <x:v>8161.973</x:v>
      </x:c>
      <x:c r="E30" s="18" t="n">
        <x:f>SUM(E22,E25,E28,E29)</x:f>
        <x:v>2280.9610000000002</x:v>
      </x:c>
      <x:c r="F30" s="18" t="n">
        <x:f>SUM(F22,F25,F28,F29)</x:f>
        <x:v>2154.5319999999997</x:v>
      </x:c>
      <x:c r="G30" s="18" t="n">
        <x:f>SUM(G22,G25,G28,G29)</x:f>
        <x:v>2233.73</x:v>
      </x:c>
      <x:c r="H30" s="12" t="n">
        <x:f>SUM(H22,H25,H28,H29)</x:f>
        <x:v>2196.7242599999995</x:v>
      </x:c>
    </x:row>
    <x:row r="31">
      <x:c r="B31" s="4" t="s">
        <x:v>104</x:v>
      </x:c>
      <x:c r="C31" s="18" t="n">
        <x:f>C18-C30</x:f>
        <x:v>399.97100000000046</x:v>
      </x:c>
      <x:c r="D31" s="18" t="n">
        <x:f>D18-D30</x:f>
        <x:v>1810.3320000000003</x:v>
      </x:c>
      <x:c r="E31" s="18" t="n">
        <x:f>E18-E30</x:f>
        <x:v>445.87199999999984</x:v>
      </x:c>
      <x:c r="F31" s="18" t="n">
        <x:f>F18-F30</x:f>
        <x:v>423.74100000000044</x:v>
      </x:c>
      <x:c r="G31" s="18" t="n">
        <x:f>G18-G30</x:f>
        <x:v>473.19399999999996</x:v>
      </x:c>
      <x:c r="H31" s="12" t="n">
        <x:f>H18-H30</x:f>
        <x:v>476.7313800000006</x:v>
      </x:c>
    </x:row>
    <x:row r="32">
      <x:c r="B32" s="1" t="s">
        <x:v>105</x:v>
      </x:c>
      <x:c r="C32" s="9" t="n">
        <x:f>C31/C18</x:f>
        <x:v>0.15409648988976696</x:v>
      </x:c>
      <x:c r="D32" s="9" t="n">
        <x:f>D31/D18</x:f>
        <x:v>0.18153596385188783</x:v>
      </x:c>
      <x:c r="E32" s="9" t="n">
        <x:f>E31/E18</x:f>
        <x:v>0.1635127637079351</x:v>
      </x:c>
      <x:c r="F32" s="9" t="n">
        <x:f>F31/F18</x:f>
        <x:v>0.16435071072768492</x:v>
      </x:c>
      <x:c r="G32" s="9" t="n">
        <x:f>G31/G18</x:f>
        <x:v>0.17480874971000293</x:v>
      </x:c>
      <x:c r="H32" s="10" t="n">
        <x:f>H31/H18</x:f>
        <x:v>0.1783202881196864</x:v>
      </x:c>
    </x:row>
    <x:row r="33">
      <x:c r="B33" s="8" t="s">
        <x:v>106</x:v>
      </x:c>
      <x:c r="C33" s="3" t="n">
        <x:f>(C32-C46)*10000</x:f>
        <x:v>18.5522438856775</x:v>
      </x:c>
      <x:c r="D33" s="3" t="n">
        <x:f>(D32-D46)*10000</x:f>
        <x:v>17.575950426715337</x:v>
      </x:c>
      <x:c r="E33" s="3" t="n">
        <x:f>(E32-E46)*10000</x:f>
        <x:v>-468.4935880110203</x:v>
      </x:c>
      <x:c r="F33" s="3" t="n">
        <x:f>(F32-F46)*10000</x:f>
        <x:v>57.99887387135716</x:v>
      </x:c>
      <x:c r="G33" s="3" t="n">
        <x:f>(G32-G46)*10000</x:f>
        <x:v>-268.0428421122136</x:v>
      </x:c>
      <x:c r="H33" s="15" t="n">
        <x:f>(H32-C32)*10000</x:f>
        <x:v>242.23798229919436</x:v>
      </x:c>
    </x:row>
    <x:row r="34">
      <x:c r="B34" s="8" t="s">
        <x:v>107</x:v>
      </x:c>
      <x:c r="C34" s="3"/>
      <x:c r="D34" s="3"/>
      <x:c r="E34" s="3" t="n">
        <x:f>(E32-C32)*10000</x:f>
        <x:v>94.16273818168148</x:v>
      </x:c>
      <x:c r="F34" s="3" t="n">
        <x:f>(F32-E32)*10000</x:f>
        <x:v>8.379470197498184</x:v>
      </x:c>
      <x:c r="G34" s="3" t="n">
        <x:f>(G32-F32)*10000</x:f>
        <x:v>104.58038982318007</x:v>
      </x:c>
      <x:c r="H34" s="15" t="n">
        <x:f>(H32-G32)*10000</x:f>
        <x:v>35.115384096834624</x:v>
      </x:c>
    </x:row>
    <x:row r="35">
      <x:c r="B35" s="8"/>
      <x:c r="C35" s="3"/>
      <x:c r="D35" s="3"/>
      <x:c r="E35" s="3"/>
      <x:c r="F35" s="3"/>
      <x:c r="G35" s="3"/>
      <x:c r="H35" s="15"/>
    </x:row>
    <x:row r="36">
      <x:c r="B36" s="8" t="s">
        <x:v>108</x:v>
      </x:c>
      <x:c r="C36" s="3"/>
      <x:c r="D36" s="3"/>
      <x:c r="E36" s="3"/>
      <x:c r="F36" s="3"/>
      <x:c r="G36" s="3"/>
      <x:c r="H36" s="15"/>
    </x:row>
    <x:row r="37">
      <x:c r="B37" s="8" t="s">
        <x:v>109</x:v>
      </x:c>
      <x:c r="C37" s="3"/>
      <x:c r="D37" s="3"/>
      <x:c r="E37" s="3"/>
      <x:c r="F37" s="3"/>
      <x:c r="G37" s="3"/>
      <x:c r="H37" s="15"/>
    </x:row>
    <x:row r="38">
      <x:c r="B38" s="8"/>
      <x:c r="C38" s="3"/>
      <x:c r="D38" s="3"/>
      <x:c r="E38" s="3"/>
      <x:c r="F38" s="3"/>
      <x:c r="G38" s="3"/>
      <x:c r="H38" s="15"/>
    </x:row>
    <x:row r="39">
      <x:c r="B39" s="4" t="s">
        <x:v>110</x:v>
      </x:c>
      <x:c r="C39" s="18" t="n">
        <x:f>C18-C30-C31</x:f>
        <x:v>0</x:v>
      </x:c>
      <x:c r="D39" s="18" t="n">
        <x:f>D18-D30-D31</x:f>
        <x:v>0</x:v>
      </x:c>
      <x:c r="E39" s="18" t="n">
        <x:f>E18-E30-E31</x:f>
        <x:v>0</x:v>
      </x:c>
      <x:c r="F39" s="18" t="n">
        <x:f>F18-F30-F31</x:f>
        <x:v>0</x:v>
      </x:c>
      <x:c r="G39" s="18" t="n">
        <x:f>G18-G30-G31</x:f>
        <x:v>0</x:v>
      </x:c>
      <x:c r="H39" s="12" t="n">
        <x:f>H18-H30-H31</x:f>
        <x:v>0</x:v>
      </x:c>
    </x:row>
    <x:row r="40">
      <x:c r="B40" s="8"/>
      <x:c r="C40" s="3"/>
      <x:c r="D40" s="3"/>
      <x:c r="E40" s="3"/>
      <x:c r="F40" s="3"/>
      <x:c r="G40" s="3"/>
      <x:c r="H40" s="15"/>
    </x:row>
    <x:row r="41">
      <x:c r="B41" s="1" t="s">
        <x:v>111</x:v>
      </x:c>
      <x:c r="C41" s="22">
        <x:v>0.06</x:v>
      </x:c>
      <x:c r="D41" s="9"/>
      <x:c r="E41" s="9"/>
      <x:c r="F41" s="9"/>
      <x:c r="G41" s="22">
        <x:v>0.08</x:v>
      </x:c>
      <x:c r="H41" s="10"/>
    </x:row>
    <x:row r="42">
      <x:c r="B42" s="8"/>
      <x:c r="C42" s="2"/>
      <x:c r="D42" s="2"/>
      <x:c r="E42" s="2"/>
      <x:c r="F42" s="2"/>
      <x:c r="G42" s="2"/>
      <x:c r="H42" s="2"/>
    </x:row>
    <x:row r="43">
      <x:c r="B43" s="8" t="s">
        <x:v>112</x:v>
      </x:c>
      <x:c r="C43" s="2"/>
      <x:c r="D43" s="2">
        <x:v>5905.191</x:v>
      </x:c>
      <x:c r="E43" s="2">
        <x:v>1553.103</x:v>
      </x:c>
      <x:c r="F43" s="2">
        <x:v>1492.598</x:v>
      </x:c>
      <x:c r="G43" s="2">
        <x:v>1558.89</x:v>
      </x:c>
      <x:c r="H43" s="2"/>
    </x:row>
    <x:row r="44">
      <x:c r="B44" s="8" t="s">
        <x:v>113</x:v>
      </x:c>
      <x:c r="C44" s="2"/>
      <x:c r="D44" s="2">
        <x:v>1640.468</x:v>
      </x:c>
      <x:c r="E44" s="2">
        <x:v>412.182</x:v>
      </x:c>
      <x:c r="F44" s="2">
        <x:v>405.226</x:v>
      </x:c>
      <x:c r="G44" s="2">
        <x:v>418.122</x:v>
      </x:c>
      <x:c r="H44" s="2"/>
    </x:row>
    <x:row r="45">
      <x:c r="B45" s="8" t="s">
        <x:v>114</x:v>
      </x:c>
      <x:c r="C45" s="2"/>
      <x:c r="D45" s="2">
        <x:v>161.336</x:v>
      </x:c>
      <x:c r="E45" s="2">
        <x:v>43.947</x:v>
      </x:c>
      <x:c r="F45" s="2">
        <x:v>39.468</x:v>
      </x:c>
      <x:c r="G45" s="2">
        <x:v>42.82</x:v>
      </x:c>
      <x:c r="H45" s="2"/>
    </x:row>
    <x:row r="46">
      <x:c r="B46" s="1" t="s">
        <x:v>115</x:v>
      </x:c>
      <x:c r="C46" s="9" t="n">
        <x:f>C47/C9</x:f>
        <x:v>0.1522412655011992</x:v>
      </x:c>
      <x:c r="D46" s="9" t="n">
        <x:f>D47/D9</x:f>
        <x:v>0.1797783688092163</x:v>
      </x:c>
      <x:c r="E46" s="9" t="n">
        <x:f>E47/E9</x:f>
        <x:v>0.21036212250903713</x:v>
      </x:c>
      <x:c r="F46" s="9" t="n">
        <x:f>F47/F9</x:f>
        <x:v>0.1585508233405492</x:v>
      </x:c>
      <x:c r="G46" s="9" t="n">
        <x:f>G47/G9</x:f>
        <x:v>0.2016130339212243</x:v>
      </x:c>
      <x:c r="H46" s="9"/>
    </x:row>
    <x:row r="47">
      <x:c r="B47" s="8" t="s">
        <x:v>116</x:v>
      </x:c>
      <x:c r="C47" s="2">
        <x:v>356.794</x:v>
      </x:c>
      <x:c r="D47" s="2">
        <x:v>1712.586</x:v>
      </x:c>
      <x:c r="E47" s="2">
        <x:v>535.266</x:v>
      </x:c>
      <x:c r="F47" s="2">
        <x:v>365.036</x:v>
      </x:c>
      <x:c r="G47" s="2">
        <x:v>510.059</x:v>
      </x:c>
      <x:c r="H47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65" hidden="0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119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4" t="s">
        <x:v>48</x:v>
      </x:c>
      <x:c r="C9" s="13" t="n">
        <x:f>'Revenue summary'!C30</x:f>
        <x:v>17596.26</x:v>
      </x:c>
      <x:c r="D9" s="13" t="n">
        <x:f>'Revenue summary'!D30</x:f>
        <x:v>69672.97699999998</x:v>
      </x:c>
      <x:c r="E9" s="13" t="n">
        <x:f>'Revenue summary'!E30</x:f>
        <x:v>18742.125</x:v>
      </x:c>
      <x:c r="F9" s="13" t="n">
        <x:f>'Revenue summary'!F30</x:f>
        <x:v>18044.066</x:v>
      </x:c>
      <x:c r="G9" s="13" t="n">
        <x:f>'Revenue summary'!G30</x:f>
        <x:v>18718.144</x:v>
      </x:c>
      <x:c r="H9" s="6" t="n">
        <x:f>'Revenue summary'!H30</x:f>
        <x:v>18084.378161999997</x:v>
      </x:c>
    </x:row>
    <x:row r="10">
      <x:c r="B10" s="1" t="s">
        <x:v>120</x:v>
      </x:c>
      <x:c r="C10" s="37" t="n">
        <x:f>'Revenue summary'!C31</x:f>
        <x:v>0.07256211957476788</x:v>
      </x:c>
      <x:c r="D10" s="37" t="n">
        <x:f>'Revenue summary'!D31</x:f>
        <x:v>0.07360205326441172</x:v>
      </x:c>
      <x:c r="E10" s="37" t="n">
        <x:f>'Revenue summary'!E31</x:f>
        <x:v>0.05950294368792419</x:v>
      </x:c>
      <x:c r="F10" s="37" t="n">
        <x:f>'Revenue summary'!F31</x:f>
        <x:v>0.08312263521740793</x:v>
      </x:c>
      <x:c r="G10" s="37" t="n">
        <x:f>'Revenue summary'!G31</x:f>
        <x:v>0.055859668653951866</x:v>
      </x:c>
      <x:c r="H10" s="10" t="n">
        <x:f>H9/C9-1</x:f>
        <x:v>0.027739881202028194</x:v>
      </x:c>
    </x:row>
    <x:row r="11">
      <x:c r="B11" s="8" t="s">
        <x:v>121</x:v>
      </x:c>
      <x:c r="C11" s="19">
        <x:v>11985.326</x:v>
      </x:c>
      <x:c r="D11" s="19">
        <x:v>47437.576</x:v>
      </x:c>
      <x:c r="E11" s="19">
        <x:v>12545.007</x:v>
      </x:c>
      <x:c r="F11" s="19">
        <x:v>12584.705</x:v>
      </x:c>
      <x:c r="G11" s="19">
        <x:v>12583.809</x:v>
      </x:c>
      <x:c r="H11" s="16" t="n">
        <x:f>H9*(1-Inputs!C129)</x:f>
        <x:v>12317.2699661382</x:v>
      </x:c>
    </x:row>
    <x:row r="12">
      <x:c r="B12" s="4" t="s">
        <x:v>122</x:v>
      </x:c>
      <x:c r="C12" s="18" t="n">
        <x:f>C9-C11</x:f>
        <x:v>5610.933999999999</x:v>
      </x:c>
      <x:c r="D12" s="18" t="n">
        <x:f>D9-D11</x:f>
        <x:v>22235.400999999983</x:v>
      </x:c>
      <x:c r="E12" s="18" t="n">
        <x:f>E9-E11</x:f>
        <x:v>6197.118</x:v>
      </x:c>
      <x:c r="F12" s="18" t="n">
        <x:f>F9-F11</x:f>
        <x:v>5459.360999999999</x:v>
      </x:c>
      <x:c r="G12" s="18" t="n">
        <x:f>G9-G11</x:f>
        <x:v>6134.335000000001</x:v>
      </x:c>
      <x:c r="H12" s="12" t="n">
        <x:f>H9-H11</x:f>
        <x:v>5767.108195861798</x:v>
      </x:c>
    </x:row>
    <x:row r="13">
      <x:c r="B13" s="1" t="s">
        <x:v>123</x:v>
      </x:c>
      <x:c r="C13" s="9" t="n">
        <x:f>C12/C9</x:f>
        <x:v>0.31887082823281765</x:v>
      </x:c>
      <x:c r="D13" s="9" t="n">
        <x:f>D12/D9</x:f>
        <x:v>0.3191395280841809</x:v>
      </x:c>
      <x:c r="E13" s="9" t="n">
        <x:f>E12/E9</x:f>
        <x:v>0.3306518337701835</x:v>
      </x:c>
      <x:c r="F13" s="9" t="n">
        <x:f>F12/F9</x:f>
        <x:v>0.302557139837551</x:v>
      </x:c>
      <x:c r="G13" s="9" t="n">
        <x:f>G12/G9</x:f>
        <x:v>0.32772132749913674</x:v>
      </x:c>
      <x:c r="H13" s="10" t="n">
        <x:f>H12/H9</x:f>
        <x:v>0.3188999999999999</x:v>
      </x:c>
    </x:row>
    <x:row r="14">
      <x:c r="B14" s="8" t="s">
        <x:v>124</x:v>
      </x:c>
      <x:c r="C14" s="19">
        <x:v>1793.056</x:v>
      </x:c>
      <x:c r="D14" s="19">
        <x:v>7043.445</x:v>
      </x:c>
      <x:c r="E14" s="19">
        <x:v>1874.932</x:v>
      </x:c>
      <x:c r="F14" s="19">
        <x:v>1748.902</x:v>
      </x:c>
      <x:c r="G14" s="19">
        <x:v>1811.028</x:v>
      </x:c>
      <x:c r="H14" s="16" t="n">
        <x:f>Inputs!C130</x:f>
        <x:v>1810</x:v>
      </x:c>
    </x:row>
    <x:row r="15" ht="48" customHeight="1">
      <x:c r="B15" s="8" t="s">
        <x:v>125</x:v>
      </x:c>
      <x:c r="C15" s="19">
        <x:v>1152.863</x:v>
      </x:c>
      <x:c r="D15" s="19">
        <x:v>4350.968</x:v>
      </x:c>
      <x:c r="E15" s="19">
        <x:v>1140.947</x:v>
      </x:c>
      <x:c r="F15" s="19">
        <x:v>1216.912</x:v>
      </x:c>
      <x:c r="G15" s="19">
        <x:v>1148.009</x:v>
      </x:c>
      <x:c r="H15" s="15" t="n">
        <x:f>H12-H14-H16-H17</x:f>
        <x:v>1222.8100698617986</x:v>
      </x:c>
      <x:c r="J15" s="63" t="str">
        <x:v>Forecast SG&amp;A is a residual to the segment operating-income build. Inputs C131 is unused.</x:v>
      </x:c>
    </x:row>
    <x:row r="16">
      <x:c r="B16" s="8" t="s">
        <x:v>102</x:v>
      </x:c>
      <x:c r="C16" s="19">
        <x:v>615.324</x:v>
      </x:c>
      <x:c r="D16" s="19">
        <x:v>615.324</x:v>
      </x:c>
      <x:c r="E16" s="19">
        <x:v>307.541</x:v>
      </x:c>
      <x:c r="F16" s="19">
        <x:v>0</x:v>
      </x:c>
      <x:c r="G16" s="19">
        <x:v>0</x:v>
      </x:c>
      <x:c r="H16" s="16" t="n">
        <x:f>Inputs!C140</x:f>
        <x:v>0</x:v>
      </x:c>
    </x:row>
    <x:row r="17">
      <x:c r="B17" s="4" t="s">
        <x:v>126</x:v>
      </x:c>
      <x:c r="C17" s="18" t="n">
        <x:f>C12-SUM(C14:C16)</x:f>
        <x:v>2049.6909999999993</x:v>
      </x:c>
      <x:c r="D17" s="18" t="n">
        <x:f>D12-SUM(D14:D16)</x:f>
        <x:v>10225.663999999982</x:v>
      </x:c>
      <x:c r="E17" s="18" t="n">
        <x:f>E12-SUM(E14:E16)</x:f>
        <x:v>2873.6980000000003</x:v>
      </x:c>
      <x:c r="F17" s="18" t="n">
        <x:f>F12-SUM(F14:F16)</x:f>
        <x:v>2493.5469999999987</x:v>
      </x:c>
      <x:c r="G17" s="18" t="n">
        <x:f>G12-SUM(G14:G16)</x:f>
        <x:v>3175.2980000000007</x:v>
      </x:c>
      <x:c r="H17" s="6" t="n">
        <x:f>SUM('Segment - Americas'!H31,'Segment - EMEA'!H31,'Segment - Asia Pacific'!H31)</x:f>
        <x:v>2734.2981259999992</x:v>
      </x:c>
    </x:row>
    <x:row r="18">
      <x:c r="B18" s="1" t="s">
        <x:v>127</x:v>
      </x:c>
      <x:c r="C18" s="9" t="n">
        <x:f>C17/C9</x:f>
        <x:v>0.11648446885872336</x:v>
      </x:c>
      <x:c r="D18" s="9" t="n">
        <x:f>D17/D9</x:f>
        <x:v>0.1467665720671012</x:v>
      </x:c>
      <x:c r="E18" s="9" t="n">
        <x:f>E17/E9</x:f>
        <x:v>0.15332829121564392</x:v>
      </x:c>
      <x:c r="F18" s="9" t="n">
        <x:f>F17/F9</x:f>
        <x:v>0.13819207932402813</x:v>
      </x:c>
      <x:c r="G18" s="9" t="n">
        <x:f>G17/G9</x:f>
        <x:v>0.16963743841269735</x:v>
      </x:c>
      <x:c r="H18" s="10" t="n">
        <x:f>H17/H9</x:f>
        <x:v>0.15119669039798525</x:v>
      </x:c>
    </x:row>
    <x:row r="19">
      <x:c r="B19" s="8" t="s">
        <x:v>128</x:v>
      </x:c>
      <x:c r="C19" s="19">
        <x:v>105.197</x:v>
      </x:c>
      <x:c r="D19" s="19">
        <x:v>336.324</x:v>
      </x:c>
      <x:c r="E19" s="19">
        <x:v>106.223</x:v>
      </x:c>
      <x:c r="F19" s="19">
        <x:v>78.536</x:v>
      </x:c>
      <x:c r="G19" s="19">
        <x:v>75.069</x:v>
      </x:c>
      <x:c r="H19" s="16" t="n">
        <x:f>Inputs!C132</x:f>
        <x:v>75</x:v>
      </x:c>
    </x:row>
    <x:row r="20">
      <x:c r="B20" s="8" t="s">
        <x:v>129</x:v>
      </x:c>
      <x:c r="C20" s="19">
        <x:v>-66.243</x:v>
      </x:c>
      <x:c r="D20" s="19">
        <x:v>-228.555</x:v>
      </x:c>
      <x:c r="E20" s="19">
        <x:v>-65.365</x:v>
      </x:c>
      <x:c r="F20" s="19">
        <x:v>-63.566</x:v>
      </x:c>
      <x:c r="G20" s="19">
        <x:v>-70.645</x:v>
      </x:c>
      <x:c r="H20" s="16" t="n">
        <x:f>Inputs!C133</x:f>
        <x:v>-69</x:v>
      </x:c>
    </x:row>
    <x:row r="21">
      <x:c r="B21" s="8" t="s">
        <x:v>130</x:v>
      </x:c>
      <x:c r="C21" s="19">
        <x:v>-13.41</x:v>
      </x:c>
      <x:c r="D21" s="19">
        <x:v>-63.04</x:v>
      </x:c>
      <x:c r="E21" s="19">
        <x:v>53.114</x:v>
      </x:c>
      <x:c r="F21" s="19">
        <x:v>-51.863</x:v>
      </x:c>
      <x:c r="G21" s="19">
        <x:v>-29.894</x:v>
      </x:c>
      <x:c r="H21" s="16" t="n">
        <x:f>Inputs!C134</x:f>
        <x:v>-30</x:v>
      </x:c>
    </x:row>
    <x:row r="22">
      <x:c r="B22" s="4" t="s">
        <x:v>131</x:v>
      </x:c>
      <x:c r="C22" s="18" t="n">
        <x:f>SUM(C17,C19:C21)</x:f>
        <x:v>2075.234999999999</x:v>
      </x:c>
      <x:c r="D22" s="18" t="n">
        <x:f>SUM(D17,D19:D21)</x:f>
        <x:v>10270.392999999982</x:v>
      </x:c>
      <x:c r="E22" s="18" t="n">
        <x:f>SUM(E17,E19:E21)</x:f>
        <x:v>2967.6700000000005</x:v>
      </x:c>
      <x:c r="F22" s="18" t="n">
        <x:f>SUM(F17,F19:F21)</x:f>
        <x:v>2456.6539999999986</x:v>
      </x:c>
      <x:c r="G22" s="18" t="n">
        <x:f>SUM(G17,G19:G21)</x:f>
        <x:v>3149.828000000001</x:v>
      </x:c>
      <x:c r="H22" s="12" t="n">
        <x:f>SUM(H17,H19:H21)</x:f>
        <x:v>2710.2981259999992</x:v>
      </x:c>
    </x:row>
    <x:row r="23">
      <x:c r="B23" s="8" t="s">
        <x:v>132</x:v>
      </x:c>
      <x:c r="C23" s="19">
        <x:v>625.429</x:v>
      </x:c>
      <x:c r="D23" s="19">
        <x:v>2437.993</x:v>
      </x:c>
      <x:c r="E23" s="19">
        <x:v>725.774</x:v>
      </x:c>
      <x:c r="F23" s="19">
        <x:v>597.266</x:v>
      </x:c>
      <x:c r="G23" s="19">
        <x:v>761.935</x:v>
      </x:c>
      <x:c r="H23" s="16" t="n">
        <x:f>H22*Inputs!C135</x:f>
        <x:v>693.8363202559998</x:v>
      </x:c>
    </x:row>
    <x:row r="24">
      <x:c r="B24" s="1" t="s">
        <x:v>133</x:v>
      </x:c>
      <x:c r="C24" s="9" t="n">
        <x:f>C23/C22</x:f>
        <x:v>0.3013774343628554</x:v>
      </x:c>
      <x:c r="D24" s="9" t="n">
        <x:f>D23/D22</x:f>
        <x:v>0.23738069224809646</x:v>
      </x:c>
      <x:c r="E24" s="9" t="n">
        <x:f>E23/E22</x:f>
        <x:v>0.24456021053553795</x:v>
      </x:c>
      <x:c r="F24" s="9" t="n">
        <x:f>F23/F22</x:f>
        <x:v>0.2431217420116957</x:v>
      </x:c>
      <x:c r="G24" s="9" t="n">
        <x:f>G23/G22</x:f>
        <x:v>0.24189733534656488</x:v>
      </x:c>
      <x:c r="H24" s="10" t="n">
        <x:f>H23/H22</x:f>
        <x:v>0.256</x:v>
      </x:c>
    </x:row>
    <x:row r="25">
      <x:c r="B25" s="4" t="s">
        <x:v>134</x:v>
      </x:c>
      <x:c r="C25" s="18" t="n">
        <x:f>C22-C23</x:f>
        <x:v>1449.8059999999991</x:v>
      </x:c>
      <x:c r="D25" s="18" t="n">
        <x:f>D22-D23</x:f>
        <x:v>7832.399999999981</x:v>
      </x:c>
      <x:c r="E25" s="18" t="n">
        <x:f>E22-E23</x:f>
        <x:v>2241.8960000000006</x:v>
      </x:c>
      <x:c r="F25" s="18" t="n">
        <x:f>F22-F23</x:f>
        <x:v>1859.3879999999986</x:v>
      </x:c>
      <x:c r="G25" s="18" t="n">
        <x:f>G22-G23</x:f>
        <x:v>2387.893000000001</x:v>
      </x:c>
      <x:c r="H25" s="12" t="n">
        <x:f>H22-H23</x:f>
        <x:v>2016.4618057439993</x:v>
      </x:c>
    </x:row>
    <x:row r="26">
      <x:c r="B26" s="8" t="s">
        <x:v>135</x:v>
      </x:c>
      <x:c r="C26" s="19">
        <x:v>-1.326</x:v>
      </x:c>
      <x:c r="D26" s="19">
        <x:v>-7.24</x:v>
      </x:c>
      <x:c r="E26" s="19">
        <x:v>-2.083</x:v>
      </x:c>
      <x:c r="F26" s="19">
        <x:v>-1.714</x:v>
      </x:c>
      <x:c r="G26" s="19">
        <x:v>-2.203</x:v>
      </x:c>
      <x:c r="H26" s="16" t="n">
        <x:f>Inputs!C136</x:f>
        <x:v>-2</x:v>
      </x:c>
    </x:row>
    <x:row r="27">
      <x:c r="B27" s="8" t="s">
        <x:v>136</x:v>
      </x:c>
      <x:c r="C27" s="19">
        <x:v>-34.517</x:v>
      </x:c>
      <x:c r="D27" s="19">
        <x:v>-146.727</x:v>
      </x:c>
      <x:c r="E27" s="19">
        <x:v>-28.252</x:v>
      </x:c>
      <x:c r="F27" s="19">
        <x:v>-32.435</x:v>
      </x:c>
      <x:c r="G27" s="19">
        <x:v>-46.701</x:v>
      </x:c>
      <x:c r="H27" s="16" t="n">
        <x:f>Inputs!C137</x:f>
        <x:v>-50</x:v>
      </x:c>
    </x:row>
    <x:row r="28">
      <x:c r="B28" s="4" t="s">
        <x:v>137</x:v>
      </x:c>
      <x:c r="C28" s="18" t="n">
        <x:f>SUM(C25:C27)</x:f>
        <x:v>1413.962999999999</x:v>
      </x:c>
      <x:c r="D28" s="18" t="n">
        <x:f>SUM(D25:D27)</x:f>
        <x:v>7678.432999999982</x:v>
      </x:c>
      <x:c r="E28" s="18" t="n">
        <x:f>SUM(E25:E27)</x:f>
        <x:v>2211.5610000000006</x:v>
      </x:c>
      <x:c r="F28" s="18" t="n">
        <x:f>SUM(F25:F27)</x:f>
        <x:v>1825.2389999999987</x:v>
      </x:c>
      <x:c r="G28" s="18" t="n">
        <x:f>SUM(G25:G27)</x:f>
        <x:v>2338.989000000001</x:v>
      </x:c>
      <x:c r="H28" s="12" t="n">
        <x:f>SUM(H25:H27)</x:f>
        <x:v>1964.4618057439993</x:v>
      </x:c>
    </x:row>
    <x:row r="29">
      <x:c r="B29" s="8" t="s">
        <x:v>138</x:v>
      </x:c>
      <x:c r="C29" s="3" t="n">
        <x:f>-C26</x:f>
        <x:v>1.326</x:v>
      </x:c>
      <x:c r="D29" s="3" t="n">
        <x:f>-D26</x:f>
        <x:v>7.24</x:v>
      </x:c>
      <x:c r="E29" s="3" t="n">
        <x:f>-E26</x:f>
        <x:v>2.083</x:v>
      </x:c>
      <x:c r="F29" s="3" t="n">
        <x:f>-F26</x:f>
        <x:v>1.714</x:v>
      </x:c>
      <x:c r="G29" s="3" t="n">
        <x:f>-G26</x:f>
        <x:v>2.203</x:v>
      </x:c>
      <x:c r="H29" s="15" t="n">
        <x:f>-H26</x:f>
        <x:v>2</x:v>
      </x:c>
    </x:row>
    <x:row r="30">
      <x:c r="B30" s="4" t="s">
        <x:v>139</x:v>
      </x:c>
      <x:c r="C30" s="18" t="n">
        <x:f>C28+C29</x:f>
        <x:v>1415.288999999999</x:v>
      </x:c>
      <x:c r="D30" s="18" t="n">
        <x:f>D28+D29</x:f>
        <x:v>7685.672999999982</x:v>
      </x:c>
      <x:c r="E30" s="18" t="n">
        <x:f>E28+E29</x:f>
        <x:v>2213.6440000000007</x:v>
      </x:c>
      <x:c r="F30" s="18" t="n">
        <x:f>F28+F29</x:f>
        <x:v>1826.9529999999986</x:v>
      </x:c>
      <x:c r="G30" s="18" t="n">
        <x:f>G28+G29</x:f>
        <x:v>2341.192000000001</x:v>
      </x:c>
      <x:c r="H30" s="12" t="n">
        <x:f>H28+H29</x:f>
        <x:v>1966.4618057439993</x:v>
      </x:c>
    </x:row>
    <x:row r="31">
      <x:c r="B31" s="8" t="s">
        <x:v>140</x:v>
      </x:c>
      <x:c r="C31" s="19">
        <x:v>622.635814</x:v>
      </x:c>
      <x:c r="D31" s="19">
        <x:v>624.891649</x:v>
      </x:c>
      <x:c r="E31" s="19">
        <x:v>619.307086</x:v>
      </x:c>
      <x:c r="F31" s="19">
        <x:v>616.992111</x:v>
      </x:c>
      <x:c r="G31" s="19">
        <x:v>612.213453</x:v>
      </x:c>
      <x:c r="H31" s="16" t="n">
        <x:f>'Share Count'!H12</x:f>
        <x:v>609</x:v>
      </x:c>
    </x:row>
    <x:row r="32">
      <x:c r="B32" s="8" t="s">
        <x:v>141</x:v>
      </x:c>
      <x:c r="C32" s="19">
        <x:v>629.418129</x:v>
      </x:c>
      <x:c r="D32" s="19">
        <x:v>632.435108</x:v>
      </x:c>
      <x:c r="E32" s="19">
        <x:v>626.04304</x:v>
      </x:c>
      <x:c r="F32" s="19">
        <x:v>622.640891</x:v>
      </x:c>
      <x:c r="G32" s="19">
        <x:v>615.593409</x:v>
      </x:c>
      <x:c r="H32" s="16" t="n">
        <x:f>'Share Count'!H13</x:f>
        <x:v>613.5</x:v>
      </x:c>
    </x:row>
    <x:row r="33">
      <x:c r="B33" s="4" t="s">
        <x:v>142</x:v>
      </x:c>
      <x:c r="C33" s="30" t="n">
        <x:f>C30/C32</x:f>
        <x:v>2.2485672636226197</x:v>
      </x:c>
      <x:c r="D33" s="30" t="n">
        <x:f>D30/D32</x:f>
        <x:v>12.152508459413328</x:v>
      </x:c>
      <x:c r="E33" s="30" t="n">
        <x:f>E30/E32</x:f>
        <x:v>3.5359294146932783</x:v>
      </x:c>
      <x:c r="F33" s="30" t="n">
        <x:f>F30/F32</x:f>
        <x:v>2.934200156796317</x:v>
      </x:c>
      <x:c r="G33" s="30" t="n">
        <x:f>G30/G32</x:f>
        <x:v>3.8031466318054763</x:v>
      </x:c>
      <x:c r="H33" s="39" t="n">
        <x:f>H30/H32</x:f>
        <x:v>3.205316716779135</x:v>
      </x:c>
    </x:row>
    <x:row r="34">
      <x:c r="B34" s="8" t="s">
        <x:v>143</x:v>
      </x:c>
      <x:c r="C34" s="3" t="n">
        <x:f>C33-C30/C32</x:f>
        <x:v>0</x:v>
      </x:c>
      <x:c r="D34" s="3" t="n">
        <x:f>D33-D30/D32</x:f>
        <x:v>0</x:v>
      </x:c>
      <x:c r="E34" s="3" t="n">
        <x:f>E33-E30/E32</x:f>
        <x:v>0</x:v>
      </x:c>
      <x:c r="F34" s="3" t="n">
        <x:f>F33-F30/F32</x:f>
        <x:v>0</x:v>
      </x:c>
      <x:c r="G34" s="3" t="n">
        <x:f>G33-G30/G32</x:f>
        <x:v>0</x:v>
      </x:c>
      <x:c r="H34" s="15" t="n">
        <x:f>H33-H30/H32</x:f>
        <x:v>0</x:v>
      </x:c>
    </x:row>
    <x:row r="35">
      <x:c r="B35" s="8" t="s">
        <x:v>144</x:v>
      </x:c>
      <x:c r="C35" s="3"/>
      <x:c r="D35" s="3"/>
      <x:c r="E35" s="3"/>
      <x:c r="F35" s="3"/>
      <x:c r="G35" s="3"/>
      <x:c r="H35" s="15"/>
    </x:row>
    <x:row r="36">
      <x:c r="B36" s="8" t="s">
        <x:v>145</x:v>
      </x:c>
      <x:c r="C36" s="3" t="n">
        <x:f>C16</x:f>
        <x:v>615.324</x:v>
      </x:c>
      <x:c r="D36" s="3" t="n">
        <x:f>D16</x:f>
        <x:v>615.324</x:v>
      </x:c>
      <x:c r="E36" s="3" t="n">
        <x:f>E16</x:f>
        <x:v>307.541</x:v>
      </x:c>
      <x:c r="F36" s="3" t="n">
        <x:f>F16</x:f>
        <x:v>0</x:v>
      </x:c>
      <x:c r="G36" s="3" t="n">
        <x:f>G16</x:f>
        <x:v>0</x:v>
      </x:c>
      <x:c r="H36" s="15" t="n">
        <x:f>H16</x:f>
        <x:v>0</x:v>
      </x:c>
    </x:row>
    <x:row r="37">
      <x:c r="B37" s="8" t="s">
        <x:v>146</x:v>
      </x:c>
      <x:c r="C37" s="19">
        <x:v>-125.913</x:v>
      </x:c>
      <x:c r="D37" s="19">
        <x:v>-125.913</x:v>
      </x:c>
      <x:c r="E37" s="19">
        <x:v>-57.232</x:v>
      </x:c>
      <x:c r="F37" s="3" t="n">
        <x:f>0</x:f>
        <x:v>0</x:v>
      </x:c>
      <x:c r="G37" s="3" t="n">
        <x:f>0</x:f>
        <x:v>0</x:v>
      </x:c>
      <x:c r="H37" s="15" t="n">
        <x:f>0</x:f>
        <x:v>0</x:v>
      </x:c>
    </x:row>
    <x:row r="38">
      <x:c r="B38" s="4" t="s">
        <x:v>147</x:v>
      </x:c>
      <x:c r="C38" s="18" t="n">
        <x:f>SUM(C36:C37)</x:f>
        <x:v>489.41099999999994</x:v>
      </x:c>
      <x:c r="D38" s="18" t="n">
        <x:f>SUM(D36:D37)</x:f>
        <x:v>489.41099999999994</x:v>
      </x:c>
      <x:c r="E38" s="18" t="n">
        <x:f>SUM(E36:E37)</x:f>
        <x:v>250.309</x:v>
      </x:c>
      <x:c r="F38" s="18" t="n">
        <x:f>SUM(F36:F37)</x:f>
        <x:v>0</x:v>
      </x:c>
      <x:c r="G38" s="18" t="n">
        <x:f>SUM(G36:G37)</x:f>
        <x:v>0</x:v>
      </x:c>
      <x:c r="H38" s="12" t="n">
        <x:f>SUM(H36:H37)</x:f>
        <x:v>0</x:v>
      </x:c>
    </x:row>
    <x:row r="39">
      <x:c r="B39" s="4" t="s">
        <x:v>148</x:v>
      </x:c>
      <x:c r="C39" s="18" t="n">
        <x:f>C28+C38</x:f>
        <x:v>1903.373999999999</x:v>
      </x:c>
      <x:c r="D39" s="18" t="n">
        <x:f>D28+D38</x:f>
        <x:v>8167.843999999982</x:v>
      </x:c>
      <x:c r="E39" s="18" t="n">
        <x:f>E28+E38</x:f>
        <x:v>2461.870000000001</x:v>
      </x:c>
      <x:c r="F39" s="18" t="n">
        <x:f>F28+F38</x:f>
        <x:v>1825.2389999999987</x:v>
      </x:c>
      <x:c r="G39" s="18" t="n">
        <x:f>G28+G38</x:f>
        <x:v>2338.989000000001</x:v>
      </x:c>
      <x:c r="H39" s="12" t="n">
        <x:f>H28+H38</x:f>
        <x:v>1964.4618057439993</x:v>
      </x:c>
    </x:row>
    <x:row r="40">
      <x:c r="B40" s="4" t="s">
        <x:v>149</x:v>
      </x:c>
      <x:c r="C40" s="18" t="n">
        <x:f>C30+C38</x:f>
        <x:v>1904.699999999999</x:v>
      </x:c>
      <x:c r="D40" s="18" t="n">
        <x:f>D30+D38</x:f>
        <x:v>8175.083999999982</x:v>
      </x:c>
      <x:c r="E40" s="18" t="n">
        <x:f>E30+E38</x:f>
        <x:v>2463.953000000001</x:v>
      </x:c>
      <x:c r="F40" s="18" t="n">
        <x:f>F30+F38</x:f>
        <x:v>1826.9529999999986</x:v>
      </x:c>
      <x:c r="G40" s="18" t="n">
        <x:f>G30+G38</x:f>
        <x:v>2341.192000000001</x:v>
      </x:c>
      <x:c r="H40" s="12" t="n">
        <x:f>H30+H38</x:f>
        <x:v>1966.4618057439993</x:v>
      </x:c>
    </x:row>
    <x:row r="41">
      <x:c r="B41" s="4" t="s">
        <x:v>150</x:v>
      </x:c>
      <x:c r="C41" s="30" t="n">
        <x:f>C40/C32</x:f>
        <x:v>3.0261282798227103</x:v>
      </x:c>
      <x:c r="D41" s="30" t="n">
        <x:f>D40/D32</x:f>
        <x:v>12.926360185557538</x:v>
      </x:c>
      <x:c r="E41" s="30" t="n">
        <x:f>E40/E32</x:f>
        <x:v>3.9357565575683116</x:v>
      </x:c>
      <x:c r="F41" s="30" t="n">
        <x:f>F40/F32</x:f>
        <x:v>2.934200156796317</x:v>
      </x:c>
      <x:c r="G41" s="30" t="n">
        <x:f>G40/G32</x:f>
        <x:v>3.8031466318054763</x:v>
      </x:c>
      <x:c r="H41" s="39" t="n">
        <x:f>H40/H32</x:f>
        <x:v>3.205316716779135</x:v>
      </x:c>
    </x:row>
    <x:row r="42">
      <x:c r="B42" s="8" t="s">
        <x:v>151</x:v>
      </x:c>
      <x:c r="C42" s="27" t="n">
        <x:f>C41-C33</x:f>
        <x:v>0.7775610162000905</x:v>
      </x:c>
      <x:c r="D42" s="27" t="n">
        <x:f>D41-D33</x:f>
        <x:v>0.7738517261442102</x:v>
      </x:c>
      <x:c r="E42" s="27" t="n">
        <x:f>E41-E33</x:f>
        <x:v>0.3998271428750333</x:v>
      </x:c>
      <x:c r="F42" s="27" t="n">
        <x:f>F41-F33</x:f>
        <x:v>0</x:v>
      </x:c>
      <x:c r="G42" s="27" t="n">
        <x:f>G41-G33</x:f>
        <x:v>0</x:v>
      </x:c>
      <x:c r="H42" s="25" t="n">
        <x:f>H41-H33</x:f>
        <x:v>0</x:v>
      </x:c>
    </x:row>
    <x:row r="43">
      <x:c r="B43" s="1" t="s">
        <x:v>152</x:v>
      </x:c>
      <x:c r="C43" s="9" t="n">
        <x:f>C33/Inputs!C191-1</x:f>
        <x:v>-0.154673961044128</x:v>
      </x:c>
      <x:c r="D43" s="9" t="n">
        <x:f>D33/Inputs!C192-1</x:f>
        <x:v>0.06228220799067552</x:v>
      </x:c>
      <x:c r="E43" s="9" t="n">
        <x:f>E33/Inputs!C190-1</x:f>
        <x:v>-0.01506144437513135</x:v>
      </x:c>
      <x:c r="F43" s="9" t="n">
        <x:f>F33/Inputs!F117-1</x:f>
        <x:v>0.04049650950224004</x:v>
      </x:c>
      <x:c r="G43" s="9" t="n">
        <x:f>G33/Inputs!F118-1</x:f>
        <x:v>0.08972682859755765</x:v>
      </x:c>
      <x:c r="H43" s="10" t="n">
        <x:f>H33/C33-1</x:f>
        <x:v>0.42549292104124836</x:v>
      </x:c>
    </x:row>
    <x:row r="44">
      <x:c r="B44" s="4" t="s">
        <x:v>153</x:v>
      </x:c>
      <x:c r="C44" s="13" t="n">
        <x:f>C17-SUM('Segment - Americas'!C31,'Segment - EMEA'!C31,'Segment - Asia Pacific'!C31)</x:f>
        <x:v>-4.547473508864641e-13</x:v>
      </x:c>
      <x:c r="D44" s="13" t="n">
        <x:f>D17-SUM('Segment - Americas'!D31,'Segment - EMEA'!D31,'Segment - Asia Pacific'!D31)</x:f>
        <x:v>-1.2732925824820995e-11</x:v>
      </x:c>
      <x:c r="E44" s="13" t="n">
        <x:f>E17-SUM('Segment - Americas'!E31,'Segment - EMEA'!E31,'Segment - Asia Pacific'!E31)</x:f>
        <x:v>4.547473508864641e-13</x:v>
      </x:c>
      <x:c r="F44" s="13" t="n">
        <x:f>F17-SUM('Segment - Americas'!F31,'Segment - EMEA'!F31,'Segment - Asia Pacific'!F31)</x:f>
        <x:v>-2.2737367544323206e-12</x:v>
      </x:c>
      <x:c r="G44" s="13" t="n">
        <x:f>G17-SUM('Segment - Americas'!G31,'Segment - EMEA'!G31,'Segment - Asia Pacific'!G31)</x:f>
        <x:v>-4.547473508864641e-13</x:v>
      </x:c>
      <x:c r="H44" s="6" t="n">
        <x:f>H17-SUM('Segment - Americas'!H31,'Segment - EMEA'!H31,'Segment - Asia Pacific'!H31)</x:f>
        <x:v>0</x:v>
      </x:c>
    </x:row>
    <x:row r="45">
      <x:c r="B45" s="8" t="s">
        <x:v>154</x:v>
      </x:c>
      <x:c r="C45" s="3" t="n">
        <x:f>(C13-(Inputs!C167-Inputs!C202)/Inputs!C167)*10000</x:f>
        <x:v>-64.68370011415092</x:v>
      </x:c>
      <x:c r="D45" s="3" t="n">
        <x:f>(D13-(Inputs!C168-Inputs!C203)/Inputs!C168)*10000</x:f>
        <x:v>-69.54001449261837</x:v>
      </x:c>
      <x:c r="E45" s="3" t="n">
        <x:f>(E13-('Revenue summary'!C72-C49)/'Revenue summary'!C72)*10000</x:f>
        <x:v>14.840117600640191</x:v>
      </x:c>
      <x:c r="F45" s="3" t="n">
        <x:f>(F13-(Inputs!C160-C50)/Inputs!C160)*10000</x:f>
        <x:v>39.25882739789222</x:v>
      </x:c>
      <x:c r="G45" s="3" t="n">
        <x:f>(G13-(Inputs!C161-C51)/Inputs!C161)*10000</x:f>
        <x:v>-9.504007642288649</x:v>
      </x:c>
      <x:c r="H45" s="15" t="n">
        <x:f>(H13-C13)*10000</x:f>
        <x:v>0.2917176718225667</x:v>
      </x:c>
    </x:row>
    <x:row r="46">
      <x:c r="B46" s="8" t="s">
        <x:v>106</x:v>
      </x:c>
      <x:c r="C46" s="3" t="n">
        <x:f>(C18-Inputs!C204/Inputs!C167)*10000</x:f>
        <x:v>-269.80968618064605</x:v>
      </x:c>
      <x:c r="D46" s="3" t="n">
        <x:f>(D18-Inputs!D204/Inputs!C168)*10000</x:f>
        <x:v>-10.973701039237172</x:v>
      </x:c>
      <x:c r="E46" s="3" t="n">
        <x:f>(E18-Inputs!E204/'Revenue summary'!C72)*10000</x:f>
        <x:v>-133.50783910369785</x:v>
      </x:c>
      <x:c r="F46" s="3" t="n">
        <x:f>(F18-Inputs!F204/Inputs!C160)*10000</x:f>
        <x:v>34.496912730528905</x:v>
      </x:c>
      <x:c r="G46" s="3" t="n">
        <x:f>(G18-Inputs!G204/Inputs!C161)*10000</x:f>
        <x:v>13.83619327483987</x:v>
      </x:c>
      <x:c r="H46" s="15" t="n">
        <x:f>(H18-C18)*10000</x:f>
        <x:v>347.12221539261884</x:v>
      </x:c>
    </x:row>
    <x:row r="47">
      <x:c r="B47" s="4" t="s">
        <x:v>155</x:v>
      </x:c>
      <x:c r="C47" s="18" t="n">
        <x:f>C41-C40/C32</x:f>
        <x:v>0</x:v>
      </x:c>
      <x:c r="D47" s="18" t="n">
        <x:f>D41-D40/D32</x:f>
        <x:v>0</x:v>
      </x:c>
      <x:c r="E47" s="18" t="n">
        <x:f>E41-E40/E32</x:f>
        <x:v>0</x:v>
      </x:c>
      <x:c r="F47" s="18" t="n">
        <x:f>F41-F40/F32</x:f>
        <x:v>0</x:v>
      </x:c>
      <x:c r="G47" s="18" t="n">
        <x:f>G41-G40/G32</x:f>
        <x:v>0</x:v>
      </x:c>
      <x:c r="H47" s="12" t="n">
        <x:f>H41-H40/H32</x:f>
        <x:v>0</x:v>
      </x:c>
    </x:row>
    <x:row r="48">
      <x:c r="B48" s="8"/>
      <x:c r="C48" s="3"/>
      <x:c r="D48" s="3"/>
      <x:c r="E48" s="3"/>
      <x:c r="F48" s="3"/>
      <x:c r="G48" s="3"/>
      <x:c r="H48" s="15"/>
    </x:row>
    <x:row r="49">
      <x:c r="B49" s="8" t="s">
        <x:v>156</x:v>
      </x:c>
      <x:c r="C49" s="19">
        <x:v>11866.716</x:v>
      </x:c>
      <x:c r="D49" s="3"/>
      <x:c r="E49" s="3"/>
      <x:c r="F49" s="3"/>
      <x:c r="G49" s="3"/>
      <x:c r="H49" s="15"/>
    </x:row>
    <x:row r="50">
      <x:c r="B50" s="8" t="s">
        <x:v>157</x:v>
      </x:c>
      <x:c r="C50" s="19">
        <x:v>11684.313</x:v>
      </x:c>
      <x:c r="D50" s="3"/>
      <x:c r="E50" s="3"/>
      <x:c r="F50" s="3"/>
      <x:c r="G50" s="3"/>
      <x:c r="H50" s="15"/>
    </x:row>
    <x:row r="51">
      <x:c r="B51" s="8" t="s">
        <x:v>158</x:v>
      </x:c>
      <x:c r="C51" s="19">
        <x:v>11901.221</x:v>
      </x:c>
      <x:c r="D51" s="3"/>
      <x:c r="E51" s="3"/>
      <x:c r="F51" s="3"/>
      <x:c r="G51" s="3"/>
      <x:c r="H51" s="15"/>
    </x:row>
    <x:row r="52">
      <x:c r="B52" s="4" t="s">
        <x:v>159</x:v>
      </x:c>
      <x:c r="C52" s="18"/>
      <x:c r="D52" s="18" t="n">
        <x:f>SUM(C49:C51,C11)</x:f>
        <x:v>47437.576</x:v>
      </x:c>
      <x:c r="E52" s="18"/>
      <x:c r="F52" s="18"/>
      <x:c r="G52" s="18"/>
      <x:c r="H52" s="12"/>
    </x:row>
    <x:row r="53">
      <x:c r="B53" s="4" t="s">
        <x:v>160</x:v>
      </x:c>
      <x:c r="C53" s="18"/>
      <x:c r="D53" s="18" t="n">
        <x:f>D11-D52</x:f>
        <x:v>0</x:v>
      </x:c>
      <x:c r="E53" s="18"/>
      <x:c r="F53" s="18"/>
      <x:c r="G53" s="18"/>
      <x:c r="H53" s="12"/>
    </x:row>
    <x:row r="54">
      <x:c r="B54" s="4" t="s">
        <x:v>161</x:v>
      </x:c>
      <x:c r="C54" s="18"/>
      <x:c r="D54" s="13" t="n">
        <x:f>D12-('Revenue summary'!D73-D52)</x:f>
        <x:v>-1.4551915228366852e-11</x:v>
      </x:c>
      <x:c r="E54" s="18"/>
      <x:c r="F54" s="18"/>
      <x:c r="G54" s="18"/>
      <x:c r="H54" s="1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65" hidden="0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162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8" t="s">
        <x:v>163</x:v>
      </x:c>
      <x:c r="C9" s="19">
        <x:v>11478.729</x:v>
      </x:c>
      <x:c r="D9" s="3" t="n">
        <x:f>C9</x:f>
        <x:v>11478.729</x:v>
      </x:c>
      <x:c r="E9" s="19">
        <x:v>9649.405</x:v>
      </x:c>
      <x:c r="F9" s="19">
        <x:v>9399.183</x:v>
      </x:c>
      <x:c r="G9" s="19">
        <x:v>10165.245</x:v>
      </x:c>
      <x:c r="H9" s="16" t="n">
        <x:f>'Cash Flow Statement'!H28</x:f>
        <x:v>9885.244999999999</x:v>
      </x:c>
    </x:row>
    <x:row r="10">
      <x:c r="B10" s="8" t="s">
        <x:v>164</x:v>
      </x:c>
      <x:c r="C10" s="19">
        <x:v>5.945</x:v>
      </x:c>
      <x:c r="D10" s="3" t="n">
        <x:f>C10</x:f>
        <x:v>5.945</x:v>
      </x:c>
      <x:c r="E10" s="19">
        <x:v>5.906</x:v>
      </x:c>
      <x:c r="F10" s="19">
        <x:v>6.413</x:v>
      </x:c>
      <x:c r="G10" s="19">
        <x:v>6.322</x:v>
      </x:c>
      <x:c r="H10" s="15" t="n">
        <x:f>G10</x:f>
        <x:v>6.322</x:v>
      </x:c>
    </x:row>
    <x:row r="11">
      <x:c r="B11" s="8" t="s">
        <x:v>165</x:v>
      </x:c>
      <x:c r="C11" s="19">
        <x:v>14985.073</x:v>
      </x:c>
      <x:c r="D11" s="3" t="n">
        <x:f>C11</x:f>
        <x:v>14985.073</x:v>
      </x:c>
      <x:c r="E11" s="19">
        <x:v>16006.709</x:v>
      </x:c>
      <x:c r="F11" s="19">
        <x:v>15737.519</x:v>
      </x:c>
      <x:c r="G11" s="19">
        <x:v>16035.963</x:v>
      </x:c>
      <x:c r="H11" s="15" t="n">
        <x:f>G11</x:f>
        <x:v>16035.963</x:v>
      </x:c>
    </x:row>
    <x:row r="12">
      <x:c r="B12" s="8" t="s">
        <x:v>166</x:v>
      </x:c>
      <x:c r="C12" s="19">
        <x:v>2430.942</x:v>
      </x:c>
      <x:c r="D12" s="3" t="n">
        <x:f>C12</x:f>
        <x:v>2430.942</x:v>
      </x:c>
      <x:c r="E12" s="19">
        <x:v>2404.674</x:v>
      </x:c>
      <x:c r="F12" s="19">
        <x:v>2864.223</x:v>
      </x:c>
      <x:c r="G12" s="19">
        <x:v>2730.815</x:v>
      </x:c>
      <x:c r="H12" s="36" t="n">
        <x:f>G12</x:f>
        <x:v>2730.815</x:v>
      </x:c>
    </x:row>
    <x:row r="13">
      <x:c r="B13" s="4" t="s">
        <x:v>167</x:v>
      </x:c>
      <x:c r="C13" s="18" t="n">
        <x:f>SUM(C9:C12)</x:f>
        <x:v>28900.689</x:v>
      </x:c>
      <x:c r="D13" s="18" t="n">
        <x:f>SUM(D9:D12)</x:f>
        <x:v>28900.689</x:v>
      </x:c>
      <x:c r="E13" s="18" t="n">
        <x:f>SUM(E9:E12)</x:f>
        <x:v>28066.694000000003</x:v>
      </x:c>
      <x:c r="F13" s="18" t="n">
        <x:f>SUM(F9:F12)</x:f>
        <x:v>28007.338000000003</x:v>
      </x:c>
      <x:c r="G13" s="18" t="n">
        <x:f>SUM(G9:G12)</x:f>
        <x:v>28938.344999999998</x:v>
      </x:c>
      <x:c r="H13" s="12" t="n">
        <x:f>SUM(H9:H12)</x:f>
        <x:v>28658.344999999998</x:v>
      </x:c>
    </x:row>
    <x:row r="14">
      <x:c r="B14" s="8" t="s">
        <x:v>168</x:v>
      </x:c>
      <x:c r="C14" s="19">
        <x:v>180.362</x:v>
      </x:c>
      <x:c r="D14" s="3" t="n">
        <x:f>C14</x:f>
        <x:v>180.362</x:v>
      </x:c>
      <x:c r="E14" s="19">
        <x:v>188.147</x:v>
      </x:c>
      <x:c r="F14" s="19">
        <x:v>271.701</x:v>
      </x:c>
      <x:c r="G14" s="19">
        <x:v>333.577</x:v>
      </x:c>
      <x:c r="H14" s="36" t="n">
        <x:f>G14</x:f>
        <x:v>333.577</x:v>
      </x:c>
    </x:row>
    <x:row r="15">
      <x:c r="B15" s="8" t="s">
        <x:v>169</x:v>
      </x:c>
      <x:c r="C15" s="19">
        <x:v>721.26</x:v>
      </x:c>
      <x:c r="D15" s="3" t="n">
        <x:f>C15</x:f>
        <x:v>721.26</x:v>
      </x:c>
      <x:c r="E15" s="19">
        <x:v>803</x:v>
      </x:c>
      <x:c r="F15" s="19">
        <x:v>852.156</x:v>
      </x:c>
      <x:c r="G15" s="19">
        <x:v>925.324</x:v>
      </x:c>
      <x:c r="H15" s="15" t="n">
        <x:f>G15</x:f>
        <x:v>925.324</x:v>
      </x:c>
    </x:row>
    <x:row r="16">
      <x:c r="B16" s="8" t="s">
        <x:v>170</x:v>
      </x:c>
      <x:c r="C16" s="19">
        <x:v>1566.374</x:v>
      </x:c>
      <x:c r="D16" s="3" t="n">
        <x:f>C16</x:f>
        <x:v>1566.374</x:v>
      </x:c>
      <x:c r="E16" s="19">
        <x:v>1558.316</x:v>
      </x:c>
      <x:c r="F16" s="19">
        <x:v>1600.823</x:v>
      </x:c>
      <x:c r="G16" s="19">
        <x:v>1619.981</x:v>
      </x:c>
      <x:c r="H16" s="15" t="n">
        <x:f>G16</x:f>
        <x:v>1619.981</x:v>
      </x:c>
    </x:row>
    <x:row r="17">
      <x:c r="B17" s="8" t="s">
        <x:v>171</x:v>
      </x:c>
      <x:c r="C17" s="19">
        <x:v>2740.321</x:v>
      </x:c>
      <x:c r="D17" s="3" t="n">
        <x:f>C17</x:f>
        <x:v>2740.321</x:v>
      </x:c>
      <x:c r="E17" s="19">
        <x:v>2758.958</x:v>
      </x:c>
      <x:c r="F17" s="19">
        <x:v>2910.831</x:v>
      </x:c>
      <x:c r="G17" s="19">
        <x:v>2973.53</x:v>
      </x:c>
      <x:c r="H17" s="15" t="n">
        <x:f>G17</x:f>
        <x:v>2973.53</x:v>
      </x:c>
    </x:row>
    <x:row r="18">
      <x:c r="B18" s="8" t="s">
        <x:v>172</x:v>
      </x:c>
      <x:c r="C18" s="19">
        <x:v>22536.416</x:v>
      </x:c>
      <x:c r="D18" s="3" t="n">
        <x:f>C18</x:f>
        <x:v>22536.416</x:v>
      </x:c>
      <x:c r="E18" s="19">
        <x:v>22621.663</x:v>
      </x:c>
      <x:c r="F18" s="19">
        <x:v>24581.153</x:v>
      </x:c>
      <x:c r="G18" s="19">
        <x:v>25322.8</x:v>
      </x:c>
      <x:c r="H18" s="15" t="n">
        <x:f>G18</x:f>
        <x:v>25322.8</x:v>
      </x:c>
    </x:row>
    <x:row r="19">
      <x:c r="B19" s="8" t="s">
        <x:v>173</x:v>
      </x:c>
      <x:c r="C19" s="19">
        <x:v>1025.391</x:v>
      </x:c>
      <x:c r="D19" s="3" t="n">
        <x:f>C19</x:f>
        <x:v>1025.391</x:v>
      </x:c>
      <x:c r="E19" s="19">
        <x:v>1045.856</x:v>
      </x:c>
      <x:c r="F19" s="19">
        <x:v>1097.567</x:v>
      </x:c>
      <x:c r="G19" s="19">
        <x:v>1136.76</x:v>
      </x:c>
      <x:c r="H19" s="15" t="n">
        <x:f>G19</x:f>
        <x:v>1136.76</x:v>
      </x:c>
    </x:row>
    <x:row r="20">
      <x:c r="B20" s="8" t="s">
        <x:v>174</x:v>
      </x:c>
      <x:c r="C20" s="19">
        <x:v>3791.215</x:v>
      </x:c>
      <x:c r="D20" s="3" t="n">
        <x:f>C20</x:f>
        <x:v>3791.215</x:v>
      </x:c>
      <x:c r="E20" s="19">
        <x:v>3690.039</x:v>
      </x:c>
      <x:c r="F20" s="19">
        <x:v>3570.872</x:v>
      </x:c>
      <x:c r="G20" s="19">
        <x:v>3567.536</x:v>
      </x:c>
      <x:c r="H20" s="15" t="n">
        <x:f>G20</x:f>
        <x:v>3567.536</x:v>
      </x:c>
    </x:row>
    <x:row r="21">
      <x:c r="B21" s="8" t="s">
        <x:v>175</x:v>
      </x:c>
      <x:c r="C21" s="19">
        <x:v>2410.755</x:v>
      </x:c>
      <x:c r="D21" s="3" t="n">
        <x:f>C21</x:f>
        <x:v>2410.755</x:v>
      </x:c>
      <x:c r="E21" s="19">
        <x:v>2331.615</x:v>
      </x:c>
      <x:c r="F21" s="19">
        <x:v>2548.534</x:v>
      </x:c>
      <x:c r="G21" s="19">
        <x:v>2498.992</x:v>
      </x:c>
      <x:c r="H21" s="15" t="n">
        <x:f>G21</x:f>
        <x:v>2498.992</x:v>
      </x:c>
    </x:row>
    <x:row r="22">
      <x:c r="B22" s="8" t="s">
        <x:v>176</x:v>
      </x:c>
      <x:c r="C22" s="19">
        <x:v>1522.114</x:v>
      </x:c>
      <x:c r="D22" s="3" t="n">
        <x:f>C22</x:f>
        <x:v>1522.114</x:v>
      </x:c>
      <x:c r="E22" s="19">
        <x:v>1634.175</x:v>
      </x:c>
      <x:c r="F22" s="19">
        <x:v>1623.241</x:v>
      </x:c>
      <x:c r="G22" s="19">
        <x:v>1489.716</x:v>
      </x:c>
      <x:c r="H22" s="36" t="n">
        <x:f>G22</x:f>
        <x:v>1489.716</x:v>
      </x:c>
    </x:row>
    <x:row r="23">
      <x:c r="B23" s="4" t="s">
        <x:v>177</x:v>
      </x:c>
      <x:c r="C23" s="18" t="n">
        <x:f>SUM(C14:C22)</x:f>
        <x:v>36494.208</x:v>
      </x:c>
      <x:c r="D23" s="18" t="n">
        <x:f>SUM(D14:D22)</x:f>
        <x:v>36494.208</x:v>
      </x:c>
      <x:c r="E23" s="18" t="n">
        <x:f>SUM(E14:E22)</x:f>
        <x:v>36631.76900000001</x:v>
      </x:c>
      <x:c r="F23" s="18" t="n">
        <x:f>SUM(F14:F22)</x:f>
        <x:v>39056.878</x:v>
      </x:c>
      <x:c r="G23" s="18" t="n">
        <x:f>SUM(G14:G22)</x:f>
        <x:v>39868.216</x:v>
      </x:c>
      <x:c r="H23" s="12" t="n">
        <x:f>SUM(H14:H22)</x:f>
        <x:v>39868.216</x:v>
      </x:c>
    </x:row>
    <x:row r="24">
      <x:c r="B24" s="4" t="s">
        <x:v>178</x:v>
      </x:c>
      <x:c r="C24" s="18" t="n">
        <x:f>C13+C23</x:f>
        <x:v>65394.897</x:v>
      </x:c>
      <x:c r="D24" s="18" t="n">
        <x:f>D13+D23</x:f>
        <x:v>65394.897</x:v>
      </x:c>
      <x:c r="E24" s="18" t="n">
        <x:f>E13+E23</x:f>
        <x:v>64698.46300000001</x:v>
      </x:c>
      <x:c r="F24" s="18" t="n">
        <x:f>F13+F23</x:f>
        <x:v>67064.216</x:v>
      </x:c>
      <x:c r="G24" s="18" t="n">
        <x:f>G13+G23</x:f>
        <x:v>68806.561</x:v>
      </x:c>
      <x:c r="H24" s="12" t="n">
        <x:f>H13+H23</x:f>
        <x:v>68526.561</x:v>
      </x:c>
    </x:row>
    <x:row r="25">
      <x:c r="B25" s="8"/>
      <x:c r="C25" s="3"/>
      <x:c r="D25" s="3"/>
      <x:c r="E25" s="3"/>
      <x:c r="F25" s="3"/>
      <x:c r="G25" s="3"/>
      <x:c r="H25" s="15"/>
    </x:row>
    <x:row r="26">
      <x:c r="B26" s="8" t="s">
        <x:v>179</x:v>
      </x:c>
      <x:c r="C26" s="19">
        <x:v>114.484</x:v>
      </x:c>
      <x:c r="D26" s="3" t="n">
        <x:f>C26</x:f>
        <x:v>114.484</x:v>
      </x:c>
      <x:c r="E26" s="19">
        <x:v>113.676</x:v>
      </x:c>
      <x:c r="F26" s="19">
        <x:v>114.063</x:v>
      </x:c>
      <x:c r="G26" s="19">
        <x:v>112.816</x:v>
      </x:c>
      <x:c r="H26" s="36" t="n">
        <x:f>G26</x:f>
        <x:v>112.816</x:v>
      </x:c>
    </x:row>
    <x:row r="27">
      <x:c r="B27" s="8" t="s">
        <x:v>180</x:v>
      </x:c>
      <x:c r="C27" s="19">
        <x:v>2695.589</x:v>
      </x:c>
      <x:c r="D27" s="3" t="n">
        <x:f>C27</x:f>
        <x:v>2695.589</x:v>
      </x:c>
      <x:c r="E27" s="19">
        <x:v>2971.647</x:v>
      </x:c>
      <x:c r="F27" s="19">
        <x:v>3116.735</x:v>
      </x:c>
      <x:c r="G27" s="19">
        <x:v>3176.74</x:v>
      </x:c>
      <x:c r="H27" s="15" t="n">
        <x:f>G27</x:f>
        <x:v>3176.74</x:v>
      </x:c>
    </x:row>
    <x:row r="28">
      <x:c r="B28" s="8" t="s">
        <x:v>181</x:v>
      </x:c>
      <x:c r="C28" s="19">
        <x:v>6073.17</x:v>
      </x:c>
      <x:c r="D28" s="3" t="n">
        <x:f>C28</x:f>
        <x:v>6073.17</x:v>
      </x:c>
      <x:c r="E28" s="19">
        <x:v>5494.732</x:v>
      </x:c>
      <x:c r="F28" s="19">
        <x:v>6620.1</x:v>
      </x:c>
      <x:c r="G28" s="19">
        <x:v>6529.286</x:v>
      </x:c>
      <x:c r="H28" s="15" t="n">
        <x:f>G28</x:f>
        <x:v>6529.286</x:v>
      </x:c>
    </x:row>
    <x:row r="29">
      <x:c r="B29" s="8" t="s">
        <x:v>182</x:v>
      </x:c>
      <x:c r="C29" s="19">
        <x:v>8084.214</x:v>
      </x:c>
      <x:c r="D29" s="3" t="n">
        <x:f>C29</x:f>
        <x:v>8084.214</x:v>
      </x:c>
      <x:c r="E29" s="19">
        <x:v>7937.214</x:v>
      </x:c>
      <x:c r="F29" s="19">
        <x:v>7813.959</x:v>
      </x:c>
      <x:c r="G29" s="19">
        <x:v>8701.843</x:v>
      </x:c>
      <x:c r="H29" s="15" t="n">
        <x:f>G29</x:f>
        <x:v>8701.843</x:v>
      </x:c>
    </x:row>
    <x:row r="30">
      <x:c r="B30" s="8" t="s">
        <x:v>183</x:v>
      </x:c>
      <x:c r="C30" s="19">
        <x:v>701.219</x:v>
      </x:c>
      <x:c r="D30" s="3" t="n">
        <x:f>C30</x:f>
        <x:v>701.219</x:v>
      </x:c>
      <x:c r="E30" s="19">
        <x:v>665.737</x:v>
      </x:c>
      <x:c r="F30" s="19">
        <x:v>529.543</x:v>
      </x:c>
      <x:c r="G30" s="19">
        <x:v>331.211</x:v>
      </x:c>
      <x:c r="H30" s="15" t="n">
        <x:f>G30</x:f>
        <x:v>331.211</x:v>
      </x:c>
    </x:row>
    <x:row r="31">
      <x:c r="B31" s="8" t="s">
        <x:v>184</x:v>
      </x:c>
      <x:c r="C31" s="19">
        <x:v>729.003</x:v>
      </x:c>
      <x:c r="D31" s="3" t="n">
        <x:f>C31</x:f>
        <x:v>729.003</x:v>
      </x:c>
      <x:c r="E31" s="19">
        <x:v>729.244</x:v>
      </x:c>
      <x:c r="F31" s="19">
        <x:v>754.699</x:v>
      </x:c>
      <x:c r="G31" s="19">
        <x:v>750.922</x:v>
      </x:c>
      <x:c r="H31" s="15" t="n">
        <x:f>G31</x:f>
        <x:v>750.922</x:v>
      </x:c>
    </x:row>
    <x:row r="32">
      <x:c r="B32" s="8" t="s">
        <x:v>185</x:v>
      </x:c>
      <x:c r="C32" s="19">
        <x:v>1954.418</x:v>
      </x:c>
      <x:c r="D32" s="3" t="n">
        <x:f>C32</x:f>
        <x:v>1954.418</x:v>
      </x:c>
      <x:c r="E32" s="19">
        <x:v>1984.271</x:v>
      </x:c>
      <x:c r="F32" s="19">
        <x:v>2008.341</x:v>
      </x:c>
      <x:c r="G32" s="19">
        <x:v>2006.289</x:v>
      </x:c>
      <x:c r="H32" s="36" t="n">
        <x:f>G32</x:f>
        <x:v>2006.289</x:v>
      </x:c>
    </x:row>
    <x:row r="33">
      <x:c r="B33" s="4" t="s">
        <x:v>186</x:v>
      </x:c>
      <x:c r="C33" s="18" t="n">
        <x:f>SUM(C26:C32)</x:f>
        <x:v>20352.097000000005</x:v>
      </x:c>
      <x:c r="D33" s="18" t="n">
        <x:f>SUM(D26:D32)</x:f>
        <x:v>20352.097000000005</x:v>
      </x:c>
      <x:c r="E33" s="18" t="n">
        <x:f>SUM(E26:E32)</x:f>
        <x:v>19896.521</x:v>
      </x:c>
      <x:c r="F33" s="18" t="n">
        <x:f>SUM(F26:F32)</x:f>
        <x:v>20957.440000000002</x:v>
      </x:c>
      <x:c r="G33" s="18" t="n">
        <x:f>SUM(G26:G32)</x:f>
        <x:v>21609.107</x:v>
      </x:c>
      <x:c r="H33" s="12" t="n">
        <x:f>SUM(H26:H32)</x:f>
        <x:v>21609.107</x:v>
      </x:c>
    </x:row>
    <x:row r="34">
      <x:c r="B34" s="8"/>
      <x:c r="C34" s="3"/>
      <x:c r="D34" s="3"/>
      <x:c r="E34" s="3"/>
      <x:c r="F34" s="3"/>
      <x:c r="G34" s="3"/>
      <x:c r="H34" s="15"/>
    </x:row>
    <x:row r="35">
      <x:c r="B35" s="8" t="s">
        <x:v>187</x:v>
      </x:c>
      <x:c r="C35" s="19">
        <x:v>5034.169</x:v>
      </x:c>
      <x:c r="D35" s="3" t="n">
        <x:f>C35</x:f>
        <x:v>5034.169</x:v>
      </x:c>
      <x:c r="E35" s="19">
        <x:v>5031.646</x:v>
      </x:c>
      <x:c r="F35" s="19">
        <x:v>5030.322</x:v>
      </x:c>
      <x:c r="G35" s="19">
        <x:v>5029.449</x:v>
      </x:c>
      <x:c r="H35" s="36" t="n">
        <x:f>G35</x:f>
        <x:v>5029.449</x:v>
      </x:c>
    </x:row>
    <x:row r="36">
      <x:c r="B36" s="8" t="s">
        <x:v>188</x:v>
      </x:c>
      <x:c r="C36" s="19">
        <x:v>642.361</x:v>
      </x:c>
      <x:c r="D36" s="3" t="n">
        <x:f>C36</x:f>
        <x:v>642.361</x:v>
      </x:c>
      <x:c r="E36" s="19">
        <x:v>727.393</x:v>
      </x:c>
      <x:c r="F36" s="19">
        <x:v>827.849</x:v>
      </x:c>
      <x:c r="G36" s="19">
        <x:v>1038.253</x:v>
      </x:c>
      <x:c r="H36" s="15" t="n">
        <x:f>G36</x:f>
        <x:v>1038.253</x:v>
      </x:c>
    </x:row>
    <x:row r="37">
      <x:c r="B37" s="8" t="s">
        <x:v>189</x:v>
      </x:c>
      <x:c r="C37" s="19">
        <x:v>1858.499</x:v>
      </x:c>
      <x:c r="D37" s="3" t="n">
        <x:f>C37</x:f>
        <x:v>1858.499</x:v>
      </x:c>
      <x:c r="E37" s="19">
        <x:v>1828.303</x:v>
      </x:c>
      <x:c r="F37" s="19">
        <x:v>1917.262</x:v>
      </x:c>
      <x:c r="G37" s="19">
        <x:v>1910.231</x:v>
      </x:c>
      <x:c r="H37" s="15" t="n">
        <x:f>G37</x:f>
        <x:v>1910.231</x:v>
      </x:c>
    </x:row>
    <x:row r="38">
      <x:c r="B38" s="8" t="s">
        <x:v>190</x:v>
      </x:c>
      <x:c r="C38" s="19">
        <x:v>471.931</x:v>
      </x:c>
      <x:c r="D38" s="3" t="n">
        <x:f>C38</x:f>
        <x:v>471.931</x:v>
      </x:c>
      <x:c r="E38" s="19">
        <x:v>459.236</x:v>
      </x:c>
      <x:c r="F38" s="19">
        <x:v>497.623</x:v>
      </x:c>
      <x:c r="G38" s="19">
        <x:v>551.538</x:v>
      </x:c>
      <x:c r="H38" s="15" t="n">
        <x:f>G38</x:f>
        <x:v>551.538</x:v>
      </x:c>
    </x:row>
    <x:row r="39">
      <x:c r="B39" s="8" t="s">
        <x:v>191</x:v>
      </x:c>
      <x:c r="C39" s="19">
        <x:v>1291.921</x:v>
      </x:c>
      <x:c r="D39" s="3" t="n">
        <x:f>C39</x:f>
        <x:v>1291.921</x:v>
      </x:c>
      <x:c r="E39" s="19">
        <x:v>1329.11</x:v>
      </x:c>
      <x:c r="F39" s="19">
        <x:v>1368.702</x:v>
      </x:c>
      <x:c r="G39" s="19">
        <x:v>1396.944</x:v>
      </x:c>
      <x:c r="H39" s="15" t="n">
        <x:f>G39</x:f>
        <x:v>1396.944</x:v>
      </x:c>
    </x:row>
    <x:row r="40">
      <x:c r="B40" s="8" t="s">
        <x:v>192</x:v>
      </x:c>
      <x:c r="C40" s="19">
        <x:v>2305.21</x:v>
      </x:c>
      <x:c r="D40" s="3" t="n">
        <x:f>C40</x:f>
        <x:v>2305.21</x:v>
      </x:c>
      <x:c r="E40" s="19">
        <x:v>2327.433</x:v>
      </x:c>
      <x:c r="F40" s="19">
        <x:v>2448.283</x:v>
      </x:c>
      <x:c r="G40" s="19">
        <x:v>2495.583</x:v>
      </x:c>
      <x:c r="H40" s="15" t="n">
        <x:f>G40</x:f>
        <x:v>2495.583</x:v>
      </x:c>
    </x:row>
    <x:row r="41">
      <x:c r="B41" s="8" t="s">
        <x:v>193</x:v>
      </x:c>
      <x:c r="C41" s="19">
        <x:v>1197.742</x:v>
      </x:c>
      <x:c r="D41" s="3" t="n">
        <x:f>C41</x:f>
        <x:v>1197.742</x:v>
      </x:c>
      <x:c r="E41" s="19">
        <x:v>1176.539</x:v>
      </x:c>
      <x:c r="F41" s="19">
        <x:v>1241.72</x:v>
      </x:c>
      <x:c r="G41" s="19">
        <x:v>1267.743</x:v>
      </x:c>
      <x:c r="H41" s="36" t="n">
        <x:f>G41</x:f>
        <x:v>1267.743</x:v>
      </x:c>
    </x:row>
    <x:row r="42">
      <x:c r="B42" s="4" t="s">
        <x:v>194</x:v>
      </x:c>
      <x:c r="C42" s="18" t="n">
        <x:f>SUM(C35:C41)</x:f>
        <x:v>12801.833</x:v>
      </x:c>
      <x:c r="D42" s="18" t="n">
        <x:f>SUM(D35:D41)</x:f>
        <x:v>12801.833</x:v>
      </x:c>
      <x:c r="E42" s="18" t="n">
        <x:f>SUM(E35:E41)</x:f>
        <x:v>12879.66</x:v>
      </x:c>
      <x:c r="F42" s="18" t="n">
        <x:f>SUM(F35:F41)</x:f>
        <x:v>13331.760999999999</x:v>
      </x:c>
      <x:c r="G42" s="18" t="n">
        <x:f>SUM(G35:G41)</x:f>
        <x:v>13689.741</x:v>
      </x:c>
      <x:c r="H42" s="12" t="n">
        <x:f>SUM(H35:H41)</x:f>
        <x:v>13689.741</x:v>
      </x:c>
    </x:row>
    <x:row r="43">
      <x:c r="B43" s="8" t="s">
        <x:v>195</x:v>
      </x:c>
      <x:c r="C43" s="19">
        <x:v>0</x:v>
      </x:c>
      <x:c r="D43" s="3" t="n">
        <x:f>C43</x:f>
        <x:v>0</x:v>
      </x:c>
      <x:c r="E43" s="3" t="n">
        <x:f>0</x:f>
        <x:v>0</x:v>
      </x:c>
      <x:c r="F43" s="19">
        <x:v>475.823</x:v>
      </x:c>
      <x:c r="G43" s="19">
        <x:v>493.874</x:v>
      </x:c>
      <x:c r="H43" s="36" t="n">
        <x:f>G43</x:f>
        <x:v>493.874</x:v>
      </x:c>
      <x:c r="J43" s="2" t="s">
        <x:v>196</x:v>
      </x:c>
    </x:row>
    <x:row r="44">
      <x:c r="B44" s="4" t="s">
        <x:v>197</x:v>
      </x:c>
      <x:c r="C44" s="18" t="n">
        <x:f>SUM(C33,C42,C43)</x:f>
        <x:v>33153.93000000001</x:v>
      </x:c>
      <x:c r="D44" s="18" t="n">
        <x:f>SUM(D33,D42,D43)</x:f>
        <x:v>33153.93000000001</x:v>
      </x:c>
      <x:c r="E44" s="18" t="n">
        <x:f>SUM(E33,E42,E43)</x:f>
        <x:v>32776.181</x:v>
      </x:c>
      <x:c r="F44" s="18" t="n">
        <x:f>SUM(F33,F42,F43)</x:f>
        <x:v>34765.024</x:v>
      </x:c>
      <x:c r="G44" s="18" t="n">
        <x:f>SUM(G33,G42,G43)</x:f>
        <x:v>35792.722</x:v>
      </x:c>
      <x:c r="H44" s="12" t="n">
        <x:f>SUM(H33,H42,H43)</x:f>
        <x:v>35792.722</x:v>
      </x:c>
      <x:c r="J44" s="2"/>
    </x:row>
    <x:row r="45">
      <x:c r="B45" s="8"/>
      <x:c r="C45" s="3"/>
      <x:c r="D45" s="3"/>
      <x:c r="E45" s="3"/>
      <x:c r="F45" s="3"/>
      <x:c r="G45" s="3"/>
      <x:c r="H45" s="15"/>
      <x:c r="J45" s="2"/>
    </x:row>
    <x:row r="46">
      <x:c r="B46" s="4" t="s">
        <x:v>198</x:v>
      </x:c>
      <x:c r="C46" s="17">
        <x:v>31195.446</x:v>
      </x:c>
      <x:c r="D46" s="18" t="n">
        <x:f>C46</x:f>
        <x:v>31195.446</x:v>
      </x:c>
      <x:c r="E46" s="17">
        <x:v>30867.503</x:v>
      </x:c>
      <x:c r="F46" s="17">
        <x:v>31210.676</x:v>
      </x:c>
      <x:c r="G46" s="17">
        <x:v>31890.566</x:v>
      </x:c>
      <x:c r="H46" s="47" t="n">
        <x:f>G46+(H9-G9)</x:f>
        <x:v>31610.566</x:v>
      </x:c>
      <x:c r="J46" s="2" t="s">
        <x:v>199</x:v>
      </x:c>
    </x:row>
    <x:row r="47">
      <x:c r="B47" s="8" t="s">
        <x:v>200</x:v>
      </x:c>
      <x:c r="C47" s="19">
        <x:v>1045.521</x:v>
      </x:c>
      <x:c r="D47" s="3" t="n">
        <x:f>C47</x:f>
        <x:v>1045.521</x:v>
      </x:c>
      <x:c r="E47" s="19">
        <x:v>1054.779</x:v>
      </x:c>
      <x:c r="F47" s="19">
        <x:v>1088.516</x:v>
      </x:c>
      <x:c r="G47" s="19">
        <x:v>1123.273</x:v>
      </x:c>
      <x:c r="H47" s="36" t="n">
        <x:f>G47</x:f>
        <x:v>1123.273</x:v>
      </x:c>
    </x:row>
    <x:row r="48">
      <x:c r="B48" s="4" t="s">
        <x:v>201</x:v>
      </x:c>
      <x:c r="C48" s="18" t="n">
        <x:f>SUM(C46:C47)</x:f>
        <x:v>32240.967</x:v>
      </x:c>
      <x:c r="D48" s="18" t="n">
        <x:f>SUM(D46:D47)</x:f>
        <x:v>32240.967</x:v>
      </x:c>
      <x:c r="E48" s="18" t="n">
        <x:f>SUM(E46:E47)</x:f>
        <x:v>31922.282</x:v>
      </x:c>
      <x:c r="F48" s="18" t="n">
        <x:f>SUM(F46:F47)</x:f>
        <x:v>32299.192</x:v>
      </x:c>
      <x:c r="G48" s="18" t="n">
        <x:f>SUM(G46:G47)</x:f>
        <x:v>33013.839</x:v>
      </x:c>
      <x:c r="H48" s="12" t="n">
        <x:f>SUM(H46:H47)</x:f>
        <x:v>32733.839</x:v>
      </x:c>
    </x:row>
    <x:row r="49" ht="48" customHeight="1">
      <x:c r="B49" s="4" t="s">
        <x:v>202</x:v>
      </x:c>
      <x:c r="C49" s="18" t="n">
        <x:f>C24-C44-C48</x:f>
        <x:v>-1.0913936421275139e-11</x:v>
      </x:c>
      <x:c r="D49" s="18" t="n">
        <x:f>D24-D44-D48</x:f>
        <x:v>-1.0913936421275139e-11</x:v>
      </x:c>
      <x:c r="E49" s="18" t="n">
        <x:f>E24-E44-E48</x:f>
        <x:v>1.4551915228366852e-11</x:v>
      </x:c>
      <x:c r="F49" s="18" t="n">
        <x:f>F24-F44-F48</x:f>
        <x:v>3.637978807091713e-12</x:v>
      </x:c>
      <x:c r="G49" s="18" t="n">
        <x:f>G24-G44-G48</x:f>
        <x:v>0</x:v>
      </x:c>
      <x:c r="H49" s="12" t="n">
        <x:f>H24-H44-H48</x:f>
        <x:v>0</x:v>
      </x:c>
      <x:c r="J49" s="63" t="str">
        <x:v>Forecast balance is an identity using residual equity, not a fully integrated three-statement forecast.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203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  <x:c r="K8" s="2" t="s">
        <x:v>204</x:v>
      </x:c>
      <x:c r="L8" s="2"/>
      <x:c r="M8" s="2"/>
      <x:c r="N8" s="2"/>
    </x:row>
    <x:row r="9">
      <x:c r="B9" s="8" t="s">
        <x:v>205</x:v>
      </x:c>
      <x:c r="C9" s="5" t="n">
        <x:f>'Income Statement'!C25</x:f>
        <x:v>1449.8059999999991</x:v>
      </x:c>
      <x:c r="D9" s="5" t="n">
        <x:f>'Income Statement'!D25</x:f>
        <x:v>7832.399999999981</x:v>
      </x:c>
      <x:c r="E9" s="5" t="n">
        <x:f>'Income Statement'!E25</x:f>
        <x:v>2241.8960000000006</x:v>
      </x:c>
      <x:c r="F9" s="5" t="n">
        <x:f>'Income Statement'!F25</x:f>
        <x:v>1859.3879999999986</x:v>
      </x:c>
      <x:c r="G9" s="5" t="n">
        <x:f>'Income Statement'!G25</x:f>
        <x:v>2387.893000000001</x:v>
      </x:c>
      <x:c r="H9" s="16" t="n">
        <x:f>'Income Statement'!H25</x:f>
        <x:v>2016.4618057439993</x:v>
      </x:c>
      <x:c r="K9" s="2"/>
      <x:c r="L9" s="56" t="s">
        <x:v>206</x:v>
      </x:c>
      <x:c r="M9" s="56" t="s">
        <x:v>207</x:v>
      </x:c>
      <x:c r="N9" s="56" t="s">
        <x:v>208</x:v>
      </x:c>
    </x:row>
    <x:row r="10">
      <x:c r="B10" s="8" t="s">
        <x:v>209</x:v>
      </x:c>
      <x:c r="C10" s="19">
        <x:v>758.932</x:v>
      </x:c>
      <x:c r="D10" s="19">
        <x:v>2441.594</x:v>
      </x:c>
      <x:c r="E10" s="3" t="n">
        <x:f>L10</x:f>
        <x:v>581.791</x:v>
      </x:c>
      <x:c r="F10" s="3" t="n">
        <x:f>M10-L10</x:f>
        <x:v>585.4999999999999</x:v>
      </x:c>
      <x:c r="G10" s="3" t="n">
        <x:f>N10-M10</x:f>
        <x:v>584.579</x:v>
      </x:c>
      <x:c r="H10" s="15" t="n">
        <x:f>G10</x:f>
        <x:v>584.579</x:v>
      </x:c>
      <x:c r="K10" s="2"/>
      <x:c r="L10" s="2">
        <x:v>581.791</x:v>
      </x:c>
      <x:c r="M10" s="2">
        <x:v>1167.291</x:v>
      </x:c>
      <x:c r="N10" s="2">
        <x:v>1751.87</x:v>
      </x:c>
    </x:row>
    <x:row r="11">
      <x:c r="B11" s="8" t="s">
        <x:v>210</x:v>
      </x:c>
      <x:c r="C11" s="19">
        <x:v>439.547</x:v>
      </x:c>
      <x:c r="D11" s="19">
        <x:v>2093.878</x:v>
      </x:c>
      <x:c r="E11" s="3" t="n">
        <x:f>L11</x:f>
        <x:v>468.992</x:v>
      </x:c>
      <x:c r="F11" s="3" t="n">
        <x:f>M11-L11</x:f>
        <x:v>713.386</x:v>
      </x:c>
      <x:c r="G11" s="3" t="n">
        <x:f>N11-M11</x:f>
        <x:v>462.1400000000001</x:v>
      </x:c>
      <x:c r="H11" s="36" t="n">
        <x:f>G11</x:f>
        <x:v>462.1400000000001</x:v>
      </x:c>
      <x:c r="K11" s="2"/>
      <x:c r="L11" s="2">
        <x:v>468.992</x:v>
      </x:c>
      <x:c r="M11" s="2">
        <x:v>1182.378</x:v>
      </x:c>
      <x:c r="N11" s="2">
        <x:v>1644.518</x:v>
      </x:c>
    </x:row>
    <x:row r="12">
      <x:c r="B12" s="8" t="s">
        <x:v>211</x:v>
      </x:c>
      <x:c r="C12" s="3" t="n">
        <x:f>C13-SUM(C9:C11)</x:f>
        <x:v>1265.8620000000005</x:v>
      </x:c>
      <x:c r="D12" s="3" t="n">
        <x:f>D13-SUM(D9:D11)</x:f>
        <x:v>-893.4729999999818</x:v>
      </x:c>
      <x:c r="E12" s="3" t="n">
        <x:f>E13-SUM(E9:E11)</x:f>
        <x:v>-1628.582000000001</x:v>
      </x:c>
      <x:c r="F12" s="3" t="n">
        <x:f>F13-SUM(F9:F11)</x:f>
        <x:v>659.3640000000014</x:v>
      </x:c>
      <x:c r="G12" s="3" t="n">
        <x:f>G13-SUM(G9:G11)</x:f>
        <x:v>351.59999999999945</x:v>
      </x:c>
      <x:c r="H12" s="15" t="n">
        <x:f>H13-SUM(H9:H11)</x:f>
        <x:v>-663.1808057439994</x:v>
      </x:c>
      <x:c r="K12" s="2"/>
      <x:c r="L12" s="2"/>
      <x:c r="M12" s="2"/>
      <x:c r="N12" s="2"/>
    </x:row>
    <x:row r="13">
      <x:c r="B13" s="4" t="s">
        <x:v>212</x:v>
      </x:c>
      <x:c r="C13" s="17">
        <x:v>3914.147</x:v>
      </x:c>
      <x:c r="D13" s="17">
        <x:v>11474.399</x:v>
      </x:c>
      <x:c r="E13" s="18" t="n">
        <x:f>L13</x:f>
        <x:v>1664.097</x:v>
      </x:c>
      <x:c r="F13" s="18" t="n">
        <x:f>M13-L13</x:f>
        <x:v>3817.638</x:v>
      </x:c>
      <x:c r="G13" s="18" t="n">
        <x:f>N13-M13</x:f>
        <x:v>3786.2120000000004</x:v>
      </x:c>
      <x:c r="H13" s="6" t="n">
        <x:f>Inputs!C146</x:f>
        <x:v>2400</x:v>
      </x:c>
      <x:c r="K13" s="2"/>
      <x:c r="L13" s="2">
        <x:v>1664.097</x:v>
      </x:c>
      <x:c r="M13" s="2">
        <x:v>5481.735</x:v>
      </x:c>
      <x:c r="N13" s="2">
        <x:v>9267.947</x:v>
      </x:c>
    </x:row>
    <x:row r="14">
      <x:c r="B14" s="8" t="s">
        <x:v>213</x:v>
      </x:c>
      <x:c r="C14" s="19">
        <x:v>-107.915</x:v>
      </x:c>
      <x:c r="D14" s="19">
        <x:v>-600.039</x:v>
      </x:c>
      <x:c r="E14" s="3" t="n">
        <x:f>L14</x:f>
        <x:v>-156.582</x:v>
      </x:c>
      <x:c r="F14" s="3" t="n">
        <x:f>M14-L14</x:f>
        <x:v>-149.685</x:v>
      </x:c>
      <x:c r="G14" s="3" t="n">
        <x:f>N14-M14</x:f>
        <x:v>-186.224</x:v>
      </x:c>
      <x:c r="H14" s="16" t="n">
        <x:f>Inputs!C141</x:f>
        <x:v>-220</x:v>
      </x:c>
      <x:c r="K14" s="2"/>
      <x:c r="L14" s="2">
        <x:v>-156.582</x:v>
      </x:c>
      <x:c r="M14" s="2">
        <x:v>-306.267</x:v>
      </x:c>
      <x:c r="N14" s="2">
        <x:v>-492.491</x:v>
      </x:c>
    </x:row>
    <x:row r="15">
      <x:c r="B15" s="8" t="s">
        <x:v>214</x:v>
      </x:c>
      <x:c r="C15" s="19">
        <x:v>-681.76</x:v>
      </x:c>
      <x:c r="D15" s="19">
        <x:v>-1471.255</x:v>
      </x:c>
      <x:c r="E15" s="3" t="n">
        <x:f>L15</x:f>
        <x:v>-373.794</x:v>
      </x:c>
      <x:c r="F15" s="3" t="n">
        <x:f>M15-L15</x:f>
        <x:v>-1593.971</x:v>
      </x:c>
      <x:c r="G15" s="3" t="n">
        <x:f>N15-M15</x:f>
        <x:v>-1036.238</x:v>
      </x:c>
      <x:c r="H15" s="16" t="n">
        <x:f>Inputs!C142</x:f>
        <x:v>-750</x:v>
      </x:c>
      <x:c r="K15" s="2"/>
      <x:c r="L15" s="2">
        <x:v>-373.794</x:v>
      </x:c>
      <x:c r="M15" s="2">
        <x:v>-1967.765</x:v>
      </x:c>
      <x:c r="N15" s="2">
        <x:v>-3004.003</x:v>
      </x:c>
    </x:row>
    <x:row r="16">
      <x:c r="B16" s="8" t="s">
        <x:v>215</x:v>
      </x:c>
      <x:c r="C16" s="19">
        <x:v>14.086</x:v>
      </x:c>
      <x:c r="D16" s="19">
        <x:v>36.834</x:v>
      </x:c>
      <x:c r="E16" s="3" t="n">
        <x:f>L16</x:f>
        <x:v>22.633</x:v>
      </x:c>
      <x:c r="F16" s="3" t="n">
        <x:f>M16-L16</x:f>
        <x:v>0.34800000000000253</x:v>
      </x:c>
      <x:c r="G16" s="3" t="n">
        <x:f>N16-M16</x:f>
        <x:v>13.673000000000002</x:v>
      </x:c>
      <x:c r="H16" s="16" t="n">
        <x:f>Inputs!C147</x:f>
        <x:v>0</x:v>
      </x:c>
      <x:c r="K16" s="2"/>
      <x:c r="L16" s="2">
        <x:v>22.633</x:v>
      </x:c>
      <x:c r="M16" s="2">
        <x:v>22.981</x:v>
      </x:c>
      <x:c r="N16" s="2">
        <x:v>36.654</x:v>
      </x:c>
    </x:row>
    <x:row r="17">
      <x:c r="B17" s="8" t="s">
        <x:v>216</x:v>
      </x:c>
      <x:c r="C17" s="19">
        <x:v>4.299</x:v>
      </x:c>
      <x:c r="D17" s="19">
        <x:v>14.81</x:v>
      </x:c>
      <x:c r="E17" s="3" t="n">
        <x:f>L17</x:f>
        <x:v>2.868</x:v>
      </x:c>
      <x:c r="F17" s="3" t="n">
        <x:f>M17-L17</x:f>
        <x:v>2.4310000000000005</x:v>
      </x:c>
      <x:c r="G17" s="3" t="n">
        <x:f>N17-M17</x:f>
        <x:v>2.2359999999999998</x:v>
      </x:c>
      <x:c r="H17" s="36" t="n">
        <x:f>Inputs!C147-Inputs!C147</x:f>
        <x:v>0</x:v>
      </x:c>
      <x:c r="K17" s="2"/>
      <x:c r="L17" s="2">
        <x:v>2.868</x:v>
      </x:c>
      <x:c r="M17" s="2">
        <x:v>5.299</x:v>
      </x:c>
      <x:c r="N17" s="2">
        <x:v>7.535</x:v>
      </x:c>
    </x:row>
    <x:row r="18">
      <x:c r="B18" s="4" t="s">
        <x:v>217</x:v>
      </x:c>
      <x:c r="C18" s="18" t="n">
        <x:f>SUM(C14:C17)</x:f>
        <x:v>-771.29</x:v>
      </x:c>
      <x:c r="D18" s="18" t="n">
        <x:f>SUM(D14:D17)</x:f>
        <x:v>-2019.6499999999999</x:v>
      </x:c>
      <x:c r="E18" s="18" t="n">
        <x:f>SUM(E14:E17)</x:f>
        <x:v>-504.875</x:v>
      </x:c>
      <x:c r="F18" s="18" t="n">
        <x:f>SUM(F14:F17)</x:f>
        <x:v>-1740.877</x:v>
      </x:c>
      <x:c r="G18" s="18" t="n">
        <x:f>SUM(G14:G17)</x:f>
        <x:v>-1206.5529999999999</x:v>
      </x:c>
      <x:c r="H18" s="12" t="n">
        <x:f>SUM(H14:H17)</x:f>
        <x:v>-970</x:v>
      </x:c>
      <x:c r="K18" s="2"/>
      <x:c r="L18" s="2"/>
      <x:c r="M18" s="2"/>
      <x:c r="N18" s="2"/>
    </x:row>
    <x:row r="19">
      <x:c r="B19" s="8" t="s">
        <x:v>218</x:v>
      </x:c>
      <x:c r="C19" s="19">
        <x:v>156.11</x:v>
      </x:c>
      <x:c r="D19" s="19">
        <x:v>1353.753</x:v>
      </x:c>
      <x:c r="E19" s="3" t="n">
        <x:f>L19</x:f>
        <x:v>466.199</x:v>
      </x:c>
      <x:c r="F19" s="3" t="n">
        <x:f>M19-L19</x:f>
        <x:v>289.455</x:v>
      </x:c>
      <x:c r="G19" s="3" t="n">
        <x:f>N19-M19</x:f>
        <x:v>452.12300000000005</x:v>
      </x:c>
      <x:c r="H19" s="36" t="n">
        <x:f>Inputs!C144</x:f>
        <x:v>400</x:v>
      </x:c>
      <x:c r="K19" s="2"/>
      <x:c r="L19" s="2">
        <x:v>466.199</x:v>
      </x:c>
      <x:c r="M19" s="2">
        <x:v>755.654</x:v>
      </x:c>
      <x:c r="N19" s="2">
        <x:v>1207.777</x:v>
      </x:c>
    </x:row>
    <x:row r="20">
      <x:c r="B20" s="8" t="s">
        <x:v>219</x:v>
      </x:c>
      <x:c r="C20" s="19">
        <x:v>-473.888</x:v>
      </x:c>
      <x:c r="D20" s="19">
        <x:v>-4619.497</x:v>
      </x:c>
      <x:c r="E20" s="3" t="n">
        <x:f>L20</x:f>
        <x:v>-2330.593</x:v>
      </x:c>
      <x:c r="F20" s="3" t="n">
        <x:f>M20-L20</x:f>
        <x:v>-1679.0590000000002</x:v>
      </x:c>
      <x:c r="G20" s="3" t="n">
        <x:f>N20-M20</x:f>
        <x:v>-1183.625</x:v>
      </x:c>
      <x:c r="H20" s="16" t="n">
        <x:f>Inputs!C143</x:f>
        <x:v>-1050</x:v>
      </x:c>
      <x:c r="K20" s="2"/>
      <x:c r="L20" s="2">
        <x:v>-2330.593</x:v>
      </x:c>
      <x:c r="M20" s="2">
        <x:v>-4009.652</x:v>
      </x:c>
      <x:c r="N20" s="2">
        <x:v>-5193.277</x:v>
      </x:c>
    </x:row>
    <x:row r="21">
      <x:c r="B21" s="8" t="s">
        <x:v>220</x:v>
      </x:c>
      <x:c r="C21" s="19">
        <x:v>0</x:v>
      </x:c>
      <x:c r="D21" s="19">
        <x:v>4129.2</x:v>
      </x:c>
      <x:c r="E21" s="3" t="n">
        <x:f>0</x:f>
        <x:v>0</x:v>
      </x:c>
      <x:c r="F21" s="3" t="n">
        <x:f>0</x:f>
        <x:v>0</x:v>
      </x:c>
      <x:c r="G21" s="3" t="n">
        <x:f>0</x:f>
        <x:v>0</x:v>
      </x:c>
      <x:c r="H21" s="15" t="n">
        <x:f>G21-G21</x:f>
        <x:v>0</x:v>
      </x:c>
      <x:c r="K21" s="2"/>
      <x:c r="L21" s="2" t="n">
        <x:f>0</x:f>
        <x:v>0</x:v>
      </x:c>
      <x:c r="M21" s="2" t="n">
        <x:f>0</x:f>
        <x:v>0</x:v>
      </x:c>
      <x:c r="N21" s="2" t="n">
        <x:f>0</x:f>
        <x:v>0</x:v>
      </x:c>
    </x:row>
    <x:row r="22">
      <x:c r="B22" s="8" t="s">
        <x:v>221</x:v>
      </x:c>
      <x:c r="C22" s="19">
        <x:v>-921.725</x:v>
      </x:c>
      <x:c r="D22" s="19">
        <x:v>-3700.169</x:v>
      </x:c>
      <x:c r="E22" s="3" t="n">
        <x:f>L22</x:f>
        <x:v>-1009.816</x:v>
      </x:c>
      <x:c r="F22" s="3" t="n">
        <x:f>M22-L22</x:f>
        <x:v>-1007.6959999999999</x:v>
      </x:c>
      <x:c r="G22" s="3" t="n">
        <x:f>N22-M22</x:f>
        <x:v>-995.3329999999999</x:v>
      </x:c>
      <x:c r="H22" s="16" t="n">
        <x:f>Inputs!C145</x:f>
        <x:v>-1000</x:v>
      </x:c>
      <x:c r="K22" s="2"/>
      <x:c r="L22" s="2">
        <x:v>-1009.816</x:v>
      </x:c>
      <x:c r="M22" s="2">
        <x:v>-2017.512</x:v>
      </x:c>
      <x:c r="N22" s="2">
        <x:v>-3012.845</x:v>
      </x:c>
    </x:row>
    <x:row r="23">
      <x:c r="B23" s="8" t="s">
        <x:v>222</x:v>
      </x:c>
      <x:c r="C23" s="19">
        <x:v>-35.571</x:v>
      </x:c>
      <x:c r="D23" s="19">
        <x:v>-111.621</x:v>
      </x:c>
      <x:c r="E23" s="3" t="n">
        <x:f>L23</x:f>
        <x:v>-36.84</x:v>
      </x:c>
      <x:c r="F23" s="3" t="n">
        <x:f>M23-L23</x:f>
        <x:v>-16.064999999999998</x:v>
      </x:c>
      <x:c r="G23" s="3" t="n">
        <x:f>N23-M23</x:f>
        <x:v>-39.31</x:v>
      </x:c>
      <x:c r="H23" s="36" t="n">
        <x:f>Inputs!C148</x:f>
        <x:v>-40</x:v>
      </x:c>
      <x:c r="K23" s="2"/>
      <x:c r="L23" s="2">
        <x:v>-36.84</x:v>
      </x:c>
      <x:c r="M23" s="2">
        <x:v>-52.905</x:v>
      </x:c>
      <x:c r="N23" s="2">
        <x:v>-92.215</x:v>
      </x:c>
    </x:row>
    <x:row r="24">
      <x:c r="B24" s="4" t="s">
        <x:v>223</x:v>
      </x:c>
      <x:c r="C24" s="18" t="n">
        <x:f>SUM(C19:C23)</x:f>
        <x:v>-1275.0739999999998</x:v>
      </x:c>
      <x:c r="D24" s="18" t="n">
        <x:f>SUM(D19:D23)</x:f>
        <x:v>-2948.3340000000007</x:v>
      </x:c>
      <x:c r="E24" s="18" t="n">
        <x:f>SUM(E19:E23)</x:f>
        <x:v>-2911.05</x:v>
      </x:c>
      <x:c r="F24" s="18" t="n">
        <x:f>SUM(F19:F23)</x:f>
        <x:v>-2413.3650000000002</x:v>
      </x:c>
      <x:c r="G24" s="18" t="n">
        <x:f>SUM(G19:G23)</x:f>
        <x:v>-1766.1449999999998</x:v>
      </x:c>
      <x:c r="H24" s="12" t="n">
        <x:f>SUM(H19:H23)</x:f>
        <x:v>-1690</x:v>
      </x:c>
      <x:c r="K24" s="2"/>
      <x:c r="L24" s="2"/>
      <x:c r="M24" s="2"/>
      <x:c r="N24" s="2"/>
    </x:row>
    <x:row r="25">
      <x:c r="B25" s="8" t="s">
        <x:v>224</x:v>
      </x:c>
      <x:c r="C25" s="19">
        <x:v>-20.661</x:v>
      </x:c>
      <x:c r="D25" s="19">
        <x:v>-32.155</x:v>
      </x:c>
      <x:c r="E25" s="3" t="n">
        <x:f>L25</x:f>
        <x:v>-77.496</x:v>
      </x:c>
      <x:c r="F25" s="3" t="n">
        <x:f>M25-L25</x:f>
        <x:v>86.38199999999999</x:v>
      </x:c>
      <x:c r="G25" s="3" t="n">
        <x:f>N25-M25</x:f>
        <x:v>-47.452</x:v>
      </x:c>
      <x:c r="H25" s="36" t="n">
        <x:f>Inputs!C149</x:f>
        <x:v>-20</x:v>
      </x:c>
      <x:c r="K25" s="2"/>
      <x:c r="L25" s="2">
        <x:v>-77.496</x:v>
      </x:c>
      <x:c r="M25" s="2">
        <x:v>8.886</x:v>
      </x:c>
      <x:c r="N25" s="2">
        <x:v>-38.566</x:v>
      </x:c>
    </x:row>
    <x:row r="26">
      <x:c r="B26" s="4" t="s">
        <x:v>225</x:v>
      </x:c>
      <x:c r="C26" s="18" t="n">
        <x:f>SUM(C13,C18,C24,C25)</x:f>
        <x:v>1847.122</x:v>
      </x:c>
      <x:c r="D26" s="18" t="n">
        <x:f>SUM(D13,D18,D24,D25)</x:f>
        <x:v>6474.259999999999</x:v>
      </x:c>
      <x:c r="E26" s="18" t="n">
        <x:f>SUM(E13,E18,E24,E25)</x:f>
        <x:v>-1829.3240000000003</x:v>
      </x:c>
      <x:c r="F26" s="18" t="n">
        <x:f>SUM(F13,F18,F24,F25)</x:f>
        <x:v>-250.22200000000026</x:v>
      </x:c>
      <x:c r="G26" s="18" t="n">
        <x:f>SUM(G13,G18,G24,G25)</x:f>
        <x:v>766.0620000000008</x:v>
      </x:c>
      <x:c r="H26" s="12" t="n">
        <x:f>SUM(H13,H18,H24,H25)</x:f>
        <x:v>-280</x:v>
      </x:c>
      <x:c r="K26" s="2"/>
      <x:c r="L26" s="2"/>
      <x:c r="M26" s="2"/>
      <x:c r="N26" s="2"/>
    </x:row>
    <x:row r="27">
      <x:c r="B27" s="8" t="s">
        <x:v>226</x:v>
      </x:c>
      <x:c r="C27" s="19">
        <x:v>9631.607</x:v>
      </x:c>
      <x:c r="D27" s="19">
        <x:v>5004.469</x:v>
      </x:c>
      <x:c r="E27" s="19" t="n">
        <x:f>C28</x:f>
        <x:v>11478.729</x:v>
      </x:c>
      <x:c r="F27" s="19" t="n">
        <x:f>E28</x:f>
        <x:v>9649.404999999999</x:v>
      </x:c>
      <x:c r="G27" s="19" t="n">
        <x:f>F28</x:f>
        <x:v>9399.182999999999</x:v>
      </x:c>
      <x:c r="H27" s="36" t="n">
        <x:f>G28</x:f>
        <x:v>10165.244999999999</x:v>
      </x:c>
      <x:c r="K27" s="2"/>
      <x:c r="L27" s="2"/>
      <x:c r="M27" s="2"/>
      <x:c r="N27" s="2"/>
    </x:row>
    <x:row r="28">
      <x:c r="B28" s="4" t="s">
        <x:v>227</x:v>
      </x:c>
      <x:c r="C28" s="18" t="n">
        <x:f>C27+C26</x:f>
        <x:v>11478.729</x:v>
      </x:c>
      <x:c r="D28" s="18" t="n">
        <x:f>D27+D26</x:f>
        <x:v>11478.729</x:v>
      </x:c>
      <x:c r="E28" s="18" t="n">
        <x:f>E27+E26</x:f>
        <x:v>9649.404999999999</x:v>
      </x:c>
      <x:c r="F28" s="18" t="n">
        <x:f>F27+F26</x:f>
        <x:v>9399.182999999999</x:v>
      </x:c>
      <x:c r="G28" s="18" t="n">
        <x:f>G27+G26</x:f>
        <x:v>10165.244999999999</x:v>
      </x:c>
      <x:c r="H28" s="12" t="n">
        <x:f>H27+H26</x:f>
        <x:v>9885.244999999999</x:v>
      </x:c>
      <x:c r="K28" s="2"/>
      <x:c r="L28" s="2"/>
      <x:c r="M28" s="2"/>
      <x:c r="N28" s="2"/>
    </x:row>
    <x:row r="29">
      <x:c r="B29" s="4" t="s">
        <x:v>228</x:v>
      </x:c>
      <x:c r="C29" s="13" t="n">
        <x:f>C28-'Balance Sheet'!C9</x:f>
        <x:v>0</x:v>
      </x:c>
      <x:c r="D29" s="13" t="n">
        <x:f>D28-'Balance Sheet'!D9</x:f>
        <x:v>0</x:v>
      </x:c>
      <x:c r="E29" s="13" t="n">
        <x:f>E28-'Balance Sheet'!E9</x:f>
        <x:v>-1.8189894035458565e-12</x:v>
      </x:c>
      <x:c r="F29" s="13" t="n">
        <x:f>F28-'Balance Sheet'!F9</x:f>
        <x:v>-1.8189894035458565e-12</x:v>
      </x:c>
      <x:c r="G29" s="13" t="n">
        <x:f>G28-'Balance Sheet'!G9</x:f>
        <x:v>-1.8189894035458565e-12</x:v>
      </x:c>
      <x:c r="H29" s="6" t="n">
        <x:f>H28-'Balance Sheet'!H9</x:f>
        <x:v>0</x:v>
      </x:c>
      <x:c r="K29" s="2"/>
      <x:c r="L29" s="2"/>
      <x:c r="M29" s="2"/>
      <x:c r="N29" s="2"/>
    </x:row>
    <x:row r="30">
      <x:c r="B30" s="4" t="s">
        <x:v>229</x:v>
      </x:c>
      <x:c r="C30" s="18" t="n">
        <x:f>C13+C14</x:f>
        <x:v>3806.232</x:v>
      </x:c>
      <x:c r="D30" s="18" t="n">
        <x:f>D13+D14</x:f>
        <x:v>10874.359999999999</x:v>
      </x:c>
      <x:c r="E30" s="18" t="n">
        <x:f>E13+E14</x:f>
        <x:v>1507.5149999999999</x:v>
      </x:c>
      <x:c r="F30" s="18" t="n">
        <x:f>F13+F14</x:f>
        <x:v>3667.953</x:v>
      </x:c>
      <x:c r="G30" s="18" t="n">
        <x:f>G13+G14</x:f>
        <x:v>3599.9880000000003</x:v>
      </x:c>
      <x:c r="H30" s="12" t="n">
        <x:f>H13+H14</x:f>
        <x:v>2180</x:v>
      </x:c>
      <x:c r="K30" s="2"/>
      <x:c r="L30" s="2"/>
      <x:c r="M30" s="2"/>
      <x:c r="N30" s="2"/>
    </x:row>
    <x:row r="31">
      <x:c r="B31" s="1" t="s">
        <x:v>230</x:v>
      </x:c>
      <x:c r="C31" s="9"/>
      <x:c r="D31" s="9"/>
      <x:c r="E31" s="9"/>
      <x:c r="F31" s="9"/>
      <x:c r="G31" s="9"/>
      <x:c r="H31" s="10" t="n">
        <x:f>H13/C13-1</x:f>
        <x:v>-0.38683958471667</x:v>
      </x:c>
      <x:c r="K31" s="2"/>
      <x:c r="L31" s="2"/>
      <x:c r="M31" s="2"/>
      <x:c r="N31" s="2"/>
    </x:row>
    <x:row r="32">
      <x:c r="B32" s="1" t="s">
        <x:v>231</x:v>
      </x:c>
      <x:c r="C32" s="37" t="n">
        <x:f>C30/'Revenue summary'!C30</x:f>
        <x:v>0.21630914751202815</x:v>
      </x:c>
      <x:c r="D32" s="37" t="n">
        <x:f>D30/'Revenue summary'!D30</x:f>
        <x:v>0.15607715456166027</x:v>
      </x:c>
      <x:c r="E32" s="37" t="n">
        <x:f>E30/'Revenue summary'!E30</x:f>
        <x:v>0.08043458252466035</x:v>
      </x:c>
      <x:c r="F32" s="37" t="n">
        <x:f>F30/'Revenue summary'!F30</x:f>
        <x:v>0.20327752070957844</x:v>
      </x:c>
      <x:c r="G32" s="37" t="n">
        <x:f>G30/'Revenue summary'!G30</x:f>
        <x:v>0.19232611951270384</x:v>
      </x:c>
      <x:c r="H32" s="23" t="n">
        <x:f>H30/'Revenue summary'!H30</x:f>
        <x:v>0.12054603041760924</x:v>
      </x:c>
      <x:c r="K32" s="2"/>
      <x:c r="L32" s="2"/>
      <x:c r="M32" s="2"/>
      <x:c r="N32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232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8"/>
      <x:c r="C9" s="3"/>
      <x:c r="D9" s="3"/>
      <x:c r="E9" s="3"/>
      <x:c r="F9" s="3"/>
      <x:c r="G9" s="3"/>
      <x:c r="H9" s="15"/>
    </x:row>
    <x:row r="10">
      <x:c r="B10" s="8" t="s">
        <x:v>233</x:v>
      </x:c>
      <x:c r="C10" s="5" t="n">
        <x:f>'Segment - Americas'!C18</x:f>
        <x:v>8804.391</x:v>
      </x:c>
      <x:c r="D10" s="5" t="n">
        <x:f>'Segment - Americas'!D18</x:f>
        <x:v>35056.715</x:v>
      </x:c>
      <x:c r="E10" s="5" t="n">
        <x:f>'Segment - Americas'!E18</x:f>
        <x:v>9080.059</x:v>
      </x:c>
      <x:c r="F10" s="5" t="n">
        <x:f>'Segment - Americas'!F18</x:f>
        <x:v>8896.402</x:v>
      </x:c>
      <x:c r="G10" s="5" t="n">
        <x:f>'Segment - Americas'!G18</x:f>
        <x:v>9137.772</x:v>
      </x:c>
      <x:c r="H10" s="16" t="n">
        <x:f>'Segment - Americas'!H18</x:f>
        <x:v>8892.434909999998</x:v>
      </x:c>
    </x:row>
    <x:row r="11">
      <x:c r="B11" s="1" t="s">
        <x:v>234</x:v>
      </x:c>
      <x:c r="C11" s="9" t="n">
        <x:f>C10/C22</x:f>
        <x:v>0.5003558142468911</x:v>
      </x:c>
      <x:c r="D11" s="9" t="n">
        <x:f>D10/D22</x:f>
        <x:v>0.5031608596256767</x:v>
      </x:c>
      <x:c r="E11" s="9" t="n">
        <x:f>E10/E22</x:f>
        <x:v>0.484473292116022</x:v>
      </x:c>
      <x:c r="F11" s="9" t="n">
        <x:f>F10/F22</x:f>
        <x:v>0.49303754486377965</x:v>
      </x:c>
      <x:c r="G11" s="9" t="n">
        <x:f>G10/G22</x:f>
        <x:v>0.48817724663299955</x:v>
      </x:c>
      <x:c r="H11" s="10" t="n">
        <x:f>H10/H22</x:f>
        <x:v>0.4917191418107661</x:v>
      </x:c>
    </x:row>
    <x:row r="12">
      <x:c r="B12" s="8"/>
      <x:c r="C12" s="3"/>
      <x:c r="D12" s="3"/>
      <x:c r="E12" s="3"/>
      <x:c r="F12" s="3"/>
      <x:c r="G12" s="3"/>
      <x:c r="H12" s="15"/>
    </x:row>
    <x:row r="13">
      <x:c r="B13" s="8"/>
      <x:c r="C13" s="3"/>
      <x:c r="D13" s="3"/>
      <x:c r="E13" s="3"/>
      <x:c r="F13" s="3"/>
      <x:c r="G13" s="3"/>
      <x:c r="H13" s="15"/>
    </x:row>
    <x:row r="14">
      <x:c r="B14" s="8" t="s">
        <x:v>235</x:v>
      </x:c>
      <x:c r="C14" s="5" t="n">
        <x:f>'Segment - EMEA'!C18</x:f>
        <x:v>6196.281</x:v>
      </x:c>
      <x:c r="D14" s="5" t="n">
        <x:f>'Segment - EMEA'!D18</x:f>
        <x:v>24643.957</x:v>
      </x:c>
      <x:c r="E14" s="5" t="n">
        <x:f>'Segment - EMEA'!E18</x:f>
        <x:v>6935.233</x:v>
      </x:c>
      <x:c r="F14" s="5" t="n">
        <x:f>'Segment - EMEA'!F18</x:f>
        <x:v>6569.391</x:v>
      </x:c>
      <x:c r="G14" s="5" t="n">
        <x:f>'Segment - EMEA'!G18</x:f>
        <x:v>6873.448</x:v>
      </x:c>
      <x:c r="H14" s="16" t="n">
        <x:f>'Segment - EMEA'!H18</x:f>
        <x:v>6518.487612</x:v>
      </x:c>
    </x:row>
    <x:row r="15">
      <x:c r="B15" s="1" t="s">
        <x:v>234</x:v>
      </x:c>
      <x:c r="C15" s="9" t="n">
        <x:f>C14/C22</x:f>
        <x:v>0.35213624940754457</x:v>
      </x:c>
      <x:c r="D15" s="9" t="n">
        <x:f>D14/D22</x:f>
        <x:v>0.3537089709831116</x:v>
      </x:c>
      <x:c r="E15" s="9" t="n">
        <x:f>E14/E22</x:f>
        <x:v>0.3700345078266205</x:v>
      </x:c>
      <x:c r="F15" s="9" t="n">
        <x:f>F14/F22</x:f>
        <x:v>0.3640748709298669</x:v>
      </x:c>
      <x:c r="G15" s="9" t="n">
        <x:f>G14/G22</x:f>
        <x:v>0.3672077744460135</x:v>
      </x:c>
      <x:c r="H15" s="10" t="n">
        <x:f>H14/H22</x:f>
        <x:v>0.3604485348408078</x:v>
      </x:c>
    </x:row>
    <x:row r="16">
      <x:c r="B16" s="8"/>
      <x:c r="C16" s="3"/>
      <x:c r="D16" s="3"/>
      <x:c r="E16" s="3"/>
      <x:c r="F16" s="3"/>
      <x:c r="G16" s="3"/>
      <x:c r="H16" s="15"/>
    </x:row>
    <x:row r="17">
      <x:c r="B17" s="8"/>
      <x:c r="C17" s="3"/>
      <x:c r="D17" s="3"/>
      <x:c r="E17" s="3"/>
      <x:c r="F17" s="3"/>
      <x:c r="G17" s="3"/>
      <x:c r="H17" s="15"/>
    </x:row>
    <x:row r="18">
      <x:c r="B18" s="8" t="s">
        <x:v>236</x:v>
      </x:c>
      <x:c r="C18" s="5" t="n">
        <x:f>'Segment - Asia Pacific'!C18</x:f>
        <x:v>2595.588</x:v>
      </x:c>
      <x:c r="D18" s="5" t="n">
        <x:f>'Segment - Asia Pacific'!D18</x:f>
        <x:v>9972.305</x:v>
      </x:c>
      <x:c r="E18" s="5" t="n">
        <x:f>'Segment - Asia Pacific'!E18</x:f>
        <x:v>2726.833</x:v>
      </x:c>
      <x:c r="F18" s="5" t="n">
        <x:f>'Segment - Asia Pacific'!F18</x:f>
        <x:v>2578.273</x:v>
      </x:c>
      <x:c r="G18" s="5" t="n">
        <x:f>'Segment - Asia Pacific'!G18</x:f>
        <x:v>2706.924</x:v>
      </x:c>
      <x:c r="H18" s="16" t="n">
        <x:f>'Segment - Asia Pacific'!H18</x:f>
        <x:v>2673.45564</x:v>
      </x:c>
    </x:row>
    <x:row r="19">
      <x:c r="B19" s="1" t="s">
        <x:v>234</x:v>
      </x:c>
      <x:c r="C19" s="9" t="n">
        <x:f>C18/C22</x:f>
        <x:v>0.14750793634556436</x:v>
      </x:c>
      <x:c r="D19" s="9" t="n">
        <x:f>D18/D22</x:f>
        <x:v>0.1431301693912118</x:v>
      </x:c>
      <x:c r="E19" s="9" t="n">
        <x:f>E18/E22</x:f>
        <x:v>0.14549220005735744</x:v>
      </x:c>
      <x:c r="F19" s="9" t="n">
        <x:f>F18/F22</x:f>
        <x:v>0.1428875842063535</x:v>
      </x:c>
      <x:c r="G19" s="9" t="n">
        <x:f>G18/G22</x:f>
        <x:v>0.14461497892098704</x:v>
      </x:c>
      <x:c r="H19" s="10" t="n">
        <x:f>H18/H22</x:f>
        <x:v>0.14783232334842614</x:v>
      </x:c>
    </x:row>
    <x:row r="20">
      <x:c r="B20" s="8"/>
      <x:c r="C20" s="3"/>
      <x:c r="D20" s="3"/>
      <x:c r="E20" s="3"/>
      <x:c r="F20" s="3"/>
      <x:c r="G20" s="3"/>
      <x:c r="H20" s="15"/>
    </x:row>
    <x:row r="21">
      <x:c r="B21" s="8"/>
      <x:c r="C21" s="3"/>
      <x:c r="D21" s="3"/>
      <x:c r="E21" s="3"/>
      <x:c r="F21" s="3"/>
      <x:c r="G21" s="3"/>
      <x:c r="H21" s="15"/>
    </x:row>
    <x:row r="22">
      <x:c r="B22" s="4" t="s">
        <x:v>237</x:v>
      </x:c>
      <x:c r="C22" s="18" t="n">
        <x:f>SUM(C10,C14,C18)</x:f>
        <x:v>17596.26</x:v>
      </x:c>
      <x:c r="D22" s="18" t="n">
        <x:f>SUM(D10,D14,D18)</x:f>
        <x:v>69672.97699999998</x:v>
      </x:c>
      <x:c r="E22" s="18" t="n">
        <x:f>SUM(E10,E14,E18)</x:f>
        <x:v>18742.125</x:v>
      </x:c>
      <x:c r="F22" s="18" t="n">
        <x:f>SUM(F10,F14,F18)</x:f>
        <x:v>18044.066</x:v>
      </x:c>
      <x:c r="G22" s="18" t="n">
        <x:f>SUM(G10,G14,G18)</x:f>
        <x:v>18718.144</x:v>
      </x:c>
      <x:c r="H22" s="12" t="n">
        <x:f>SUM(H10,H14,H18)</x:f>
        <x:v>18084.378161999997</x:v>
      </x:c>
    </x:row>
    <x:row r="23">
      <x:c r="B23" s="4" t="s">
        <x:v>238</x:v>
      </x:c>
      <x:c r="C23" s="13" t="n">
        <x:f>C22-'Revenue summary'!C30</x:f>
        <x:v>0</x:v>
      </x:c>
      <x:c r="D23" s="13" t="n">
        <x:f>D22-'Revenue summary'!D30</x:f>
        <x:v>0</x:v>
      </x:c>
      <x:c r="E23" s="13" t="n">
        <x:f>E22-'Revenue summary'!E30</x:f>
        <x:v>0</x:v>
      </x:c>
      <x:c r="F23" s="13" t="n">
        <x:f>F22-'Revenue summary'!F30</x:f>
        <x:v>0</x:v>
      </x:c>
      <x:c r="G23" s="13" t="n">
        <x:f>G22-'Revenue summary'!G30</x:f>
        <x:v>0</x:v>
      </x:c>
      <x:c r="H23" s="6" t="n">
        <x:f>H22-'Revenue summary'!H30</x:f>
        <x:v>0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2.5" customWidth="1"/>
    <x:col min="9" max="9" width="3" customWidth="1"/>
    <x:col min="10" max="10" width="65" hidden="0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239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8"/>
      <x:c r="C8" s="3"/>
      <x:c r="D8" s="3"/>
      <x:c r="E8" s="3"/>
      <x:c r="F8" s="3"/>
      <x:c r="G8" s="3"/>
      <x:c r="H8" s="15"/>
    </x:row>
    <x:row r="9">
      <x:c r="B9" s="8" t="s">
        <x:v>240</x:v>
      </x:c>
      <x:c r="C9" s="3"/>
      <x:c r="D9" s="3"/>
      <x:c r="E9" s="3"/>
      <x:c r="F9" s="3"/>
      <x:c r="G9" s="3"/>
      <x:c r="H9" s="15" t="n">
        <x:f>G15</x:f>
        <x:v>611.862</x:v>
      </x:c>
    </x:row>
    <x:row r="10">
      <x:c r="B10" s="8" t="s">
        <x:v>241</x:v>
      </x:c>
      <x:c r="C10" s="3"/>
      <x:c r="D10" s="3"/>
      <x:c r="E10" s="3"/>
      <x:c r="F10" s="3"/>
      <x:c r="G10" s="3"/>
      <x:c r="H10" s="15" t="n">
        <x:f>H19/H21</x:f>
        <x:v>-5.918493884222986</x:v>
      </x:c>
    </x:row>
    <x:row r="11">
      <x:c r="B11" s="8" t="s">
        <x:v>242</x:v>
      </x:c>
      <x:c r="C11" s="3"/>
      <x:c r="D11" s="3"/>
      <x:c r="E11" s="3"/>
      <x:c r="F11" s="3"/>
      <x:c r="G11" s="3"/>
      <x:c r="H11" s="15" t="n">
        <x:f>H20/H21</x:f>
        <x:v>2.2546643368468517</x:v>
      </x:c>
    </x:row>
    <x:row r="12" ht="48" customHeight="1">
      <x:c r="B12" s="4" t="s">
        <x:v>243</x:v>
      </x:c>
      <x:c r="C12" s="13" t="n">
        <x:f>'Income Statement'!C31</x:f>
        <x:v>622.635814</x:v>
      </x:c>
      <x:c r="D12" s="13" t="n">
        <x:f>'Income Statement'!D31</x:f>
        <x:v>624.891649</x:v>
      </x:c>
      <x:c r="E12" s="13" t="n">
        <x:f>'Income Statement'!E31</x:f>
        <x:v>619.307086</x:v>
      </x:c>
      <x:c r="F12" s="13" t="n">
        <x:f>'Income Statement'!F31</x:f>
        <x:v>616.992111</x:v>
      </x:c>
      <x:c r="G12" s="13" t="n">
        <x:f>'Income Statement'!G31</x:f>
        <x:v>612.213453</x:v>
      </x:c>
      <x:c r="H12" s="6" t="n">
        <x:f>Inputs!C138</x:f>
        <x:v>609</x:v>
      </x:c>
      <x:c r="J12" s="63" t="str">
        <x:v>Weighted-average shares are independent forecast assumptions (609 basic, 613.5 diluted), not the illustrative closing-share rollforward.</x:v>
      </x:c>
    </x:row>
    <x:row r="13">
      <x:c r="B13" s="4" t="s">
        <x:v>244</x:v>
      </x:c>
      <x:c r="C13" s="13" t="n">
        <x:f>'Income Statement'!C32</x:f>
        <x:v>629.418129</x:v>
      </x:c>
      <x:c r="D13" s="13" t="n">
        <x:f>'Income Statement'!D32</x:f>
        <x:v>632.435108</x:v>
      </x:c>
      <x:c r="E13" s="13" t="n">
        <x:f>'Income Statement'!E32</x:f>
        <x:v>626.04304</x:v>
      </x:c>
      <x:c r="F13" s="13" t="n">
        <x:f>'Income Statement'!F32</x:f>
        <x:v>622.640891</x:v>
      </x:c>
      <x:c r="G13" s="13" t="n">
        <x:f>'Income Statement'!G32</x:f>
        <x:v>615.593409</x:v>
      </x:c>
      <x:c r="H13" s="6" t="n">
        <x:f>Inputs!C139</x:f>
        <x:v>613.5</x:v>
      </x:c>
    </x:row>
    <x:row r="14">
      <x:c r="B14" s="8" t="s">
        <x:v>245</x:v>
      </x:c>
      <x:c r="C14" s="3" t="n">
        <x:f>C13-C12</x:f>
        <x:v>6.78231500000004</x:v>
      </x:c>
      <x:c r="D14" s="3" t="n">
        <x:f>D13-D12</x:f>
        <x:v>7.543458999999984</x:v>
      </x:c>
      <x:c r="E14" s="3" t="n">
        <x:f>E13-E12</x:f>
        <x:v>6.7359539999999924</x:v>
      </x:c>
      <x:c r="F14" s="3" t="n">
        <x:f>F13-F12</x:f>
        <x:v>5.648779999999988</x:v>
      </x:c>
      <x:c r="G14" s="3" t="n">
        <x:f>G13-G12</x:f>
        <x:v>3.379955999999993</x:v>
      </x:c>
      <x:c r="H14" s="15" t="n">
        <x:f>H13-H12</x:f>
        <x:v>4.5</x:v>
      </x:c>
    </x:row>
    <x:row r="15">
      <x:c r="B15" s="4" t="s">
        <x:v>246</x:v>
      </x:c>
      <x:c r="C15" s="18"/>
      <x:c r="D15" s="18"/>
      <x:c r="E15" s="18"/>
      <x:c r="F15" s="18"/>
      <x:c r="G15" s="17">
        <x:v>611.862</x:v>
      </x:c>
      <x:c r="H15" s="12" t="n">
        <x:f>SUM(H9:H11)</x:f>
        <x:v>608.1981704526238</x:v>
      </x:c>
    </x:row>
    <x:row r="16">
      <x:c r="B16" s="1" t="s">
        <x:v>247</x:v>
      </x:c>
      <x:c r="C16" s="9"/>
      <x:c r="D16" s="9"/>
      <x:c r="E16" s="9"/>
      <x:c r="F16" s="9"/>
      <x:c r="G16" s="9"/>
      <x:c r="H16" s="10" t="n">
        <x:f>H12/C12-1</x:f>
        <x:v>-0.021900144022232504</x:v>
      </x:c>
    </x:row>
    <x:row r="17">
      <x:c r="B17" s="1" t="s">
        <x:v>248</x:v>
      </x:c>
      <x:c r="C17" s="9"/>
      <x:c r="D17" s="9"/>
      <x:c r="E17" s="9"/>
      <x:c r="F17" s="9"/>
      <x:c r="G17" s="9"/>
      <x:c r="H17" s="10" t="n">
        <x:f>H13/C13-1</x:f>
        <x:v>-0.02529022960506433</x:v>
      </x:c>
    </x:row>
    <x:row r="18">
      <x:c r="B18" s="8" t="s">
        <x:v>249</x:v>
      </x:c>
      <x:c r="C18" s="3"/>
      <x:c r="D18" s="3"/>
      <x:c r="E18" s="3" t="n">
        <x:f>E13-C13</x:f>
        <x:v>-3.3750890000000027</x:v>
      </x:c>
      <x:c r="F18" s="3" t="n">
        <x:f>F13-E13</x:f>
        <x:v>-3.4021490000000085</x:v>
      </x:c>
      <x:c r="G18" s="3" t="n">
        <x:f>G13-F13</x:f>
        <x:v>-7.047482000000059</x:v>
      </x:c>
      <x:c r="H18" s="15" t="n">
        <x:f>H13-G13</x:f>
        <x:v>-2.0934089999999514</x:v>
      </x:c>
    </x:row>
    <x:row r="19">
      <x:c r="B19" s="8" t="s">
        <x:v>250</x:v>
      </x:c>
      <x:c r="C19" s="3"/>
      <x:c r="D19" s="3"/>
      <x:c r="E19" s="3"/>
      <x:c r="F19" s="3"/>
      <x:c r="G19" s="3"/>
      <x:c r="H19" s="16" t="n">
        <x:f>Inputs!C143</x:f>
        <x:v>-1050</x:v>
      </x:c>
    </x:row>
    <x:row r="20">
      <x:c r="B20" s="8" t="s">
        <x:v>251</x:v>
      </x:c>
      <x:c r="C20" s="3"/>
      <x:c r="D20" s="3"/>
      <x:c r="E20" s="3"/>
      <x:c r="F20" s="3"/>
      <x:c r="G20" s="3"/>
      <x:c r="H20" s="16" t="n">
        <x:f>Inputs!C144</x:f>
        <x:v>400</x:v>
      </x:c>
    </x:row>
    <x:row r="21">
      <x:c r="B21" s="8" t="s">
        <x:v>252</x:v>
      </x:c>
      <x:c r="C21" s="27"/>
      <x:c r="D21" s="27"/>
      <x:c r="E21" s="27"/>
      <x:c r="F21" s="27"/>
      <x:c r="G21" s="27"/>
      <x:c r="H21" s="21" t="n">
        <x:f>Inputs!C62</x:f>
        <x:v>177.41</x:v>
      </x:c>
    </x:row>
    <x:row r="22">
      <x:c r="B22" s="8" t="s">
        <x:v>253</x:v>
      </x:c>
      <x:c r="C22" s="11" t="n">
        <x:f>'Income Statement'!C33</x:f>
        <x:v>2.2485672636226197</x:v>
      </x:c>
      <x:c r="D22" s="11" t="n">
        <x:f>'Income Statement'!D33</x:f>
        <x:v>12.152508459413328</x:v>
      </x:c>
      <x:c r="E22" s="11" t="n">
        <x:f>'Income Statement'!E33</x:f>
        <x:v>3.5359294146932783</x:v>
      </x:c>
      <x:c r="F22" s="11" t="n">
        <x:f>'Income Statement'!F33</x:f>
        <x:v>2.934200156796317</x:v>
      </x:c>
      <x:c r="G22" s="11" t="n">
        <x:f>'Income Statement'!G33</x:f>
        <x:v>3.8031466318054763</x:v>
      </x:c>
      <x:c r="H22" s="21" t="n">
        <x:f>'Income Statement'!H33</x:f>
        <x:v>3.205316716779135</x:v>
      </x:c>
    </x:row>
    <x:row r="23">
      <x:c r="B23" s="8" t="s">
        <x:v>254</x:v>
      </x:c>
      <x:c r="C23" s="11" t="n">
        <x:f>'Income Statement'!C41</x:f>
        <x:v>3.0261282798227103</x:v>
      </x:c>
      <x:c r="D23" s="11" t="n">
        <x:f>'Income Statement'!D41</x:f>
        <x:v>12.926360185557538</x:v>
      </x:c>
      <x:c r="E23" s="11" t="n">
        <x:f>'Income Statement'!E41</x:f>
        <x:v>3.9357565575683116</x:v>
      </x:c>
      <x:c r="F23" s="11" t="n">
        <x:f>'Income Statement'!F41</x:f>
        <x:v>2.934200156796317</x:v>
      </x:c>
      <x:c r="G23" s="11" t="n">
        <x:f>'Income Statement'!G41</x:f>
        <x:v>3.8031466318054763</x:v>
      </x:c>
      <x:c r="H23" s="21" t="n">
        <x:f>'Income Statement'!H41</x:f>
        <x:v>3.205316716779135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8" width="14" customWidth="1"/>
    <x:col min="9" max="9" width="16" hidden="0" customWidth="1"/>
    <x:col min="10" max="10" width="65" hidden="0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255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2"/>
      <x:c r="C8" s="2"/>
      <x:c r="D8" s="2"/>
      <x:c r="E8" s="2"/>
      <x:c r="F8" s="2"/>
      <x:c r="G8" s="2"/>
      <x:c r="H8" s="33"/>
    </x:row>
    <x:row r="9">
      <x:c r="B9" s="8" t="s">
        <x:v>256</x:v>
      </x:c>
      <x:c r="C9" s="56" t="s">
        <x:v>257</x:v>
      </x:c>
      <x:c r="D9" s="2" t="s">
        <x:v>3</x:v>
      </x:c>
      <x:c r="E9" s="56" t="s">
        <x:v>258</x:v>
      </x:c>
      <x:c r="F9" s="56" t="s">
        <x:v>259</x:v>
      </x:c>
      <x:c r="G9" s="56" t="s">
        <x:v>260</x:v>
      </x:c>
      <x:c r="H9" s="57" t="s">
        <x:v>261</x:v>
      </x:c>
      <x:c r="I9" s="56" t="s">
        <x:v>262</x:v>
      </x:c>
    </x:row>
    <x:row r="10">
      <x:c r="B10" s="4" t="s">
        <x:v>263</x:v>
      </x:c>
      <x:c r="C10" s="26">
        <x:v>46191</x:v>
      </x:c>
      <x:c r="D10" s="42" t="s">
        <x:v>264</x:v>
      </x:c>
      <x:c r="E10" s="44">
        <x:v>17750</x:v>
      </x:c>
      <x:c r="F10" s="44">
        <x:v>18400</x:v>
      </x:c>
      <x:c r="G10" s="42" t="n">
        <x:f>AVERAGE(E10:F10)</x:f>
        <x:v>18075</x:v>
      </x:c>
      <x:c r="H10" s="58" t="n">
        <x:f>'Revenue summary'!H30</x:f>
        <x:v>18084.378161999997</x:v>
      </x:c>
      <x:c r="I10" s="56" t="n">
        <x:f>H10-G10</x:f>
        <x:v>9.378161999997246</x:v>
      </x:c>
    </x:row>
    <x:row r="11">
      <x:c r="B11" s="1" t="s">
        <x:v>265</x:v>
      </x:c>
      <x:c r="C11" s="31">
        <x:v>46191</x:v>
      </x:c>
      <x:c r="D11" s="35" t="s">
        <x:v>264</x:v>
      </x:c>
      <x:c r="E11" s="22">
        <x:v>0.01</x:v>
      </x:c>
      <x:c r="F11" s="22">
        <x:v>0.05</x:v>
      </x:c>
      <x:c r="G11" s="9" t="n">
        <x:f>AVERAGE(E11:F11)</x:f>
        <x:v>0.030000000000000002</x:v>
      </x:c>
      <x:c r="H11" s="59"/>
      <x:c r="I11" s="60"/>
    </x:row>
    <x:row r="12">
      <x:c r="B12" s="1" t="s">
        <x:v>266</x:v>
      </x:c>
      <x:c r="C12" s="31">
        <x:v>46191</x:v>
      </x:c>
      <x:c r="D12" s="35" t="s">
        <x:v>264</x:v>
      </x:c>
      <x:c r="E12" s="22">
        <x:v>-0.005</x:v>
      </x:c>
      <x:c r="F12" s="22">
        <x:v>-0.005</x:v>
      </x:c>
      <x:c r="G12" s="9" t="n">
        <x:f>AVERAGE(E12:F12)</x:f>
        <x:v>-0.005</x:v>
      </x:c>
      <x:c r="H12" s="59"/>
      <x:c r="I12" s="60"/>
    </x:row>
    <x:row r="13">
      <x:c r="B13" s="1" t="s">
        <x:v>267</x:v>
      </x:c>
      <x:c r="C13" s="31">
        <x:v>46191</x:v>
      </x:c>
      <x:c r="D13" s="35" t="s">
        <x:v>268</x:v>
      </x:c>
      <x:c r="E13" s="22">
        <x:v>0.03</x:v>
      </x:c>
      <x:c r="F13" s="22">
        <x:v>0.04</x:v>
      </x:c>
      <x:c r="G13" s="9" t="n">
        <x:f>AVERAGE(E13:F13)</x:f>
        <x:v>0.035</x:v>
      </x:c>
      <x:c r="H13" s="59"/>
      <x:c r="I13" s="60"/>
    </x:row>
    <x:row r="14">
      <x:c r="B14" s="1" t="s">
        <x:v>269</x:v>
      </x:c>
      <x:c r="C14" s="31">
        <x:v>46191</x:v>
      </x:c>
      <x:c r="D14" s="35" t="s">
        <x:v>268</x:v>
      </x:c>
      <x:c r="E14" s="22">
        <x:v>0.04</x:v>
      </x:c>
      <x:c r="F14" s="22">
        <x:v>0.05</x:v>
      </x:c>
      <x:c r="G14" s="9" t="n">
        <x:f>AVERAGE(E14:F14)</x:f>
        <x:v>0.045</x:v>
      </x:c>
      <x:c r="H14" s="59"/>
      <x:c r="I14" s="60"/>
    </x:row>
    <x:row r="15">
      <x:c r="B15" s="1" t="s">
        <x:v>270</x:v>
      </x:c>
      <x:c r="C15" s="31">
        <x:v>46191</x:v>
      </x:c>
      <x:c r="D15" s="35" t="s">
        <x:v>268</x:v>
      </x:c>
      <x:c r="E15" s="22">
        <x:v>0.02</x:v>
      </x:c>
      <x:c r="F15" s="22">
        <x:v>0.02</x:v>
      </x:c>
      <x:c r="G15" s="9" t="n">
        <x:f>AVERAGE(E15:F15)</x:f>
        <x:v>0.02</x:v>
      </x:c>
      <x:c r="H15" s="59"/>
      <x:c r="I15" s="60"/>
    </x:row>
    <x:row r="16">
      <x:c r="B16" s="1" t="s">
        <x:v>271</x:v>
      </x:c>
      <x:c r="C16" s="31">
        <x:v>46191</x:v>
      </x:c>
      <x:c r="D16" s="35" t="s">
        <x:v>268</x:v>
      </x:c>
      <x:c r="E16" s="22">
        <x:v>0.153</x:v>
      </x:c>
      <x:c r="F16" s="22">
        <x:v>0.153</x:v>
      </x:c>
      <x:c r="G16" s="9" t="n">
        <x:f>AVERAGE(E16:F16)</x:f>
        <x:v>0.153</x:v>
      </x:c>
      <x:c r="H16" s="59"/>
      <x:c r="I16" s="60"/>
    </x:row>
    <x:row r="17">
      <x:c r="B17" s="1" t="s">
        <x:v>272</x:v>
      </x:c>
      <x:c r="C17" s="31">
        <x:v>46191</x:v>
      </x:c>
      <x:c r="D17" s="35" t="s">
        <x:v>268</x:v>
      </x:c>
      <x:c r="E17" s="22">
        <x:v>0.158</x:v>
      </x:c>
      <x:c r="F17" s="22">
        <x:v>0.158</x:v>
      </x:c>
      <x:c r="G17" s="9" t="n">
        <x:f>AVERAGE(E17:F17)</x:f>
        <x:v>0.158</x:v>
      </x:c>
      <x:c r="H17" s="59"/>
      <x:c r="I17" s="60"/>
    </x:row>
    <x:row r="18">
      <x:c r="B18" s="1" t="s">
        <x:v>273</x:v>
      </x:c>
      <x:c r="C18" s="31">
        <x:v>46191</x:v>
      </x:c>
      <x:c r="D18" s="35" t="s">
        <x:v>268</x:v>
      </x:c>
      <x:c r="E18" s="22">
        <x:v>0.24</x:v>
      </x:c>
      <x:c r="F18" s="22">
        <x:v>0.25</x:v>
      </x:c>
      <x:c r="G18" s="9" t="n">
        <x:f>AVERAGE(E18:F18)</x:f>
        <x:v>0.245</x:v>
      </x:c>
      <x:c r="H18" s="59"/>
      <x:c r="I18" s="60"/>
    </x:row>
    <x:row r="19" ht="48" customHeight="1">
      <x:c r="B19" s="4" t="s">
        <x:v>274</x:v>
      </x:c>
      <x:c r="C19" s="26">
        <x:v>46191</x:v>
      </x:c>
      <x:c r="D19" s="30" t="s">
        <x:v>268</x:v>
      </x:c>
      <x:c r="E19" s="29">
        <x:v>13.38</x:v>
      </x:c>
      <x:c r="F19" s="29">
        <x:v>13.5</x:v>
      </x:c>
      <x:c r="G19" s="30" t="n">
        <x:f>AVERAGE(E19:F19)</x:f>
        <x:v>13.440000000000001</x:v>
      </x:c>
      <x:c r="H19" s="61" t="n">
        <x:f>SUM('Income Statement'!E33:H33)</x:f>
        <x:v>13.478592920074208</x:v>
      </x:c>
      <x:c r="I19" s="56" t="n">
        <x:f>H19-G19</x:f>
        <x:v>0.03859292007420656</x:v>
      </x:c>
      <x:c r="J19" s="63" t="str">
        <x:v>Annual EPS reference is approximate. Quarterly EPS are not additive when weighted shares vary.</x:v>
      </x:c>
    </x:row>
    <x:row r="20">
      <x:c r="B20" s="4" t="s">
        <x:v>275</x:v>
      </x:c>
      <x:c r="C20" s="26">
        <x:v>46191</x:v>
      </x:c>
      <x:c r="D20" s="30" t="s">
        <x:v>268</x:v>
      </x:c>
      <x:c r="E20" s="29">
        <x:v>13.78</x:v>
      </x:c>
      <x:c r="F20" s="29">
        <x:v>13.9</x:v>
      </x:c>
      <x:c r="G20" s="30" t="n">
        <x:f>AVERAGE(E20:F20)</x:f>
        <x:v>13.84</x:v>
      </x:c>
      <x:c r="H20" s="61" t="n">
        <x:f>SUM('Income Statement'!E41:H41)</x:f>
        <x:v>13.87842006294924</x:v>
      </x:c>
      <x:c r="I20" s="56" t="n">
        <x:f>H20-G20</x:f>
        <x:v>0.03842006294924083</x:v>
      </x:c>
    </x:row>
    <x:row r="21">
      <x:c r="B21" s="8" t="s">
        <x:v>276</x:v>
      </x:c>
      <x:c r="C21" s="38">
        <x:v>46191</x:v>
      </x:c>
      <x:c r="D21" s="2" t="s">
        <x:v>268</x:v>
      </x:c>
      <x:c r="E21" s="34">
        <x:v>11500</x:v>
      </x:c>
      <x:c r="F21" s="34">
        <x:v>12200</x:v>
      </x:c>
      <x:c r="G21" s="2" t="n">
        <x:f>AVERAGE(E21:F21)</x:f>
        <x:v>11850</x:v>
      </x:c>
      <x:c r="H21" s="65" t="n">
        <x:f>SUM('Cash Flow Statement'!E13:H13)</x:f>
        <x:v>11667.947</x:v>
      </x:c>
      <x:c r="I21" s="66" t="n">
        <x:f>H21-G21</x:f>
        <x:v>-182.05299999999988</x:v>
      </x:c>
    </x:row>
    <x:row r="22">
      <x:c r="B22" s="8" t="s">
        <x:v>277</x:v>
      </x:c>
      <x:c r="C22" s="38">
        <x:v>46191</x:v>
      </x:c>
      <x:c r="D22" s="2" t="s">
        <x:v>268</x:v>
      </x:c>
      <x:c r="E22" s="34">
        <x:v>700</x:v>
      </x:c>
      <x:c r="F22" s="34">
        <x:v>700</x:v>
      </x:c>
      <x:c r="G22" s="2" t="n">
        <x:f>AVERAGE(E22:F22)</x:f>
        <x:v>700</x:v>
      </x:c>
      <x:c r="H22" s="65" t="n">
        <x:f>-SUM('Cash Flow Statement'!E14:H14)</x:f>
        <x:v>712.491</x:v>
      </x:c>
      <x:c r="I22" s="66" t="n">
        <x:f>H22-G22</x:f>
        <x:v>12.490999999999985</x:v>
      </x:c>
    </x:row>
    <x:row r="23">
      <x:c r="B23" s="8" t="s">
        <x:v>278</x:v>
      </x:c>
      <x:c r="C23" s="38">
        <x:v>46191</x:v>
      </x:c>
      <x:c r="D23" s="2" t="s">
        <x:v>268</x:v>
      </x:c>
      <x:c r="E23" s="34">
        <x:v>10800</x:v>
      </x:c>
      <x:c r="F23" s="34">
        <x:v>11500</x:v>
      </x:c>
      <x:c r="G23" s="2" t="n">
        <x:f>AVERAGE(E23:F23)</x:f>
        <x:v>11150</x:v>
      </x:c>
      <x:c r="H23" s="65" t="n">
        <x:f>SUM('Cash Flow Statement'!E30:H30)</x:f>
        <x:v>10955.456</x:v>
      </x:c>
      <x:c r="I23" s="66" t="n">
        <x:f>H23-G23</x:f>
        <x:v>-194.54399999999987</x:v>
      </x:c>
    </x:row>
    <x:row r="24">
      <x:c r="B24" s="8" t="s">
        <x:v>279</x:v>
      </x:c>
      <x:c r="C24" s="38">
        <x:v>46191</x:v>
      </x:c>
      <x:c r="D24" s="2" t="s">
        <x:v>268</x:v>
      </x:c>
      <x:c r="E24" s="34">
        <x:v>9500</x:v>
      </x:c>
      <x:c r="F24" s="2"/>
      <x:c r="G24" s="2"/>
      <x:c r="H24" s="57"/>
      <x:c r="I24" s="56"/>
    </x:row>
    <x:row r="25">
      <x:c r="B25" s="8"/>
      <x:c r="C25" s="2"/>
      <x:c r="D25" s="2"/>
      <x:c r="E25" s="2"/>
      <x:c r="F25" s="2"/>
      <x:c r="G25" s="2"/>
      <x:c r="H25" s="33"/>
      <x:c r="I25" s="2"/>
    </x:row>
    <x:row r="26">
      <x:c r="B26" s="4" t="s">
        <x:v>280</x:v>
      </x:c>
      <x:c r="C26" s="30"/>
      <x:c r="D26" s="30"/>
      <x:c r="E26" s="30"/>
      <x:c r="F26" s="30"/>
      <x:c r="G26" s="20" t="n">
        <x:f>G20-SUM(Inputs!D120,Inputs!D121,Inputs!D122)</x:f>
        <x:v>3.17</x:v>
      </x:c>
      <x:c r="H26" s="39"/>
      <x:c r="I26" s="2"/>
    </x:row>
    <x:row r="27">
      <x:c r="B27" s="8" t="s">
        <x:v>281</x:v>
      </x:c>
      <x:c r="C27" s="27"/>
      <x:c r="D27" s="27"/>
      <x:c r="E27" s="27"/>
      <x:c r="F27" s="27"/>
      <x:c r="G27" s="11" t="n">
        <x:f>Inputs!C19</x:f>
        <x:v>3.18</x:v>
      </x:c>
      <x:c r="H27" s="25"/>
      <x:c r="I27" s="2"/>
    </x:row>
    <x:row r="28">
      <x:c r="B28" s="8" t="s">
        <x:v>282</x:v>
      </x:c>
      <x:c r="C28" s="27"/>
      <x:c r="D28" s="27"/>
      <x:c r="E28" s="27"/>
      <x:c r="F28" s="27"/>
      <x:c r="G28" s="27" t="n">
        <x:f>H20-G20</x:f>
        <x:v>0.03842006294924083</x:v>
      </x:c>
      <x:c r="H28" s="25"/>
      <x:c r="I28" s="2"/>
    </x:row>
    <x:row r="29">
      <x:c r="B29" s="8" t="s">
        <x:v>283</x:v>
      </x:c>
      <x:c r="C29" s="27"/>
      <x:c r="D29" s="27"/>
      <x:c r="E29" s="27"/>
      <x:c r="F29" s="27"/>
      <x:c r="G29" s="11" t="n">
        <x:f>G19-SUM(Inputs!F120,Inputs!F121,Inputs!F122)</x:f>
        <x:v>3.1700000000000017</x:v>
      </x:c>
      <x:c r="H29" s="25"/>
      <x:c r="I29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65" hidden="0" customWidth="1"/>
    <x:col min="3" max="3" width="18" customWidth="1"/>
    <x:col min="4" max="4" width="20" customWidth="1"/>
    <x:col min="5" max="5" width="53" customWidth="1"/>
    <x:col min="6" max="6" width="55" customWidth="1"/>
    <x:col min="7" max="8" width="14" customWidth="1"/>
    <x:col min="9" max="9" width="3" customWidth="1"/>
    <x:col min="10" max="10" width="77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284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2"/>
      <x:c r="C8" s="2"/>
      <x:c r="D8" s="2"/>
      <x:c r="E8" s="2"/>
      <x:c r="F8" s="2"/>
      <x:c r="G8" s="2"/>
      <x:c r="H8" s="33"/>
    </x:row>
    <x:row r="9">
      <x:c r="B9" s="2" t="s">
        <x:v>285</x:v>
      </x:c>
      <x:c r="C9" s="56" t="s">
        <x:v>286</x:v>
      </x:c>
      <x:c r="D9" s="2" t="s">
        <x:v>287</x:v>
      </x:c>
      <x:c r="E9" s="2" t="s">
        <x:v>288</x:v>
      </x:c>
      <x:c r="F9" s="2" t="s">
        <x:v>289</x:v>
      </x:c>
      <x:c r="G9" s="2"/>
      <x:c r="H9" s="33"/>
      <x:c r="J9" s="2" t="s">
        <x:v>290</x:v>
      </x:c>
    </x:row>
    <x:row r="10" ht="27.75">
      <x:c r="B10" s="2" t="s">
        <x:v>291</x:v>
      </x:c>
      <x:c r="C10" s="64">
        <x:v>46289</x:v>
      </x:c>
      <x:c r="D10" s="2" t="s">
        <x:v>292</x:v>
      </x:c>
      <x:c r="E10" s="8" t="s">
        <x:v>293</x:v>
      </x:c>
      <x:c r="F10" s="8" t="s">
        <x:v>294</x:v>
      </x:c>
      <x:c r="G10" s="2"/>
      <x:c r="H10" s="33"/>
      <x:c r="J10" s="2"/>
    </x:row>
    <x:row r="11" ht="27.75">
      <x:c r="B11" s="2" t="s">
        <x:v>295</x:v>
      </x:c>
      <x:c r="C11" s="64">
        <x:v>46289</x:v>
      </x:c>
      <x:c r="D11" s="2" t="s">
        <x:v>292</x:v>
      </x:c>
      <x:c r="E11" s="8" t="s">
        <x:v>296</x:v>
      </x:c>
      <x:c r="F11" s="8" t="s">
        <x:v>297</x:v>
      </x:c>
      <x:c r="G11" s="2"/>
      <x:c r="H11" s="33"/>
      <x:c r="J11" s="2"/>
    </x:row>
    <x:row r="12" ht="27.75">
      <x:c r="B12" s="2" t="s">
        <x:v>298</x:v>
      </x:c>
      <x:c r="C12" s="64">
        <x:v>46191</x:v>
      </x:c>
      <x:c r="D12" s="2" t="s">
        <x:v>299</x:v>
      </x:c>
      <x:c r="E12" s="8" t="s">
        <x:v>300</x:v>
      </x:c>
      <x:c r="F12" s="8" t="s">
        <x:v>301</x:v>
      </x:c>
      <x:c r="G12" s="2"/>
      <x:c r="H12" s="33"/>
      <x:c r="J12" s="2"/>
    </x:row>
    <x:row r="13" ht="27.75">
      <x:c r="B13" s="2" t="s">
        <x:v>302</x:v>
      </x:c>
      <x:c r="C13" s="64">
        <x:v>46100</x:v>
      </x:c>
      <x:c r="D13" s="2" t="s">
        <x:v>299</x:v>
      </x:c>
      <x:c r="E13" s="8" t="s">
        <x:v>303</x:v>
      </x:c>
      <x:c r="F13" s="8" t="s">
        <x:v>304</x:v>
      </x:c>
      <x:c r="G13" s="2"/>
      <x:c r="H13" s="33"/>
      <x:c r="J13" s="2"/>
    </x:row>
    <x:row r="14" ht="27.75">
      <x:c r="B14" s="2" t="s">
        <x:v>305</x:v>
      </x:c>
      <x:c r="C14" s="64">
        <x:v>46009</x:v>
      </x:c>
      <x:c r="D14" s="2" t="s">
        <x:v>299</x:v>
      </x:c>
      <x:c r="E14" s="8" t="s">
        <x:v>306</x:v>
      </x:c>
      <x:c r="F14" s="8" t="s">
        <x:v>307</x:v>
      </x:c>
      <x:c r="G14" s="2"/>
      <x:c r="H14" s="33"/>
      <x:c r="J14" s="2"/>
    </x:row>
    <x:row r="15" ht="27.75">
      <x:c r="B15" s="2" t="s">
        <x:v>308</x:v>
      </x:c>
      <x:c r="C15" s="64">
        <x:v>45940</x:v>
      </x:c>
      <x:c r="D15" s="2" t="s">
        <x:v>299</x:v>
      </x:c>
      <x:c r="E15" s="8" t="s">
        <x:v>309</x:v>
      </x:c>
      <x:c r="F15" s="8" t="s">
        <x:v>310</x:v>
      </x:c>
      <x:c r="G15" s="2"/>
      <x:c r="H15" s="33"/>
      <x:c r="J15" s="2"/>
    </x:row>
    <x:row r="16" ht="27.75">
      <x:c r="B16" s="2" t="s">
        <x:v>311</x:v>
      </x:c>
      <x:c r="C16" s="64">
        <x:v>45925</x:v>
      </x:c>
      <x:c r="D16" s="2" t="s">
        <x:v>299</x:v>
      </x:c>
      <x:c r="E16" s="8" t="s">
        <x:v>312</x:v>
      </x:c>
      <x:c r="F16" s="8" t="s">
        <x:v>313</x:v>
      </x:c>
      <x:c r="G16" s="2"/>
      <x:c r="H16" s="33"/>
      <x:c r="J16" s="2"/>
    </x:row>
    <x:row r="17" ht="27.75">
      <x:c r="B17" s="2" t="s">
        <x:v>314</x:v>
      </x:c>
      <x:c r="C17" s="64">
        <x:v>46191</x:v>
      </x:c>
      <x:c r="D17" s="2" t="s">
        <x:v>299</x:v>
      </x:c>
      <x:c r="E17" s="8" t="s">
        <x:v>315</x:v>
      </x:c>
      <x:c r="F17" s="8" t="s">
        <x:v>316</x:v>
      </x:c>
      <x:c r="G17" s="2"/>
      <x:c r="H17" s="33"/>
      <x:c r="J17" s="2"/>
    </x:row>
    <x:row r="18" ht="27.75">
      <x:c r="B18" s="2" t="s">
        <x:v>317</x:v>
      </x:c>
      <x:c r="C18" s="64">
        <x:v>46280</x:v>
      </x:c>
      <x:c r="D18" s="2" t="s">
        <x:v>318</x:v>
      </x:c>
      <x:c r="E18" s="8" t="s">
        <x:v>319</x:v>
      </x:c>
      <x:c r="F18" s="8" t="s">
        <x:v>320</x:v>
      </x:c>
      <x:c r="G18" s="2"/>
      <x:c r="H18" s="33"/>
      <x:c r="J18" s="2"/>
    </x:row>
    <x:row r="19" ht="27.75">
      <x:c r="B19" s="2" t="s">
        <x:v>321</x:v>
      </x:c>
      <x:c r="C19" s="64">
        <x:v>46283</x:v>
      </x:c>
      <x:c r="D19" s="2" t="s">
        <x:v>322</x:v>
      </x:c>
      <x:c r="E19" s="8" t="s">
        <x:v>323</x:v>
      </x:c>
      <x:c r="F19" s="8" t="s">
        <x:v>324</x:v>
      </x:c>
      <x:c r="G19" s="2"/>
      <x:c r="H19" s="33"/>
      <x:c r="J19" s="2"/>
    </x:row>
    <x:row r="20" ht="27.75">
      <x:c r="B20" s="2" t="s">
        <x:v>325</x:v>
      </x:c>
      <x:c r="C20" s="64">
        <x:v>46290</x:v>
      </x:c>
      <x:c r="D20" s="2" t="s">
        <x:v>326</x:v>
      </x:c>
      <x:c r="E20" s="8" t="s">
        <x:v>327</x:v>
      </x:c>
      <x:c r="F20" s="8" t="s">
        <x:v>328</x:v>
      </x:c>
      <x:c r="G20" s="2"/>
      <x:c r="H20" s="33"/>
      <x:c r="J20" s="2"/>
    </x:row>
    <x:row r="21" ht="27.75">
      <x:c r="B21" s="2" t="s">
        <x:v>329</x:v>
      </x:c>
      <x:c r="C21" s="64">
        <x:v>46293</x:v>
      </x:c>
      <x:c r="D21" s="2" t="s">
        <x:v>330</x:v>
      </x:c>
      <x:c r="E21" s="8" t="s">
        <x:v>331</x:v>
      </x:c>
      <x:c r="F21" s="8" t="s">
        <x:v>332</x:v>
      </x:c>
      <x:c r="G21" s="2"/>
      <x:c r="H21" s="33"/>
      <x:c r="J21" s="2"/>
    </x:row>
    <x:row r="22" ht="27.75">
      <x:c r="B22" s="2" t="s">
        <x:v>333</x:v>
      </x:c>
      <x:c r="C22" s="64">
        <x:v>46293</x:v>
      </x:c>
      <x:c r="D22" s="2" t="s">
        <x:v>334</x:v>
      </x:c>
      <x:c r="E22" s="8" t="s">
        <x:v>335</x:v>
      </x:c>
      <x:c r="F22" s="8" t="s">
        <x:v>336</x:v>
      </x:c>
      <x:c r="G22" s="2"/>
      <x:c r="H22" s="33"/>
      <x:c r="J22" s="2"/>
    </x:row>
    <x:row r="23" ht="27.75">
      <x:c r="B23" s="2" t="s">
        <x:v>337</x:v>
      </x:c>
      <x:c r="C23" s="64">
        <x:v>46276</x:v>
      </x:c>
      <x:c r="D23" s="2" t="s">
        <x:v>338</x:v>
      </x:c>
      <x:c r="E23" s="8" t="s">
        <x:v>339</x:v>
      </x:c>
      <x:c r="F23" s="8" t="s">
        <x:v>340</x:v>
      </x:c>
      <x:c r="G23" s="2"/>
      <x:c r="H23" s="33"/>
      <x:c r="J23" s="2"/>
    </x:row>
    <x:row r="24" ht="27.75">
      <x:c r="B24" s="2" t="s">
        <x:v>341</x:v>
      </x:c>
      <x:c r="C24" s="43">
        <x:v>46232</x:v>
      </x:c>
      <x:c r="D24" s="2" t="s">
        <x:v>342</x:v>
      </x:c>
      <x:c r="E24" s="8" t="s">
        <x:v>343</x:v>
      </x:c>
      <x:c r="F24" s="8" t="s">
        <x:v>344</x:v>
      </x:c>
      <x:c r="G24" s="2"/>
      <x:c r="H24" s="33"/>
      <x:c r="J24" s="2"/>
    </x:row>
    <x:row r="25" ht="27.75">
      <x:c r="B25" s="2" t="s">
        <x:v>345</x:v>
      </x:c>
      <x:c r="C25" s="43">
        <x:v>46276</x:v>
      </x:c>
      <x:c r="D25" s="2" t="s">
        <x:v>346</x:v>
      </x:c>
      <x:c r="E25" s="8" t="s">
        <x:v>347</x:v>
      </x:c>
      <x:c r="F25" s="8" t="s">
        <x:v>348</x:v>
      </x:c>
      <x:c r="G25" s="2"/>
      <x:c r="H25" s="33"/>
      <x:c r="J25" s="2"/>
    </x:row>
    <x:row r="26">
      <x:c r="B26" s="2"/>
      <x:c r="C26" s="2"/>
      <x:c r="D26" s="2"/>
      <x:c r="E26" s="2"/>
      <x:c r="F26" s="2"/>
      <x:c r="G26" s="2"/>
      <x:c r="H26" s="33"/>
      <x:c r="J26" s="2" t="s">
        <x:v>349</x:v>
      </x:c>
    </x:row>
    <x:row r="27">
      <x:c r="B27" s="2"/>
      <x:c r="C27" s="2"/>
      <x:c r="D27" s="2"/>
      <x:c r="E27" s="2"/>
      <x:c r="F27" s="2"/>
      <x:c r="G27" s="2"/>
      <x:c r="H27" s="33"/>
      <x:c r="J27" s="2" t="s">
        <x:v>350</x:v>
      </x:c>
    </x:row>
    <x:row r="28">
      <x:c r="B28" s="2"/>
      <x:c r="C28" s="2"/>
      <x:c r="D28" s="2"/>
      <x:c r="E28" s="2"/>
      <x:c r="F28" s="2"/>
      <x:c r="G28" s="2"/>
      <x:c r="H28" s="33"/>
      <x:c r="J28" s="2" t="s">
        <x:v>351</x:v>
      </x:c>
    </x:row>
    <x:row r="29">
      <x:c r="B29" s="2"/>
      <x:c r="C29" s="2"/>
      <x:c r="D29" s="2"/>
      <x:c r="E29" s="2"/>
      <x:c r="F29" s="2"/>
      <x:c r="G29" s="2"/>
      <x:c r="H29" s="33"/>
      <x:c r="J29" s="2" t="s">
        <x:v>352</x:v>
      </x:c>
    </x:row>
    <x:row r="30">
      <x:c r="B30" s="2"/>
      <x:c r="C30" s="2"/>
      <x:c r="D30" s="2"/>
      <x:c r="E30" s="2"/>
      <x:c r="F30" s="2"/>
      <x:c r="G30" s="2"/>
      <x:c r="H30" s="33"/>
      <x:c r="J30" s="2" t="s">
        <x:v>353</x:v>
      </x:c>
    </x:row>
    <x:row r="33" ht="48" customHeight="1">
      <x:c r="B33" s="63" t="str">
        <x:v>Review limitations and retained assumptions</x:v>
      </x:c>
    </x:row>
    <x:row r="34" ht="48" customHeight="1">
      <x:c r="B34" s="63" t="str">
        <x:v>F01: Beginning-cash cells for 1Q26–3Q26 are blank; cash rollforward is broken and stale caches hide it. Set E27 '=C28', F27 '=E28' and G27 '=F28' (safe patches below), then recalculate before distribution.</x:v>
      </x:c>
    </x:row>
    <x:row r="35" ht="48" customHeight="1">
      <x:c r="B35" s="63" t="str">
        <x:v>F02: Overall PASS check is blind to the broken cash checks and contains tautologies. Extend C25 to include MAX(ABS('Cash Flow Statement'!C29:G29)), MAX(ABS('Balance Sheet'!C49:G49)), 'Income Statement'!D53 and 'Revenue summary'!D74. Drop the self-referential equality tests. Label H49 and H29 as construction identities, not independent validation.</x:v>
      </x:c>
    </x:row>
    <x:row r="36" ht="48" customHeight="1">
      <x:c r="B36" s="63" t="str">
        <x:v>F03: Forecast equity is a cash-change plug, not a retained-earnings rollforward. Either roll equity forward from NI, dividends, repurchases, issuance and SBC, with acquisitions to goodwill/intangibles and capex/D&amp;A to PP&amp;E, and let the balance check test that. Or relabel H49 as 'identity by construction (plug)' and exclude it from Cover PASS.</x:v>
      </x:c>
    </x:row>
    <x:row r="37" ht="48" customHeight="1">
      <x:c r="B37" s="63" t="str">
        <x:v>F04: Q4 G&amp;A is a residual plug; the stated G&amp;A input is unused. The analyst should state which driver is authoritative: segment cost ratios with G&amp;A as residual, or G&amp;A input with a reconciling segment/corporate line. Then either delete the orphan Inputs C131 or wire it in with an explicit corporate/unallocated reconciliation. Do not change silently.</x:v>
      </x:c>
    </x:row>
    <x:row r="38" ht="48" customHeight="1">
      <x:c r="B38" s="63" t="str">
        <x:v>F05: Share rollforward does not drive the weighted-average share inputs used in EPS. Document the basis for 609/613.5, or link H12 to the average of opening and closing shares, and label H11 as an approximation. The choice is judgmental; no patch is proposed.</x:v>
      </x:c>
    </x:row>
    <x:row r="39" ht="48" customHeight="1">
      <x:c r="B39" s="63" t="str">
        <x:v>F06: FY26 EPS computed by summing quarterly EPS. Compute FY EPS as SUM of the FY numerator divided by the FY weighted diluted shares (period-day weighted, or the issuer's annual share count once available), and label the method. Keep the Q4 EPS unchanged.</x:v>
      </x:c>
    </x:row>
    <x:row r="40" ht="48" customHeight="1">
      <x:c r="B40" s="63" t="str">
        <x:v>F07: Missing FX/M&amp;A data coded as zero, so 'organic/local-currency growth' equals reported growth for FY25, 1Q26 and 2Q26. Replace the zero FX/M&amp;A placeholders with an explicit 'Unavailable' treatment (e.g. NA() with IFERROR display, or text with dependent organic cells also set to 'Unavailable'). Alternatively, source issuer local-currency growth for FY25, 1Q26 and 2Q26. Not patched because text would break dependent formulas.</x:v>
      </x:c>
    </x:row>
    <x:row r="41" ht="48" customHeight="1">
      <x:c r="B41" s="63" t="str">
        <x:v>F08: Forecast cash-flow plugs and zeros disguised as formulas. Label H12 as a residual. Replace the disguised zeros with explicit 0 inputs or links. Map Inputs!C147 to row 17 'Other investing' or rename the input.</x:v>
      </x:c>
    </x:row>
    <x:row r="42" ht="48" customHeight="1">
      <x:c r="B42" s="63" t="str">
        <x:v>F09: Normalized NI comparison may mix bases (includes the exchangeable add-back). Confirm the CapIQ definition. If it is parent-attributable, link C19 to 'Income Statement'!H39 or relabel the row.</x:v>
      </x:c>
    </x:row>
    <x:row r="43" ht="48" customHeight="1">
      <x:c r="B43" s="63" t="str">
        <x:v>F10: Calibration arithmetic verified, but the final probability relies on an undocumented hardcoded adjustment and third-party size/index evidence. Document the evidence and rationale for the −0.104 adjustment (or report 0.874 as the calibrated value alongside the judgmental override). Cite a primary S&amp;P DJI constituent source and the cohort definition behind 0.78. Keep the probability out of EPS.</x:v>
      </x:c>
    </x:row>
    <x:row r="44" ht="48" customHeight="1">
      <x:c r="B44" s="63" t="str">
        <x:v>F11: Forecast Y/Y margin and EPS deltas compare a normalized forecast against the GAAP 4Q25 base that includes optimization charges. Add adjusted-basis Y/Y rows, or footnote that the Y/Y bp is GAAP-to-forecast and distorted by 4Q25 charges.</x:v>
      </x:c>
    </x:row>
    <x:row r="46" ht="48" customHeight="1">
      <x:c r="B46" s="63" t="str">
        <x:v>These review findings document limitations. Safe mechanical patches were applied. Judgmental forecast drivers remain as generated before results and are not hindsight-adjusted. The final beat probability is a judgmental estimate, not a calibrated accuracy claim or EPS multiplier.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9" customWidth="1"/>
    <x:col min="3" max="3" width="35" customWidth="1"/>
    <x:col min="4" max="9" width="21" customWidth="1"/>
    <x:col min="10" max="10" width="18" customWidth="1"/>
  </x:cols>
  <x:sheetData>
    <x:row r="2">
      <x:c r="B2" s="32" t="s">
        <x:v>0</x:v>
      </x:c>
      <x:c r="C2" s="2"/>
      <x:c r="D2" s="2"/>
      <x:c r="E2" s="2"/>
      <x:c r="F2" s="2"/>
      <x:c r="G2" s="2"/>
      <x:c r="H2" s="2"/>
    </x:row>
    <x:row r="3">
      <x:c r="B3" s="28" t="s">
        <x:v>354</x:v>
      </x:c>
      <x:c r="C3" s="2"/>
      <x:c r="D3" s="2"/>
      <x:c r="E3" s="2"/>
      <x:c r="F3" s="2"/>
      <x:c r="G3" s="2"/>
      <x:c r="H3" s="2"/>
    </x:row>
    <x:row r="4">
      <x:c r="B4" s="2" t="s">
        <x:v>2</x:v>
      </x:c>
      <x:c r="C4" s="2"/>
      <x:c r="D4" s="2"/>
      <x:c r="E4" s="2"/>
      <x:c r="F4" s="2"/>
      <x:c r="G4" s="2"/>
      <x:c r="H4" s="2"/>
    </x:row>
    <x:row r="5">
      <x:c r="B5" s="14" t="s">
        <x:v>3</x:v>
      </x:c>
      <x:c r="C5" s="52" t="s">
        <x:v>4</x:v>
      </x:c>
      <x:c r="D5" s="52" t="s">
        <x:v>5</x:v>
      </x:c>
      <x:c r="E5" s="52" t="s">
        <x:v>6</x:v>
      </x:c>
      <x:c r="F5" s="52" t="s">
        <x:v>7</x:v>
      </x:c>
      <x:c r="G5" s="52" t="s">
        <x:v>8</x:v>
      </x:c>
      <x:c r="H5" s="52" t="s">
        <x:v>9</x:v>
      </x:c>
    </x:row>
    <x:row r="6">
      <x:c r="B6" s="14" t="s">
        <x:v>10</x:v>
      </x:c>
      <x:c r="C6" s="7">
        <x:v>45900</x:v>
      </x:c>
      <x:c r="D6" s="7">
        <x:v>45900</x:v>
      </x:c>
      <x:c r="E6" s="7">
        <x:v>45991</x:v>
      </x:c>
      <x:c r="F6" s="7">
        <x:v>46081</x:v>
      </x:c>
      <x:c r="G6" s="7">
        <x:v>46173</x:v>
      </x:c>
      <x:c r="H6" s="7">
        <x:v>46265</x:v>
      </x:c>
    </x:row>
    <x:row r="7">
      <x:c r="B7" s="14" t="s">
        <x:v>11</x:v>
      </x:c>
      <x:c r="C7" s="14">
        <x:v>92</x:v>
      </x:c>
      <x:c r="D7" s="14">
        <x:v>365</x:v>
      </x:c>
      <x:c r="E7" s="14">
        <x:v>91</x:v>
      </x:c>
      <x:c r="F7" s="14">
        <x:v>90</x:v>
      </x:c>
      <x:c r="G7" s="14">
        <x:v>92</x:v>
      </x:c>
      <x:c r="H7" s="14">
        <x:v>92</x:v>
      </x:c>
    </x:row>
    <x:row r="8">
      <x:c r="B8" s="2"/>
      <x:c r="C8" s="2"/>
      <x:c r="D8" s="2"/>
      <x:c r="E8" s="2"/>
      <x:c r="F8" s="2"/>
      <x:c r="G8" s="2"/>
      <x:c r="H8" s="33"/>
    </x:row>
    <x:row r="9">
      <x:c r="B9" s="2" t="s">
        <x:v>355</x:v>
      </x:c>
      <x:c r="C9" s="2"/>
      <x:c r="D9" s="2"/>
      <x:c r="E9" s="2"/>
      <x:c r="F9" s="2"/>
      <x:c r="G9" s="2"/>
      <x:c r="H9" s="33"/>
    </x:row>
    <x:row r="10">
      <x:c r="B10" s="2" t="s">
        <x:v>356</x:v>
      </x:c>
      <x:c r="C10" s="2" t="s">
        <x:v>357</x:v>
      </x:c>
      <x:c r="D10" s="2"/>
      <x:c r="E10" s="2"/>
      <x:c r="F10" s="2"/>
      <x:c r="G10" s="2"/>
      <x:c r="H10" s="33"/>
    </x:row>
    <x:row r="11">
      <x:c r="B11" s="2" t="s">
        <x:v>358</x:v>
      </x:c>
      <x:c r="C11" s="2" t="s">
        <x:v>0</x:v>
      </x:c>
      <x:c r="D11" s="2"/>
      <x:c r="E11" s="2"/>
      <x:c r="F11" s="2"/>
      <x:c r="G11" s="2"/>
      <x:c r="H11" s="33"/>
    </x:row>
    <x:row r="12">
      <x:c r="B12" s="2" t="s">
        <x:v>359</x:v>
      </x:c>
      <x:c r="C12" s="2" t="s">
        <x:v>360</x:v>
      </x:c>
      <x:c r="D12" s="2"/>
      <x:c r="E12" s="2"/>
      <x:c r="F12" s="2"/>
      <x:c r="G12" s="2"/>
      <x:c r="H12" s="33"/>
    </x:row>
    <x:row r="13">
      <x:c r="B13" s="2" t="s">
        <x:v>361</x:v>
      </x:c>
      <x:c r="C13" s="34">
        <x:v>972190</x:v>
      </x:c>
      <x:c r="D13" s="2"/>
      <x:c r="E13" s="2"/>
      <x:c r="F13" s="2"/>
      <x:c r="G13" s="2"/>
      <x:c r="H13" s="33"/>
    </x:row>
    <x:row r="14">
      <x:c r="B14" s="2" t="s">
        <x:v>362</x:v>
      </x:c>
      <x:c r="C14" s="34">
        <x:v>31</x:v>
      </x:c>
      <x:c r="D14" s="2"/>
      <x:c r="E14" s="2"/>
      <x:c r="F14" s="2"/>
      <x:c r="G14" s="2"/>
      <x:c r="H14" s="33"/>
    </x:row>
    <x:row r="15">
      <x:c r="B15" s="2" t="s">
        <x:v>363</x:v>
      </x:c>
      <x:c r="C15" s="2" t="s">
        <x:v>364</x:v>
      </x:c>
      <x:c r="D15" s="2"/>
      <x:c r="E15" s="2"/>
      <x:c r="F15" s="2"/>
      <x:c r="G15" s="2"/>
      <x:c r="H15" s="33"/>
    </x:row>
    <x:row r="16">
      <x:c r="B16" s="2" t="s">
        <x:v>365</x:v>
      </x:c>
      <x:c r="C16" s="2" t="s">
        <x:v>366</x:v>
      </x:c>
      <x:c r="D16" s="2"/>
      <x:c r="E16" s="2"/>
      <x:c r="F16" s="2"/>
      <x:c r="G16" s="2"/>
      <x:c r="H16" s="33"/>
    </x:row>
    <x:row r="17">
      <x:c r="B17" s="2" t="s">
        <x:v>367</x:v>
      </x:c>
      <x:c r="C17" s="38">
        <x:v>46265</x:v>
      </x:c>
      <x:c r="D17" s="2"/>
      <x:c r="E17" s="2"/>
      <x:c r="F17" s="2"/>
      <x:c r="G17" s="2"/>
      <x:c r="H17" s="33"/>
    </x:row>
    <x:row r="18">
      <x:c r="B18" s="2" t="s">
        <x:v>368</x:v>
      </x:c>
      <x:c r="C18" s="38">
        <x:v>46296</x:v>
      </x:c>
      <x:c r="D18" s="2"/>
      <x:c r="E18" s="2"/>
      <x:c r="F18" s="2"/>
      <x:c r="G18" s="2"/>
      <x:c r="H18" s="33"/>
    </x:row>
    <x:row r="19">
      <x:c r="B19" s="2" t="s">
        <x:v>369</x:v>
      </x:c>
      <x:c r="C19" s="34">
        <x:v>3.18</x:v>
      </x:c>
      <x:c r="D19" s="2"/>
      <x:c r="E19" s="2"/>
      <x:c r="F19" s="2"/>
      <x:c r="G19" s="2"/>
      <x:c r="H19" s="33"/>
    </x:row>
    <x:row r="20">
      <x:c r="B20" s="2" t="s">
        <x:v>370</x:v>
      </x:c>
      <x:c r="C20" s="34">
        <x:v>3.19</x:v>
      </x:c>
      <x:c r="D20" s="2"/>
      <x:c r="E20" s="2"/>
      <x:c r="F20" s="2"/>
      <x:c r="G20" s="2"/>
      <x:c r="H20" s="33"/>
    </x:row>
    <x:row r="21">
      <x:c r="B21" s="2" t="s">
        <x:v>371</x:v>
      </x:c>
      <x:c r="C21" s="34">
        <x:v>3.23</x:v>
      </x:c>
      <x:c r="D21" s="2"/>
      <x:c r="E21" s="2"/>
      <x:c r="F21" s="2"/>
      <x:c r="G21" s="2"/>
      <x:c r="H21" s="33"/>
    </x:row>
    <x:row r="22">
      <x:c r="B22" s="2" t="s">
        <x:v>372</x:v>
      </x:c>
      <x:c r="C22" s="34">
        <x:v>3.12</x:v>
      </x:c>
      <x:c r="D22" s="2"/>
      <x:c r="E22" s="2"/>
      <x:c r="F22" s="2"/>
      <x:c r="G22" s="2"/>
      <x:c r="H22" s="33"/>
    </x:row>
    <x:row r="23">
      <x:c r="B23" s="2" t="s">
        <x:v>373</x:v>
      </x:c>
      <x:c r="C23" s="34">
        <x:v>0.03</x:v>
      </x:c>
      <x:c r="D23" s="2"/>
      <x:c r="E23" s="2"/>
      <x:c r="F23" s="2"/>
      <x:c r="G23" s="2"/>
      <x:c r="H23" s="33"/>
    </x:row>
    <x:row r="24">
      <x:c r="B24" s="2" t="s">
        <x:v>374</x:v>
      </x:c>
      <x:c r="C24" s="34">
        <x:v>20</x:v>
      </x:c>
      <x:c r="D24" s="2"/>
      <x:c r="E24" s="2"/>
      <x:c r="F24" s="2"/>
      <x:c r="G24" s="2"/>
      <x:c r="H24" s="33"/>
    </x:row>
    <x:row r="25">
      <x:c r="B25" s="2" t="s">
        <x:v>375</x:v>
      </x:c>
      <x:c r="C25" s="2"/>
      <x:c r="D25" s="2"/>
      <x:c r="E25" s="2"/>
      <x:c r="F25" s="2"/>
      <x:c r="G25" s="2"/>
      <x:c r="H25" s="33"/>
    </x:row>
    <x:row r="26">
      <x:c r="B26" s="2" t="s">
        <x:v>376</x:v>
      </x:c>
      <x:c r="C26" s="2"/>
      <x:c r="D26" s="2"/>
      <x:c r="E26" s="2"/>
      <x:c r="F26" s="2"/>
      <x:c r="G26" s="2"/>
      <x:c r="H26" s="33"/>
    </x:row>
    <x:row r="27">
      <x:c r="B27" s="2" t="s">
        <x:v>377</x:v>
      </x:c>
      <x:c r="C27" s="2"/>
      <x:c r="D27" s="2"/>
      <x:c r="E27" s="2"/>
      <x:c r="F27" s="2"/>
      <x:c r="G27" s="2"/>
      <x:c r="H27" s="33"/>
    </x:row>
    <x:row r="28">
      <x:c r="B28" s="2" t="s">
        <x:v>378</x:v>
      </x:c>
      <x:c r="C28" s="34">
        <x:v>3.18</x:v>
      </x:c>
      <x:c r="D28" s="2"/>
      <x:c r="E28" s="2"/>
      <x:c r="F28" s="2"/>
      <x:c r="G28" s="2"/>
      <x:c r="H28" s="33"/>
    </x:row>
    <x:row r="29">
      <x:c r="B29" s="2" t="s">
        <x:v>379</x:v>
      </x:c>
      <x:c r="C29" s="34">
        <x:v>3.18</x:v>
      </x:c>
      <x:c r="D29" s="2"/>
      <x:c r="E29" s="2"/>
      <x:c r="F29" s="2"/>
      <x:c r="G29" s="2"/>
      <x:c r="H29" s="33"/>
    </x:row>
    <x:row r="30">
      <x:c r="B30" s="2" t="s">
        <x:v>380</x:v>
      </x:c>
      <x:c r="C30" s="34">
        <x:v>3.23</x:v>
      </x:c>
      <x:c r="D30" s="2"/>
      <x:c r="E30" s="2"/>
      <x:c r="F30" s="2"/>
      <x:c r="G30" s="2"/>
      <x:c r="H30" s="33"/>
    </x:row>
    <x:row r="31">
      <x:c r="B31" s="2" t="s">
        <x:v>381</x:v>
      </x:c>
      <x:c r="C31" s="34">
        <x:v>3.12</x:v>
      </x:c>
      <x:c r="D31" s="2"/>
      <x:c r="E31" s="2"/>
      <x:c r="F31" s="2"/>
      <x:c r="G31" s="2"/>
      <x:c r="H31" s="33"/>
    </x:row>
    <x:row r="32">
      <x:c r="B32" s="2" t="s">
        <x:v>382</x:v>
      </x:c>
      <x:c r="C32" s="34">
        <x:v>0.03</x:v>
      </x:c>
      <x:c r="D32" s="2"/>
      <x:c r="E32" s="2"/>
      <x:c r="F32" s="2"/>
      <x:c r="G32" s="2"/>
      <x:c r="H32" s="33"/>
    </x:row>
    <x:row r="33">
      <x:c r="B33" s="2" t="s">
        <x:v>383</x:v>
      </x:c>
      <x:c r="C33" s="34">
        <x:v>11</x:v>
      </x:c>
      <x:c r="D33" s="2"/>
      <x:c r="E33" s="2"/>
      <x:c r="F33" s="2"/>
      <x:c r="G33" s="2"/>
      <x:c r="H33" s="33"/>
    </x:row>
    <x:row r="34">
      <x:c r="B34" s="2" t="s">
        <x:v>384</x:v>
      </x:c>
      <x:c r="C34" s="2"/>
      <x:c r="D34" s="2"/>
      <x:c r="E34" s="2"/>
      <x:c r="F34" s="2"/>
      <x:c r="G34" s="2"/>
      <x:c r="H34" s="33"/>
    </x:row>
    <x:row r="35">
      <x:c r="B35" s="2" t="s">
        <x:v>385</x:v>
      </x:c>
      <x:c r="C35" s="2"/>
      <x:c r="D35" s="2"/>
      <x:c r="E35" s="2"/>
      <x:c r="F35" s="2"/>
      <x:c r="G35" s="2"/>
      <x:c r="H35" s="33"/>
    </x:row>
    <x:row r="36">
      <x:c r="B36" s="2" t="s">
        <x:v>386</x:v>
      </x:c>
      <x:c r="C36" s="34">
        <x:v>18037.35</x:v>
      </x:c>
      <x:c r="D36" s="2"/>
      <x:c r="E36" s="2"/>
      <x:c r="F36" s="2"/>
      <x:c r="G36" s="2"/>
      <x:c r="H36" s="33"/>
    </x:row>
    <x:row r="37">
      <x:c r="B37" s="2" t="s">
        <x:v>387</x:v>
      </x:c>
      <x:c r="C37" s="34">
        <x:v>18036.95</x:v>
      </x:c>
      <x:c r="D37" s="2"/>
      <x:c r="E37" s="2"/>
      <x:c r="F37" s="2"/>
      <x:c r="G37" s="2"/>
      <x:c r="H37" s="33"/>
    </x:row>
    <x:row r="38">
      <x:c r="B38" s="2" t="s">
        <x:v>388</x:v>
      </x:c>
      <x:c r="C38" s="34">
        <x:v>18169</x:v>
      </x:c>
      <x:c r="D38" s="2"/>
      <x:c r="E38" s="2"/>
      <x:c r="F38" s="2"/>
      <x:c r="G38" s="2"/>
      <x:c r="H38" s="33"/>
    </x:row>
    <x:row r="39">
      <x:c r="B39" s="2" t="s">
        <x:v>389</x:v>
      </x:c>
      <x:c r="C39" s="34">
        <x:v>17816</x:v>
      </x:c>
      <x:c r="D39" s="2"/>
      <x:c r="E39" s="2"/>
      <x:c r="F39" s="2"/>
      <x:c r="G39" s="2"/>
      <x:c r="H39" s="33"/>
    </x:row>
    <x:row r="40">
      <x:c r="B40" s="2" t="s">
        <x:v>390</x:v>
      </x:c>
      <x:c r="C40" s="34">
        <x:v>81.02</x:v>
      </x:c>
      <x:c r="D40" s="2"/>
      <x:c r="E40" s="2"/>
      <x:c r="F40" s="2"/>
      <x:c r="G40" s="2"/>
      <x:c r="H40" s="33"/>
    </x:row>
    <x:row r="41">
      <x:c r="B41" s="2" t="s">
        <x:v>391</x:v>
      </x:c>
      <x:c r="C41" s="34">
        <x:v>20</x:v>
      </x:c>
      <x:c r="D41" s="2"/>
      <x:c r="E41" s="2"/>
      <x:c r="F41" s="2"/>
      <x:c r="G41" s="2"/>
      <x:c r="H41" s="33"/>
    </x:row>
    <x:row r="42">
      <x:c r="B42" s="2" t="s">
        <x:v>392</x:v>
      </x:c>
      <x:c r="C42" s="34">
        <x:v>17750</x:v>
      </x:c>
      <x:c r="D42" s="2"/>
      <x:c r="E42" s="2"/>
      <x:c r="F42" s="2"/>
      <x:c r="G42" s="2"/>
      <x:c r="H42" s="33"/>
    </x:row>
    <x:row r="43">
      <x:c r="B43" s="2" t="s">
        <x:v>393</x:v>
      </x:c>
      <x:c r="C43" s="34">
        <x:v>18400</x:v>
      </x:c>
      <x:c r="D43" s="2"/>
      <x:c r="E43" s="2"/>
      <x:c r="F43" s="2"/>
      <x:c r="G43" s="2"/>
      <x:c r="H43" s="33"/>
    </x:row>
    <x:row r="44">
      <x:c r="B44" s="2" t="s">
        <x:v>394</x:v>
      </x:c>
      <x:c r="C44" s="34">
        <x:v>3666.85</x:v>
      </x:c>
      <x:c r="D44" s="2"/>
      <x:c r="E44" s="2"/>
      <x:c r="F44" s="2"/>
      <x:c r="G44" s="2"/>
      <x:c r="H44" s="33"/>
    </x:row>
    <x:row r="45">
      <x:c r="B45" s="2" t="s">
        <x:v>395</x:v>
      </x:c>
      <x:c r="C45" s="34">
        <x:v>2736.45</x:v>
      </x:c>
      <x:c r="D45" s="2"/>
      <x:c r="E45" s="2"/>
      <x:c r="F45" s="2"/>
      <x:c r="G45" s="2"/>
      <x:c r="H45" s="33"/>
    </x:row>
    <x:row r="46">
      <x:c r="B46" s="2" t="s">
        <x:v>396</x:v>
      </x:c>
      <x:c r="C46" s="34">
        <x:v>1953.33</x:v>
      </x:c>
      <x:c r="D46" s="2"/>
      <x:c r="E46" s="2"/>
      <x:c r="F46" s="2"/>
      <x:c r="G46" s="2"/>
      <x:c r="H46" s="33"/>
    </x:row>
    <x:row r="47">
      <x:c r="B47" s="2" t="s">
        <x:v>397</x:v>
      </x:c>
      <x:c r="C47" s="34">
        <x:v>1950.32</x:v>
      </x:c>
      <x:c r="D47" s="2"/>
      <x:c r="E47" s="2"/>
      <x:c r="F47" s="2"/>
      <x:c r="G47" s="2"/>
      <x:c r="H47" s="33"/>
    </x:row>
    <x:row r="48">
      <x:c r="B48" s="2" t="s">
        <x:v>398</x:v>
      </x:c>
      <x:c r="C48" s="34">
        <x:v>31.89</x:v>
      </x:c>
      <x:c r="D48" s="2"/>
      <x:c r="E48" s="2"/>
      <x:c r="F48" s="2"/>
      <x:c r="G48" s="2"/>
      <x:c r="H48" s="33"/>
    </x:row>
    <x:row r="49">
      <x:c r="B49" s="2" t="s">
        <x:v>399</x:v>
      </x:c>
      <x:c r="C49" s="34">
        <x:v>25.8</x:v>
      </x:c>
      <x:c r="D49" s="2"/>
      <x:c r="E49" s="2"/>
      <x:c r="F49" s="2"/>
      <x:c r="G49" s="2"/>
      <x:c r="H49" s="33"/>
    </x:row>
    <x:row r="50">
      <x:c r="B50" s="2" t="s">
        <x:v>400</x:v>
      </x:c>
      <x:c r="C50" s="34">
        <x:v>-221.6</x:v>
      </x:c>
      <x:c r="D50" s="2"/>
      <x:c r="E50" s="2"/>
      <x:c r="F50" s="2"/>
      <x:c r="G50" s="2"/>
      <x:c r="H50" s="33"/>
    </x:row>
    <x:row r="51">
      <x:c r="B51" s="2" t="s">
        <x:v>401</x:v>
      </x:c>
      <x:c r="C51" s="34">
        <x:v>2341.9</x:v>
      </x:c>
      <x:c r="D51" s="2"/>
      <x:c r="E51" s="2"/>
      <x:c r="F51" s="2"/>
      <x:c r="G51" s="2"/>
      <x:c r="H51" s="33"/>
    </x:row>
    <x:row r="52">
      <x:c r="B52" s="2" t="s">
        <x:v>402</x:v>
      </x:c>
      <x:c r="C52" s="34">
        <x:v>2575.63</x:v>
      </x:c>
      <x:c r="D52" s="2"/>
      <x:c r="E52" s="2"/>
      <x:c r="F52" s="2"/>
      <x:c r="G52" s="2"/>
      <x:c r="H52" s="33"/>
    </x:row>
    <x:row r="53">
      <x:c r="B53" s="2" t="s">
        <x:v>403</x:v>
      </x:c>
      <x:c r="C53" s="34">
        <x:v>597.88</x:v>
      </x:c>
      <x:c r="D53" s="2"/>
      <x:c r="E53" s="2"/>
      <x:c r="F53" s="2"/>
      <x:c r="G53" s="2"/>
      <x:c r="H53" s="33"/>
    </x:row>
    <x:row r="54">
      <x:c r="B54" s="2" t="s">
        <x:v>404</x:v>
      </x:c>
      <x:c r="C54" s="34">
        <x:v>192.49</x:v>
      </x:c>
      <x:c r="D54" s="2"/>
      <x:c r="E54" s="2"/>
      <x:c r="F54" s="2"/>
      <x:c r="G54" s="2"/>
      <x:c r="H54" s="33"/>
    </x:row>
    <x:row r="55">
      <x:c r="B55" s="2" t="s">
        <x:v>405</x:v>
      </x:c>
      <x:c r="C55" s="34">
        <x:v>190</x:v>
      </x:c>
      <x:c r="D55" s="2"/>
      <x:c r="E55" s="2"/>
      <x:c r="F55" s="2"/>
      <x:c r="G55" s="2"/>
      <x:c r="H55" s="33"/>
    </x:row>
    <x:row r="56">
      <x:c r="B56" s="2" t="s">
        <x:v>406</x:v>
      </x:c>
      <x:c r="C56" s="34">
        <x:v>275</x:v>
      </x:c>
      <x:c r="D56" s="2"/>
      <x:c r="E56" s="2"/>
      <x:c r="F56" s="2"/>
      <x:c r="G56" s="2"/>
      <x:c r="H56" s="33"/>
    </x:row>
    <x:row r="57">
      <x:c r="B57" s="2" t="s">
        <x:v>407</x:v>
      </x:c>
      <x:c r="C57" s="34">
        <x:v>130</x:v>
      </x:c>
      <x:c r="D57" s="2"/>
      <x:c r="E57" s="2"/>
      <x:c r="F57" s="2"/>
      <x:c r="G57" s="2"/>
      <x:c r="H57" s="33"/>
    </x:row>
    <x:row r="58">
      <x:c r="B58" s="2" t="s">
        <x:v>408</x:v>
      </x:c>
      <x:c r="C58" s="34">
        <x:v>31.33</x:v>
      </x:c>
      <x:c r="D58" s="2"/>
      <x:c r="E58" s="2"/>
      <x:c r="F58" s="2"/>
      <x:c r="G58" s="2"/>
      <x:c r="H58" s="33"/>
    </x:row>
    <x:row r="59">
      <x:c r="B59" s="2" t="s">
        <x:v>409</x:v>
      </x:c>
      <x:c r="C59" s="34">
        <x:v>24</x:v>
      </x:c>
      <x:c r="D59" s="2"/>
      <x:c r="E59" s="2"/>
      <x:c r="F59" s="2"/>
      <x:c r="G59" s="2"/>
      <x:c r="H59" s="33"/>
    </x:row>
    <x:row r="60">
      <x:c r="B60" s="2" t="s">
        <x:v>410</x:v>
      </x:c>
      <x:c r="C60" s="2" t="s">
        <x:v>411</x:v>
      </x:c>
      <x:c r="D60" s="2"/>
      <x:c r="E60" s="2"/>
      <x:c r="F60" s="2"/>
      <x:c r="G60" s="2"/>
      <x:c r="H60" s="33"/>
    </x:row>
    <x:row r="61">
      <x:c r="B61" s="2" t="s">
        <x:v>412</x:v>
      </x:c>
      <x:c r="C61" s="34">
        <x:v>2.22</x:v>
      </x:c>
      <x:c r="D61" s="2"/>
      <x:c r="E61" s="2"/>
      <x:c r="F61" s="2"/>
      <x:c r="G61" s="2"/>
      <x:c r="H61" s="33"/>
    </x:row>
    <x:row r="62">
      <x:c r="B62" s="43" t="s">
        <x:v>413</x:v>
      </x:c>
      <x:c r="C62" s="34">
        <x:v>177.41</x:v>
      </x:c>
      <x:c r="D62" s="2"/>
      <x:c r="E62" s="2"/>
      <x:c r="F62" s="2"/>
      <x:c r="G62" s="2"/>
      <x:c r="H62" s="33"/>
      <x:c r="I62" s="48"/>
    </x:row>
    <x:row r="63" ht="49.5">
      <x:c r="B63" s="43" t="s">
        <x:v>414</x:v>
      </x:c>
      <x:c r="C63" s="8" t="s">
        <x:v>415</x:v>
      </x:c>
      <x:c r="D63" s="2"/>
      <x:c r="E63" s="2"/>
      <x:c r="F63" s="2"/>
      <x:c r="G63" s="2"/>
      <x:c r="H63" s="33"/>
      <x:c r="I63" s="48"/>
    </x:row>
    <x:row r="64">
      <x:c r="B64" s="43"/>
      <x:c r="C64" s="2"/>
      <x:c r="D64" s="2"/>
      <x:c r="E64" s="2"/>
      <x:c r="F64" s="2"/>
      <x:c r="G64" s="2"/>
      <x:c r="H64" s="33"/>
      <x:c r="I64" s="48"/>
    </x:row>
    <x:row r="65">
      <x:c r="B65" s="43"/>
      <x:c r="C65" s="2"/>
      <x:c r="D65" s="2"/>
      <x:c r="E65" s="2"/>
      <x:c r="F65" s="2"/>
      <x:c r="G65" s="2"/>
      <x:c r="H65" s="33"/>
      <x:c r="I65" s="48"/>
    </x:row>
    <x:row r="66">
      <x:c r="B66" s="43"/>
      <x:c r="C66" s="2"/>
      <x:c r="D66" s="2"/>
      <x:c r="E66" s="2"/>
      <x:c r="F66" s="2"/>
      <x:c r="G66" s="2"/>
      <x:c r="H66" s="33"/>
      <x:c r="I66" s="48"/>
    </x:row>
    <x:row r="67">
      <x:c r="B67" s="43"/>
      <x:c r="C67" s="2"/>
      <x:c r="D67" s="2"/>
      <x:c r="E67" s="2"/>
      <x:c r="F67" s="2"/>
      <x:c r="G67" s="2"/>
      <x:c r="H67" s="33"/>
      <x:c r="I67" s="48"/>
    </x:row>
    <x:row r="68">
      <x:c r="B68" s="2"/>
      <x:c r="C68" s="2"/>
      <x:c r="D68" s="2"/>
      <x:c r="E68" s="2"/>
      <x:c r="F68" s="2"/>
      <x:c r="G68" s="2"/>
      <x:c r="H68" s="33"/>
    </x:row>
    <x:row r="69">
      <x:c r="B69" s="2"/>
      <x:c r="C69" s="43"/>
      <x:c r="D69" s="2"/>
      <x:c r="E69" s="2"/>
      <x:c r="F69" s="2"/>
      <x:c r="G69" s="2"/>
      <x:c r="H69" s="33"/>
    </x:row>
    <x:row r="70">
      <x:c r="B70" s="2"/>
      <x:c r="C70" s="2"/>
      <x:c r="D70" s="2"/>
      <x:c r="E70" s="2"/>
      <x:c r="F70" s="2"/>
      <x:c r="G70" s="2"/>
      <x:c r="H70" s="33"/>
    </x:row>
    <x:row r="71">
      <x:c r="B71" s="2"/>
      <x:c r="C71" s="2"/>
      <x:c r="D71" s="2"/>
      <x:c r="E71" s="2"/>
      <x:c r="F71" s="2"/>
      <x:c r="G71" s="2"/>
      <x:c r="H71" s="33"/>
    </x:row>
    <x:row r="72">
      <x:c r="B72" s="2"/>
      <x:c r="C72" s="2"/>
      <x:c r="D72" s="2"/>
      <x:c r="E72" s="2"/>
      <x:c r="F72" s="2"/>
      <x:c r="G72" s="2"/>
      <x:c r="H72" s="33"/>
    </x:row>
    <x:row r="73">
      <x:c r="B73" s="2"/>
      <x:c r="C73" s="2"/>
      <x:c r="D73" s="2"/>
      <x:c r="E73" s="2"/>
      <x:c r="F73" s="2"/>
      <x:c r="G73" s="2"/>
      <x:c r="H73" s="33"/>
    </x:row>
    <x:row r="74">
      <x:c r="B74" s="2"/>
      <x:c r="C74" s="2"/>
      <x:c r="D74" s="2"/>
      <x:c r="E74" s="2"/>
      <x:c r="F74" s="2"/>
      <x:c r="G74" s="2"/>
      <x:c r="H74" s="33"/>
    </x:row>
    <x:row r="75">
      <x:c r="B75" s="2"/>
      <x:c r="C75" s="2"/>
      <x:c r="D75" s="2"/>
      <x:c r="E75" s="2"/>
      <x:c r="F75" s="2"/>
      <x:c r="G75" s="2"/>
      <x:c r="H75" s="33"/>
    </x:row>
    <x:row r="76">
      <x:c r="B76" s="2"/>
      <x:c r="C76" s="2"/>
      <x:c r="D76" s="2"/>
      <x:c r="E76" s="2"/>
      <x:c r="F76" s="2"/>
      <x:c r="G76" s="2"/>
      <x:c r="H76" s="33"/>
    </x:row>
    <x:row r="77">
      <x:c r="B77" s="2"/>
      <x:c r="C77" s="2"/>
      <x:c r="D77" s="2"/>
      <x:c r="E77" s="2"/>
      <x:c r="F77" s="2"/>
      <x:c r="G77" s="2"/>
      <x:c r="H77" s="33"/>
    </x:row>
    <x:row r="78">
      <x:c r="B78" s="2"/>
      <x:c r="C78" s="2"/>
      <x:c r="D78" s="2"/>
      <x:c r="E78" s="2"/>
      <x:c r="F78" s="2"/>
      <x:c r="G78" s="2"/>
      <x:c r="H78" s="33"/>
    </x:row>
    <x:row r="79">
      <x:c r="B79" s="2"/>
      <x:c r="C79" s="2"/>
      <x:c r="D79" s="2"/>
      <x:c r="E79" s="2"/>
      <x:c r="F79" s="2"/>
      <x:c r="G79" s="2"/>
      <x:c r="H79" s="33"/>
    </x:row>
    <x:row r="80">
      <x:c r="B80" s="2"/>
      <x:c r="C80" s="2"/>
      <x:c r="D80" s="2"/>
      <x:c r="E80" s="2"/>
      <x:c r="F80" s="2"/>
      <x:c r="G80" s="2"/>
      <x:c r="H80" s="33"/>
    </x:row>
    <x:row r="81">
      <x:c r="B81" s="2"/>
      <x:c r="C81" s="2"/>
      <x:c r="D81" s="2"/>
      <x:c r="E81" s="2"/>
      <x:c r="F81" s="2"/>
      <x:c r="G81" s="2"/>
      <x:c r="H81" s="33"/>
    </x:row>
    <x:row r="82">
      <x:c r="B82" s="2"/>
      <x:c r="C82" s="2"/>
      <x:c r="D82" s="2"/>
      <x:c r="E82" s="2"/>
      <x:c r="F82" s="2"/>
      <x:c r="G82" s="2"/>
      <x:c r="H82" s="33"/>
    </x:row>
    <x:row r="83">
      <x:c r="B83" s="2"/>
      <x:c r="C83" s="2"/>
      <x:c r="D83" s="2"/>
      <x:c r="E83" s="2"/>
      <x:c r="F83" s="2"/>
      <x:c r="G83" s="2"/>
      <x:c r="H83" s="33"/>
    </x:row>
    <x:row r="84">
      <x:c r="B84" s="2"/>
      <x:c r="C84" s="2"/>
      <x:c r="D84" s="2"/>
      <x:c r="E84" s="2"/>
      <x:c r="F84" s="2"/>
      <x:c r="G84" s="2"/>
      <x:c r="H84" s="33"/>
    </x:row>
    <x:row r="85">
      <x:c r="B85" s="2"/>
      <x:c r="C85" s="2"/>
      <x:c r="D85" s="2"/>
      <x:c r="E85" s="2"/>
      <x:c r="F85" s="2"/>
      <x:c r="G85" s="2"/>
      <x:c r="H85" s="33"/>
    </x:row>
    <x:row r="86">
      <x:c r="B86" s="2"/>
      <x:c r="C86" s="2"/>
      <x:c r="D86" s="2"/>
      <x:c r="E86" s="2"/>
      <x:c r="F86" s="2"/>
      <x:c r="G86" s="2"/>
      <x:c r="H86" s="33"/>
    </x:row>
    <x:row r="87">
      <x:c r="B87" s="2"/>
      <x:c r="C87" s="2"/>
      <x:c r="D87" s="2"/>
      <x:c r="E87" s="2"/>
      <x:c r="F87" s="2"/>
      <x:c r="G87" s="2"/>
      <x:c r="H87" s="33"/>
    </x:row>
    <x:row r="88">
      <x:c r="B88" s="2"/>
      <x:c r="C88" s="2"/>
      <x:c r="D88" s="2"/>
      <x:c r="E88" s="2"/>
      <x:c r="F88" s="2"/>
      <x:c r="G88" s="2"/>
      <x:c r="H88" s="33"/>
    </x:row>
    <x:row r="89">
      <x:c r="B89" s="2"/>
      <x:c r="C89" s="2"/>
      <x:c r="D89" s="2"/>
      <x:c r="E89" s="2"/>
      <x:c r="F89" s="2"/>
      <x:c r="G89" s="2"/>
      <x:c r="H89" s="33"/>
    </x:row>
    <x:row r="90">
      <x:c r="B90" s="2"/>
      <x:c r="C90" s="2"/>
      <x:c r="D90" s="2"/>
      <x:c r="E90" s="2"/>
      <x:c r="F90" s="2"/>
      <x:c r="G90" s="2"/>
      <x:c r="H90" s="33"/>
    </x:row>
    <x:row r="91">
      <x:c r="B91" s="2"/>
      <x:c r="C91" s="2"/>
      <x:c r="D91" s="2"/>
      <x:c r="E91" s="2"/>
      <x:c r="F91" s="2"/>
      <x:c r="G91" s="2"/>
      <x:c r="H91" s="33"/>
    </x:row>
    <x:row r="92">
      <x:c r="B92" s="2"/>
      <x:c r="C92" s="2"/>
      <x:c r="D92" s="2"/>
      <x:c r="E92" s="2"/>
      <x:c r="F92" s="2"/>
      <x:c r="G92" s="2"/>
      <x:c r="H92" s="33"/>
    </x:row>
    <x:row r="93">
      <x:c r="B93" s="2"/>
      <x:c r="C93" s="2"/>
      <x:c r="D93" s="2"/>
      <x:c r="E93" s="2"/>
      <x:c r="F93" s="2"/>
      <x:c r="G93" s="2"/>
      <x:c r="H93" s="33"/>
    </x:row>
    <x:row r="94">
      <x:c r="B94" s="2"/>
      <x:c r="C94" s="2"/>
      <x:c r="D94" s="2"/>
      <x:c r="E94" s="2"/>
      <x:c r="F94" s="2"/>
      <x:c r="G94" s="2"/>
      <x:c r="H94" s="33"/>
    </x:row>
    <x:row r="95">
      <x:c r="B95" s="2"/>
      <x:c r="C95" s="2"/>
      <x:c r="D95" s="2"/>
      <x:c r="E95" s="2"/>
      <x:c r="F95" s="2"/>
      <x:c r="G95" s="2"/>
      <x:c r="H95" s="33"/>
    </x:row>
    <x:row r="96">
      <x:c r="B96" s="2"/>
      <x:c r="C96" s="2"/>
      <x:c r="D96" s="2"/>
      <x:c r="E96" s="2"/>
      <x:c r="F96" s="2"/>
      <x:c r="G96" s="2"/>
      <x:c r="H96" s="33"/>
    </x:row>
    <x:row r="97">
      <x:c r="B97" s="2"/>
      <x:c r="C97" s="2"/>
      <x:c r="D97" s="2"/>
      <x:c r="E97" s="2"/>
      <x:c r="F97" s="2"/>
      <x:c r="G97" s="2"/>
      <x:c r="H97" s="33"/>
    </x:row>
    <x:row r="98">
      <x:c r="B98" s="2"/>
      <x:c r="C98" s="2"/>
      <x:c r="D98" s="2"/>
      <x:c r="E98" s="2"/>
      <x:c r="F98" s="2"/>
      <x:c r="G98" s="2"/>
      <x:c r="H98" s="33"/>
    </x:row>
    <x:row r="99">
      <x:c r="B99" s="2"/>
      <x:c r="C99" s="2"/>
      <x:c r="D99" s="2"/>
      <x:c r="E99" s="2"/>
      <x:c r="F99" s="2"/>
      <x:c r="G99" s="2"/>
      <x:c r="H99" s="33"/>
    </x:row>
    <x:row r="100">
      <x:c r="B100" s="2"/>
      <x:c r="C100" s="2"/>
      <x:c r="D100" s="2"/>
      <x:c r="E100" s="2"/>
      <x:c r="F100" s="2"/>
      <x:c r="G100" s="2"/>
      <x:c r="H100" s="33"/>
    </x:row>
    <x:row r="101">
      <x:c r="B101" s="2"/>
      <x:c r="C101" s="2"/>
      <x:c r="D101" s="2"/>
      <x:c r="E101" s="2"/>
      <x:c r="F101" s="2"/>
      <x:c r="G101" s="2"/>
      <x:c r="H101" s="33"/>
    </x:row>
    <x:row r="102">
      <x:c r="B102" s="2"/>
      <x:c r="C102" s="2"/>
      <x:c r="D102" s="2"/>
      <x:c r="E102" s="2"/>
      <x:c r="F102" s="2"/>
      <x:c r="G102" s="2"/>
      <x:c r="H102" s="33"/>
    </x:row>
    <x:row r="103">
      <x:c r="B103" s="2"/>
      <x:c r="C103" s="2"/>
      <x:c r="D103" s="2"/>
      <x:c r="E103" s="2"/>
      <x:c r="F103" s="2"/>
      <x:c r="G103" s="2"/>
      <x:c r="H103" s="33"/>
    </x:row>
    <x:row r="104">
      <x:c r="B104" s="2"/>
      <x:c r="C104" s="2"/>
      <x:c r="D104" s="2"/>
      <x:c r="E104" s="2"/>
      <x:c r="F104" s="2"/>
      <x:c r="G104" s="2"/>
      <x:c r="H104" s="33"/>
    </x:row>
    <x:row r="105">
      <x:c r="B105" s="2"/>
      <x:c r="C105" s="2"/>
      <x:c r="D105" s="2"/>
      <x:c r="E105" s="2"/>
      <x:c r="F105" s="2"/>
      <x:c r="G105" s="2"/>
      <x:c r="H105" s="33"/>
    </x:row>
    <x:row r="106">
      <x:c r="B106" s="2"/>
      <x:c r="C106" s="2"/>
      <x:c r="D106" s="2"/>
      <x:c r="E106" s="2"/>
      <x:c r="F106" s="2"/>
      <x:c r="G106" s="2"/>
      <x:c r="H106" s="33"/>
    </x:row>
    <x:row r="107">
      <x:c r="B107" s="2"/>
      <x:c r="C107" s="2"/>
      <x:c r="D107" s="2"/>
      <x:c r="E107" s="2"/>
      <x:c r="F107" s="2"/>
      <x:c r="G107" s="2"/>
      <x:c r="H107" s="33"/>
    </x:row>
    <x:row r="108">
      <x:c r="B108" s="2"/>
      <x:c r="C108" s="2"/>
      <x:c r="D108" s="2"/>
      <x:c r="E108" s="2"/>
      <x:c r="F108" s="2"/>
      <x:c r="G108" s="2"/>
      <x:c r="H108" s="33"/>
    </x:row>
    <x:row r="109">
      <x:c r="B109" s="2"/>
      <x:c r="C109" s="2"/>
      <x:c r="D109" s="2"/>
      <x:c r="E109" s="2"/>
      <x:c r="F109" s="2"/>
      <x:c r="G109" s="2"/>
      <x:c r="H109" s="33"/>
    </x:row>
    <x:row r="110">
      <x:c r="B110" s="2"/>
      <x:c r="C110" s="2"/>
      <x:c r="D110" s="2"/>
      <x:c r="E110" s="2"/>
      <x:c r="F110" s="2"/>
      <x:c r="G110" s="2"/>
      <x:c r="H110" s="33"/>
    </x:row>
    <x:row r="111">
      <x:c r="B111" s="2"/>
      <x:c r="C111" s="2"/>
      <x:c r="D111" s="2"/>
      <x:c r="E111" s="2"/>
      <x:c r="F111" s="2"/>
      <x:c r="G111" s="2"/>
      <x:c r="H111" s="33"/>
    </x:row>
    <x:row r="112">
      <x:c r="B112" s="2"/>
      <x:c r="C112" s="2"/>
      <x:c r="D112" s="2"/>
      <x:c r="E112" s="2"/>
      <x:c r="F112" s="2"/>
      <x:c r="G112" s="2"/>
      <x:c r="H112" s="33"/>
    </x:row>
    <x:row r="113">
      <x:c r="B113" s="2"/>
      <x:c r="C113" s="2"/>
      <x:c r="D113" s="2"/>
      <x:c r="E113" s="2"/>
      <x:c r="F113" s="2"/>
      <x:c r="G113" s="2"/>
      <x:c r="H113" s="33"/>
    </x:row>
    <x:row r="114">
      <x:c r="B114" s="2"/>
      <x:c r="C114" s="2"/>
      <x:c r="D114" s="2"/>
      <x:c r="E114" s="2"/>
      <x:c r="F114" s="2"/>
      <x:c r="G114" s="2"/>
      <x:c r="H114" s="33"/>
    </x:row>
    <x:row r="115">
      <x:c r="B115" s="2" t="s">
        <x:v>416</x:v>
      </x:c>
      <x:c r="C115" s="2"/>
      <x:c r="D115" s="2"/>
      <x:c r="E115" s="2"/>
      <x:c r="F115" s="2"/>
      <x:c r="G115" s="2"/>
      <x:c r="H115" s="33"/>
    </x:row>
    <x:row r="116">
      <x:c r="B116" s="2" t="s">
        <x:v>367</x:v>
      </x:c>
      <x:c r="C116" s="56" t="s">
        <x:v>417</x:v>
      </x:c>
      <x:c r="D116" s="56" t="s">
        <x:v>418</x:v>
      </x:c>
      <x:c r="E116" s="56" t="s">
        <x:v>419</x:v>
      </x:c>
      <x:c r="F116" s="56" t="s">
        <x:v>420</x:v>
      </x:c>
      <x:c r="G116" s="56" t="s">
        <x:v>421</x:v>
      </x:c>
      <x:c r="H116" s="57" t="s">
        <x:v>422</x:v>
      </x:c>
      <x:c r="I116" s="56" t="s">
        <x:v>423</x:v>
      </x:c>
    </x:row>
    <x:row r="117">
      <x:c r="B117" s="43">
        <x:v>45716</x:v>
      </x:c>
      <x:c r="C117" s="34">
        <x:v>2.81</x:v>
      </x:c>
      <x:c r="D117" s="34">
        <x:v>2.82</x:v>
      </x:c>
      <x:c r="E117" s="34">
        <x:v>2.79</x:v>
      </x:c>
      <x:c r="F117" s="34">
        <x:v>2.82</x:v>
      </x:c>
      <x:c r="G117" s="34">
        <x:v>16609.6</x:v>
      </x:c>
      <x:c r="H117" s="50">
        <x:v>16659.3</x:v>
      </x:c>
      <x:c r="I117" s="43">
        <x:v>45736</x:v>
      </x:c>
    </x:row>
    <x:row r="118">
      <x:c r="B118" s="43">
        <x:v>45808</x:v>
      </x:c>
      <x:c r="C118" s="34">
        <x:v>3.32</x:v>
      </x:c>
      <x:c r="D118" s="34">
        <x:v>3.49</x:v>
      </x:c>
      <x:c r="E118" s="34">
        <x:v>3.32</x:v>
      </x:c>
      <x:c r="F118" s="34">
        <x:v>3.49</x:v>
      </x:c>
      <x:c r="G118" s="34">
        <x:v>17323.85</x:v>
      </x:c>
      <x:c r="H118" s="50">
        <x:v>17727.87</x:v>
      </x:c>
      <x:c r="I118" s="43">
        <x:v>45828</x:v>
      </x:c>
    </x:row>
    <x:row r="119">
      <x:c r="B119" s="43">
        <x:v>45900</x:v>
      </x:c>
      <x:c r="C119" s="34">
        <x:v>2.97</x:v>
      </x:c>
      <x:c r="D119" s="34">
        <x:v>3.03</x:v>
      </x:c>
      <x:c r="E119" s="34">
        <x:v>2.96</x:v>
      </x:c>
      <x:c r="F119" s="34">
        <x:v>2.25</x:v>
      </x:c>
      <x:c r="G119" s="34">
        <x:v>17360.12</x:v>
      </x:c>
      <x:c r="H119" s="50">
        <x:v>17596.26</x:v>
      </x:c>
      <x:c r="I119" s="43">
        <x:v>45925</x:v>
      </x:c>
    </x:row>
    <x:row r="120">
      <x:c r="B120" s="43">
        <x:v>45991</x:v>
      </x:c>
      <x:c r="C120" s="34">
        <x:v>3.72</x:v>
      </x:c>
      <x:c r="D120" s="34">
        <x:v>3.94</x:v>
      </x:c>
      <x:c r="E120" s="34">
        <x:v>3.4</x:v>
      </x:c>
      <x:c r="F120" s="34">
        <x:v>3.54</x:v>
      </x:c>
      <x:c r="G120" s="34">
        <x:v>18531.75</x:v>
      </x:c>
      <x:c r="H120" s="50">
        <x:v>18742.13</x:v>
      </x:c>
      <x:c r="I120" s="43">
        <x:v>46009</x:v>
      </x:c>
    </x:row>
    <x:row r="121">
      <x:c r="B121" s="43">
        <x:v>46081</x:v>
      </x:c>
      <x:c r="C121" s="34">
        <x:v>2.84</x:v>
      </x:c>
      <x:c r="D121" s="34">
        <x:v>2.93</x:v>
      </x:c>
      <x:c r="E121" s="34">
        <x:v>2.82</x:v>
      </x:c>
      <x:c r="F121" s="34">
        <x:v>2.93</x:v>
      </x:c>
      <x:c r="G121" s="34">
        <x:v>17844.22</x:v>
      </x:c>
      <x:c r="H121" s="50">
        <x:v>18044.07</x:v>
      </x:c>
      <x:c r="I121" s="43">
        <x:v>46100</x:v>
      </x:c>
    </x:row>
    <x:row r="122">
      <x:c r="B122" s="43">
        <x:v>46173</x:v>
      </x:c>
      <x:c r="C122" s="34">
        <x:v>3.71</x:v>
      </x:c>
      <x:c r="D122" s="34">
        <x:v>3.8</x:v>
      </x:c>
      <x:c r="E122" s="34">
        <x:v>3.69</x:v>
      </x:c>
      <x:c r="F122" s="34">
        <x:v>3.8</x:v>
      </x:c>
      <x:c r="G122" s="34">
        <x:v>18747.94</x:v>
      </x:c>
      <x:c r="H122" s="50">
        <x:v>18718.14</x:v>
      </x:c>
      <x:c r="I122" s="43">
        <x:v>46191</x:v>
      </x:c>
    </x:row>
    <x:row r="123">
      <x:c r="B123" s="2"/>
      <x:c r="C123" s="2"/>
      <x:c r="D123" s="2"/>
      <x:c r="E123" s="2"/>
      <x:c r="F123" s="2"/>
      <x:c r="G123" s="2"/>
      <x:c r="H123" s="33"/>
    </x:row>
    <x:row r="124">
      <x:c r="B124" s="2" t="s">
        <x:v>424</x:v>
      </x:c>
      <x:c r="C124" s="38">
        <x:v>46289</x:v>
      </x:c>
      <x:c r="D124" s="2"/>
      <x:c r="E124" s="2"/>
      <x:c r="F124" s="2"/>
      <x:c r="G124" s="2"/>
      <x:c r="H124" s="33"/>
    </x:row>
    <x:row r="125">
      <x:c r="B125" s="2" t="s">
        <x:v>425</x:v>
      </x:c>
      <x:c r="C125" s="2"/>
      <x:c r="D125" s="2"/>
      <x:c r="E125" s="2"/>
      <x:c r="F125" s="2"/>
      <x:c r="G125" s="2"/>
      <x:c r="H125" s="33"/>
    </x:row>
    <x:row r="126">
      <x:c r="B126" s="2" t="s">
        <x:v>426</x:v>
      </x:c>
      <x:c r="C126" s="34">
        <x:v>0.01</x:v>
      </x:c>
      <x:c r="D126" s="2"/>
      <x:c r="E126" s="2"/>
      <x:c r="F126" s="2"/>
      <x:c r="G126" s="2"/>
      <x:c r="H126" s="33"/>
    </x:row>
    <x:row r="127">
      <x:c r="B127" s="2" t="s">
        <x:v>427</x:v>
      </x:c>
      <x:c r="C127" s="34">
        <x:v>0.052</x:v>
      </x:c>
      <x:c r="D127" s="2"/>
      <x:c r="E127" s="2"/>
      <x:c r="F127" s="2"/>
      <x:c r="G127" s="2"/>
      <x:c r="H127" s="33"/>
    </x:row>
    <x:row r="128">
      <x:c r="B128" s="2" t="s">
        <x:v>428</x:v>
      </x:c>
      <x:c r="C128" s="34">
        <x:v>0.03</x:v>
      </x:c>
      <x:c r="D128" s="2"/>
      <x:c r="E128" s="2"/>
      <x:c r="F128" s="2"/>
      <x:c r="G128" s="2"/>
      <x:c r="H128" s="33"/>
    </x:row>
    <x:row r="129">
      <x:c r="B129" s="2" t="s">
        <x:v>429</x:v>
      </x:c>
      <x:c r="C129" s="34">
        <x:v>0.3189</x:v>
      </x:c>
      <x:c r="D129" s="2"/>
      <x:c r="E129" s="2"/>
      <x:c r="F129" s="2"/>
      <x:c r="G129" s="2"/>
      <x:c r="H129" s="33"/>
    </x:row>
    <x:row r="130">
      <x:c r="B130" s="2" t="s">
        <x:v>430</x:v>
      </x:c>
      <x:c r="C130" s="34">
        <x:v>1810</x:v>
      </x:c>
      <x:c r="D130" s="2"/>
      <x:c r="E130" s="2"/>
      <x:c r="F130" s="2"/>
      <x:c r="G130" s="2"/>
      <x:c r="H130" s="33"/>
    </x:row>
    <x:row r="131">
      <x:c r="B131" s="2" t="s">
        <x:v>431</x:v>
      </x:c>
      <x:c r="C131" s="34">
        <x:v>1218</x:v>
      </x:c>
      <x:c r="D131" s="2"/>
      <x:c r="E131" s="2"/>
      <x:c r="F131" s="2"/>
      <x:c r="G131" s="2"/>
      <x:c r="H131" s="33"/>
    </x:row>
    <x:row r="132">
      <x:c r="B132" s="2" t="s">
        <x:v>432</x:v>
      </x:c>
      <x:c r="C132" s="34">
        <x:v>75</x:v>
      </x:c>
      <x:c r="D132" s="2"/>
      <x:c r="E132" s="2"/>
      <x:c r="F132" s="2"/>
      <x:c r="G132" s="2"/>
      <x:c r="H132" s="33"/>
    </x:row>
    <x:row r="133">
      <x:c r="B133" s="2" t="s">
        <x:v>433</x:v>
      </x:c>
      <x:c r="C133" s="34">
        <x:v>-69</x:v>
      </x:c>
      <x:c r="D133" s="2"/>
      <x:c r="E133" s="2"/>
      <x:c r="F133" s="2"/>
      <x:c r="G133" s="2"/>
      <x:c r="H133" s="33"/>
    </x:row>
    <x:row r="134">
      <x:c r="B134" s="2" t="s">
        <x:v>434</x:v>
      </x:c>
      <x:c r="C134" s="34">
        <x:v>-30</x:v>
      </x:c>
      <x:c r="D134" s="2"/>
      <x:c r="E134" s="2"/>
      <x:c r="F134" s="2"/>
      <x:c r="G134" s="2"/>
      <x:c r="H134" s="33"/>
    </x:row>
    <x:row r="135">
      <x:c r="B135" s="2" t="s">
        <x:v>435</x:v>
      </x:c>
      <x:c r="C135" s="34">
        <x:v>0.256</x:v>
      </x:c>
      <x:c r="D135" s="2"/>
      <x:c r="E135" s="2"/>
      <x:c r="F135" s="2"/>
      <x:c r="G135" s="2"/>
      <x:c r="H135" s="33"/>
    </x:row>
    <x:row r="136">
      <x:c r="B136" s="2" t="s">
        <x:v>436</x:v>
      </x:c>
      <x:c r="C136" s="34">
        <x:v>-2</x:v>
      </x:c>
      <x:c r="D136" s="2"/>
      <x:c r="E136" s="2"/>
      <x:c r="F136" s="2"/>
      <x:c r="G136" s="2"/>
      <x:c r="H136" s="33"/>
    </x:row>
    <x:row r="137">
      <x:c r="B137" s="2" t="s">
        <x:v>437</x:v>
      </x:c>
      <x:c r="C137" s="34">
        <x:v>-50</x:v>
      </x:c>
      <x:c r="D137" s="2"/>
      <x:c r="E137" s="2"/>
      <x:c r="F137" s="2"/>
      <x:c r="G137" s="2"/>
      <x:c r="H137" s="33"/>
    </x:row>
    <x:row r="138">
      <x:c r="B138" s="2" t="s">
        <x:v>438</x:v>
      </x:c>
      <x:c r="C138" s="34">
        <x:v>609</x:v>
      </x:c>
      <x:c r="D138" s="2"/>
      <x:c r="E138" s="2"/>
      <x:c r="F138" s="2"/>
      <x:c r="G138" s="2"/>
      <x:c r="H138" s="33"/>
    </x:row>
    <x:row r="139">
      <x:c r="B139" s="2" t="s">
        <x:v>439</x:v>
      </x:c>
      <x:c r="C139" s="34">
        <x:v>613.5</x:v>
      </x:c>
      <x:c r="D139" s="2"/>
      <x:c r="E139" s="2"/>
      <x:c r="F139" s="2"/>
      <x:c r="G139" s="2"/>
      <x:c r="H139" s="33"/>
    </x:row>
    <x:row r="140">
      <x:c r="B140" s="2" t="s">
        <x:v>440</x:v>
      </x:c>
      <x:c r="C140" s="34">
        <x:v>0</x:v>
      </x:c>
      <x:c r="D140" s="2"/>
      <x:c r="E140" s="2"/>
      <x:c r="F140" s="2"/>
      <x:c r="G140" s="2"/>
      <x:c r="H140" s="33"/>
    </x:row>
    <x:row r="141">
      <x:c r="B141" s="2" t="s">
        <x:v>441</x:v>
      </x:c>
      <x:c r="C141" s="34">
        <x:v>-220</x:v>
      </x:c>
      <x:c r="D141" s="2"/>
      <x:c r="E141" s="2"/>
      <x:c r="F141" s="2"/>
      <x:c r="G141" s="2"/>
      <x:c r="H141" s="33"/>
    </x:row>
    <x:row r="142">
      <x:c r="B142" s="2" t="s">
        <x:v>442</x:v>
      </x:c>
      <x:c r="C142" s="34">
        <x:v>-750</x:v>
      </x:c>
      <x:c r="D142" s="2"/>
      <x:c r="E142" s="2"/>
      <x:c r="F142" s="2"/>
      <x:c r="G142" s="2"/>
      <x:c r="H142" s="33"/>
    </x:row>
    <x:row r="143">
      <x:c r="B143" s="2" t="s">
        <x:v>443</x:v>
      </x:c>
      <x:c r="C143" s="34">
        <x:v>-1050</x:v>
      </x:c>
      <x:c r="D143" s="2"/>
      <x:c r="E143" s="2"/>
      <x:c r="F143" s="2"/>
      <x:c r="G143" s="2"/>
      <x:c r="H143" s="33"/>
    </x:row>
    <x:row r="144">
      <x:c r="B144" s="2" t="s">
        <x:v>444</x:v>
      </x:c>
      <x:c r="C144" s="34">
        <x:v>400</x:v>
      </x:c>
      <x:c r="D144" s="2"/>
      <x:c r="E144" s="2"/>
      <x:c r="F144" s="2"/>
      <x:c r="G144" s="2"/>
      <x:c r="H144" s="33"/>
    </x:row>
    <x:row r="145">
      <x:c r="B145" s="2" t="s">
        <x:v>445</x:v>
      </x:c>
      <x:c r="C145" s="34">
        <x:v>-1000</x:v>
      </x:c>
      <x:c r="D145" s="2"/>
      <x:c r="E145" s="2"/>
      <x:c r="F145" s="2"/>
      <x:c r="G145" s="2"/>
      <x:c r="H145" s="33"/>
    </x:row>
    <x:row r="146">
      <x:c r="B146" s="2" t="s">
        <x:v>446</x:v>
      </x:c>
      <x:c r="C146" s="34">
        <x:v>2400</x:v>
      </x:c>
      <x:c r="D146" s="2"/>
      <x:c r="E146" s="2"/>
      <x:c r="F146" s="2"/>
      <x:c r="G146" s="2"/>
      <x:c r="H146" s="33"/>
    </x:row>
    <x:row r="147">
      <x:c r="B147" s="2" t="s">
        <x:v>447</x:v>
      </x:c>
      <x:c r="C147" s="34">
        <x:v>0</x:v>
      </x:c>
      <x:c r="D147" s="2"/>
      <x:c r="E147" s="2"/>
      <x:c r="F147" s="2"/>
      <x:c r="G147" s="2"/>
      <x:c r="H147" s="33"/>
    </x:row>
    <x:row r="148">
      <x:c r="B148" s="2" t="s">
        <x:v>448</x:v>
      </x:c>
      <x:c r="C148" s="34">
        <x:v>-40</x:v>
      </x:c>
      <x:c r="D148" s="2"/>
      <x:c r="E148" s="2"/>
      <x:c r="F148" s="2"/>
      <x:c r="G148" s="2"/>
      <x:c r="H148" s="33"/>
    </x:row>
    <x:row r="149">
      <x:c r="B149" s="2" t="s">
        <x:v>449</x:v>
      </x:c>
      <x:c r="C149" s="34">
        <x:v>-20</x:v>
      </x:c>
      <x:c r="D149" s="2"/>
      <x:c r="E149" s="2"/>
      <x:c r="F149" s="2"/>
      <x:c r="G149" s="2"/>
      <x:c r="H149" s="33"/>
    </x:row>
    <x:row r="150">
      <x:c r="B150" s="2" t="s">
        <x:v>450</x:v>
      </x:c>
      <x:c r="C150" s="34">
        <x:v>0.78</x:v>
      </x:c>
      <x:c r="D150" s="2"/>
      <x:c r="E150" s="2"/>
      <x:c r="F150" s="2"/>
      <x:c r="G150" s="2"/>
      <x:c r="H150" s="33"/>
    </x:row>
    <x:row r="151">
      <x:c r="B151" s="2" t="s">
        <x:v>451</x:v>
      </x:c>
      <x:c r="C151" s="34">
        <x:v>6</x:v>
      </x:c>
      <x:c r="D151" s="2"/>
      <x:c r="E151" s="2"/>
      <x:c r="F151" s="2"/>
      <x:c r="G151" s="2"/>
      <x:c r="H151" s="33"/>
    </x:row>
    <x:row r="152">
      <x:c r="B152" s="2" t="s">
        <x:v>452</x:v>
      </x:c>
      <x:c r="C152" s="34">
        <x:v>6</x:v>
      </x:c>
      <x:c r="D152" s="2"/>
      <x:c r="E152" s="2"/>
      <x:c r="F152" s="2"/>
      <x:c r="G152" s="2"/>
      <x:c r="H152" s="33"/>
    </x:row>
    <x:row r="153">
      <x:c r="B153" s="2" t="s">
        <x:v>453</x:v>
      </x:c>
      <x:c r="C153" s="34">
        <x:v>8</x:v>
      </x:c>
      <x:c r="D153" s="2"/>
      <x:c r="E153" s="2"/>
      <x:c r="F153" s="2"/>
      <x:c r="G153" s="2"/>
      <x:c r="H153" s="33"/>
    </x:row>
    <x:row r="154">
      <x:c r="B154" s="2" t="s">
        <x:v>454</x:v>
      </x:c>
      <x:c r="C154" s="34">
        <x:v>-0.1042857142857143</x:v>
      </x:c>
      <x:c r="D154" s="2"/>
      <x:c r="E154" s="2"/>
      <x:c r="F154" s="2"/>
      <x:c r="G154" s="2"/>
      <x:c r="H154" s="33"/>
    </x:row>
    <x:row r="155">
      <x:c r="B155" s="2" t="s">
        <x:v>455</x:v>
      </x:c>
      <x:c r="C155" s="34">
        <x:v>-0.005</x:v>
      </x:c>
      <x:c r="D155" s="2"/>
      <x:c r="E155" s="2"/>
      <x:c r="F155" s="2"/>
      <x:c r="G155" s="2"/>
      <x:c r="H155" s="33"/>
    </x:row>
    <x:row r="156">
      <x:c r="B156" s="2"/>
      <x:c r="C156" s="2"/>
      <x:c r="D156" s="2"/>
      <x:c r="E156" s="2"/>
      <x:c r="F156" s="2"/>
      <x:c r="G156" s="2"/>
      <x:c r="H156" s="33"/>
    </x:row>
    <x:row r="157">
      <x:c r="B157" s="2" t="s">
        <x:v>456</x:v>
      </x:c>
      <x:c r="C157" s="2" t="n">
        <x:f>(C150*C153+C151)/(C153+C152)</x:f>
        <x:v>0.8742857142857143</x:v>
      </x:c>
      <x:c r="D157" s="2"/>
      <x:c r="E157" s="2"/>
      <x:c r="F157" s="2"/>
      <x:c r="G157" s="2"/>
      <x:c r="H157" s="33"/>
    </x:row>
    <x:row r="158">
      <x:c r="B158" s="2" t="s">
        <x:v>457</x:v>
      </x:c>
      <x:c r="C158" s="2" t="n">
        <x:f>C157+C154</x:f>
        <x:v>0.77</x:v>
      </x:c>
      <x:c r="D158" s="2"/>
      <x:c r="E158" s="2"/>
      <x:c r="F158" s="2"/>
      <x:c r="G158" s="2"/>
      <x:c r="H158" s="33"/>
    </x:row>
    <x:row r="159">
      <x:c r="B159" s="2"/>
      <x:c r="C159" s="2"/>
      <x:c r="D159" s="2"/>
      <x:c r="E159" s="2"/>
      <x:c r="F159" s="2"/>
      <x:c r="G159" s="2"/>
      <x:c r="H159" s="33"/>
    </x:row>
    <x:row r="160">
      <x:c r="B160" s="2" t="s">
        <x:v>458</x:v>
      </x:c>
      <x:c r="C160" s="34">
        <x:v>16659.301</x:v>
      </x:c>
      <x:c r="D160" s="2"/>
      <x:c r="E160" s="2"/>
      <x:c r="F160" s="2"/>
      <x:c r="G160" s="2"/>
      <x:c r="H160" s="33"/>
    </x:row>
    <x:row r="161">
      <x:c r="B161" s="2" t="s">
        <x:v>459</x:v>
      </x:c>
      <x:c r="C161" s="34">
        <x:v>17727.871</x:v>
      </x:c>
      <x:c r="D161" s="2"/>
      <x:c r="E161" s="2"/>
      <x:c r="F161" s="2"/>
      <x:c r="G161" s="2"/>
      <x:c r="H161" s="33"/>
    </x:row>
    <x:row r="162">
      <x:c r="B162" s="2"/>
      <x:c r="C162" s="2"/>
      <x:c r="D162" s="2"/>
      <x:c r="E162" s="2"/>
      <x:c r="F162" s="2"/>
      <x:c r="G162" s="2"/>
      <x:c r="H162" s="33"/>
    </x:row>
    <x:row r="163">
      <x:c r="B163" s="2"/>
      <x:c r="C163" s="2"/>
      <x:c r="D163" s="2"/>
      <x:c r="E163" s="2"/>
      <x:c r="F163" s="2"/>
      <x:c r="G163" s="2"/>
      <x:c r="H163" s="33"/>
    </x:row>
    <x:row r="164">
      <x:c r="B164" s="2" t="s">
        <x:v>460</x:v>
      </x:c>
      <x:c r="C164" s="34">
        <x:v>16872.155</x:v>
      </x:c>
      <x:c r="D164" s="34">
        <x:v>12649.248</x:v>
      </x:c>
      <x:c r="E164" s="34">
        <x:v>4604.591</x:v>
      </x:c>
      <x:c r="F164" s="2"/>
      <x:c r="G164" s="2"/>
      <x:c r="H164" s="33"/>
    </x:row>
    <x:row r="165">
      <x:c r="B165" s="2" t="s">
        <x:v>461</x:v>
      </x:c>
      <x:c r="C165" s="34">
        <x:v>4430.268</x:v>
      </x:c>
      <x:c r="D165" s="34">
        <x:v>2956.569</x:v>
      </x:c>
      <x:c r="E165" s="34">
        <x:v>1235.53</x:v>
      </x:c>
      <x:c r="F165" s="2"/>
      <x:c r="G165" s="2"/>
      <x:c r="H165" s="33"/>
    </x:row>
    <x:row r="166">
      <x:c r="B166" s="2" t="s">
        <x:v>462</x:v>
      </x:c>
      <x:c r="C166" s="34">
        <x:v>612.594</x:v>
      </x:c>
      <x:c r="D166" s="34">
        <x:v>413.554</x:v>
      </x:c>
      <x:c r="E166" s="34">
        <x:v>126.235</x:v>
      </x:c>
      <x:c r="F166" s="2"/>
      <x:c r="G166" s="2"/>
      <x:c r="H166" s="33"/>
    </x:row>
    <x:row r="167">
      <x:c r="B167" s="2" t="s">
        <x:v>463</x:v>
      </x:c>
      <x:c r="C167" s="2">
        <x:v>16405.819</x:v>
      </x:c>
      <x:c r="D167" s="2"/>
      <x:c r="E167" s="2"/>
      <x:c r="F167" s="2"/>
      <x:c r="G167" s="2"/>
      <x:c r="H167" s="2"/>
    </x:row>
    <x:row r="168">
      <x:c r="B168" s="2" t="s">
        <x:v>464</x:v>
      </x:c>
      <x:c r="C168" s="2">
        <x:v>64896.464</x:v>
      </x:c>
      <x:c r="D168" s="2"/>
      <x:c r="E168" s="2"/>
      <x:c r="F168" s="2"/>
      <x:c r="G168" s="2"/>
      <x:c r="H168" s="2"/>
    </x:row>
    <x:row r="169">
      <x:c r="B169" s="2" t="s">
        <x:v>465</x:v>
      </x:c>
      <x:c r="C169" s="2"/>
      <x:c r="D169" s="2"/>
      <x:c r="E169" s="2"/>
      <x:c r="F169" s="2"/>
      <x:c r="G169" s="2"/>
      <x:c r="H169" s="2"/>
    </x:row>
    <x:row r="170">
      <x:c r="B170" s="2" t="s">
        <x:v>466</x:v>
      </x:c>
      <x:c r="C170" s="2">
        <x:v>2750.513</x:v>
      </x:c>
      <x:c r="D170" s="2">
        <x:v>10837.174</x:v>
      </x:c>
      <x:c r="E170" s="2">
        <x:v>2857.885</x:v>
      </x:c>
      <x:c r="F170" s="2">
        <x:v>2729.655</x:v>
      </x:c>
      <x:c r="G170" s="2">
        <x:v>2912.485</x:v>
      </x:c>
      <x:c r="H170" s="2"/>
    </x:row>
    <x:row r="171">
      <x:c r="B171" s="2" t="s">
        <x:v>467</x:v>
      </x:c>
      <x:c r="C171" s="2">
        <x:v>2872.964</x:v>
      </x:c>
      <x:c r="D171" s="2">
        <x:v>11610.225</x:v>
      </x:c>
      <x:c r="E171" s="2">
        <x:v>3168.835</x:v>
      </x:c>
      <x:c r="F171" s="2">
        <x:v>3010.43</x:v>
      </x:c>
      <x:c r="G171" s="2">
        <x:v>3278.891</x:v>
      </x:c>
      <x:c r="H171" s="2"/>
    </x:row>
    <x:row r="172">
      <x:c r="B172" s="2" t="s">
        <x:v>468</x:v>
      </x:c>
      <x:c r="C172" s="2">
        <x:v>3613.865</x:v>
      </x:c>
      <x:c r="D172" s="2">
        <x:v>13840.634</x:v>
      </x:c>
      <x:c r="E172" s="2">
        <x:v>3812.609</x:v>
      </x:c>
      <x:c r="F172" s="2">
        <x:v>3608.912</x:v>
      </x:c>
      <x:c r="G172" s="2">
        <x:v>3777.684</x:v>
      </x:c>
      <x:c r="H172" s="2"/>
    </x:row>
    <x:row r="173">
      <x:c r="B173" s="2" t="s">
        <x:v>469</x:v>
      </x:c>
      <x:c r="C173" s="2">
        <x:v>4948.907</x:v>
      </x:c>
      <x:c r="D173" s="2">
        <x:v>19554.154</x:v>
      </x:c>
      <x:c r="E173" s="2">
        <x:v>5425.317</x:v>
      </x:c>
      <x:c r="F173" s="2">
        <x:v>5051.839</x:v>
      </x:c>
      <x:c r="G173" s="2">
        <x:v>5344.109</x:v>
      </x:c>
      <x:c r="H173" s="2"/>
    </x:row>
    <x:row r="174">
      <x:c r="B174" s="2" t="s">
        <x:v>470</x:v>
      </x:c>
      <x:c r="C174" s="2">
        <x:v>2219.57</x:v>
      </x:c>
      <x:c r="D174" s="2">
        <x:v>9054.277</x:v>
      </x:c>
      <x:c r="E174" s="2">
        <x:v>2424.899</x:v>
      </x:c>
      <x:c r="F174" s="2">
        <x:v>2258.465</x:v>
      </x:c>
      <x:c r="G174" s="2">
        <x:v>2414.702</x:v>
      </x:c>
      <x:c r="H174" s="2"/>
    </x:row>
    <x:row r="175">
      <x:c r="B175" s="2" t="s">
        <x:v>471</x:v>
      </x:c>
      <x:c r="C175" s="2">
        <x:v>8260.395</x:v>
      </x:c>
      <x:c r="D175" s="2">
        <x:v>33195.104</x:v>
      </x:c>
      <x:c r="E175" s="2">
        <x:v>9045.228</x:v>
      </x:c>
      <x:c r="F175" s="2">
        <x:v>8282.26</x:v>
      </x:c>
      <x:c r="G175" s="2">
        <x:v>9007.033</x:v>
      </x:c>
      <x:c r="H175" s="2"/>
    </x:row>
    <x:row r="176">
      <x:c r="B176" s="2" t="s">
        <x:v>472</x:v>
      </x:c>
      <x:c r="C176" s="2">
        <x:v>8145.424</x:v>
      </x:c>
      <x:c r="D176" s="2">
        <x:v>31701.36</x:v>
      </x:c>
      <x:c r="E176" s="2">
        <x:v>8644.317</x:v>
      </x:c>
      <x:c r="F176" s="2">
        <x:v>8377.041</x:v>
      </x:c>
      <x:c r="G176" s="2">
        <x:v>8720.838</x:v>
      </x:c>
      <x:c r="H176" s="2"/>
    </x:row>
    <x:row r="177">
      <x:c r="B177" s="2"/>
      <x:c r="C177" s="2"/>
      <x:c r="D177" s="2"/>
      <x:c r="E177" s="2"/>
      <x:c r="F177" s="2"/>
      <x:c r="G177" s="2"/>
      <x:c r="H177" s="2"/>
    </x:row>
    <x:row r="178">
      <x:c r="B178" s="2"/>
      <x:c r="C178" s="2"/>
      <x:c r="D178" s="2"/>
      <x:c r="E178" s="2"/>
      <x:c r="F178" s="2"/>
      <x:c r="G178" s="2"/>
      <x:c r="H178" s="2"/>
    </x:row>
    <x:row r="179">
      <x:c r="B179" s="2"/>
      <x:c r="C179" s="2"/>
      <x:c r="D179" s="2"/>
      <x:c r="E179" s="2"/>
      <x:c r="F179" s="2"/>
      <x:c r="G179" s="2"/>
      <x:c r="H179" s="2"/>
    </x:row>
    <x:row r="180">
      <x:c r="B180" s="2"/>
      <x:c r="C180" s="2"/>
      <x:c r="D180" s="2"/>
      <x:c r="E180" s="2"/>
      <x:c r="F180" s="2"/>
      <x:c r="G180" s="2"/>
      <x:c r="H180" s="2"/>
    </x:row>
    <x:row r="181">
      <x:c r="B181" s="2" t="s">
        <x:v>473</x:v>
      </x:c>
      <x:c r="C181" s="2">
        <x:v>0.05</x:v>
      </x:c>
      <x:c r="D181" s="2"/>
      <x:c r="E181" s="2"/>
      <x:c r="F181" s="2"/>
      <x:c r="G181" s="2">
        <x:v>0.09</x:v>
      </x:c>
      <x:c r="H181" s="2"/>
    </x:row>
    <x:row r="182">
      <x:c r="B182" s="2" t="s">
        <x:v>474</x:v>
      </x:c>
      <x:c r="C182" s="2">
        <x:v>0.12</x:v>
      </x:c>
      <x:c r="D182" s="2"/>
      <x:c r="E182" s="2"/>
      <x:c r="F182" s="2"/>
      <x:c r="G182" s="2">
        <x:v>0.03</x:v>
      </x:c>
      <x:c r="H182" s="2"/>
    </x:row>
    <x:row r="183">
      <x:c r="B183" s="2" t="s">
        <x:v>475</x:v>
      </x:c>
      <x:c r="C183" s="2">
        <x:v>-0.03</x:v>
      </x:c>
      <x:c r="D183" s="2"/>
      <x:c r="E183" s="2"/>
      <x:c r="F183" s="2"/>
      <x:c r="G183" s="2">
        <x:v>0</x:v>
      </x:c>
      <x:c r="H183" s="2"/>
    </x:row>
    <x:row r="184">
      <x:c r="B184" s="2" t="s">
        <x:v>476</x:v>
      </x:c>
      <x:c r="C184" s="2">
        <x:v>0.05</x:v>
      </x:c>
      <x:c r="D184" s="2"/>
      <x:c r="E184" s="2"/>
      <x:c r="F184" s="2"/>
      <x:c r="G184" s="2">
        <x:v>0.03</x:v>
      </x:c>
      <x:c r="H184" s="2"/>
    </x:row>
    <x:row r="185">
      <x:c r="B185" s="2" t="s">
        <x:v>477</x:v>
      </x:c>
      <x:c r="C185" s="2">
        <x:v>0.05</x:v>
      </x:c>
      <x:c r="D185" s="2"/>
      <x:c r="E185" s="2"/>
      <x:c r="F185" s="2"/>
      <x:c r="G185" s="2">
        <x:v>0.01</x:v>
      </x:c>
      <x:c r="H185" s="2"/>
    </x:row>
    <x:row r="186">
      <x:c r="B186" s="2" t="s">
        <x:v>478</x:v>
      </x:c>
      <x:c r="C186" s="2">
        <x:v>0.03</x:v>
      </x:c>
      <x:c r="D186" s="2"/>
      <x:c r="E186" s="2"/>
      <x:c r="F186" s="2"/>
      <x:c r="G186" s="2">
        <x:v>0.01</x:v>
      </x:c>
      <x:c r="H186" s="2"/>
    </x:row>
    <x:row r="187">
      <x:c r="B187" s="2" t="s">
        <x:v>479</x:v>
      </x:c>
      <x:c r="C187" s="2">
        <x:v>0.06</x:v>
      </x:c>
      <x:c r="D187" s="2"/>
      <x:c r="E187" s="2"/>
      <x:c r="F187" s="2"/>
      <x:c r="G187" s="2">
        <x:v>0.05</x:v>
      </x:c>
      <x:c r="H187" s="2"/>
    </x:row>
    <x:row r="190">
      <x:c r="B190" s="2" t="s">
        <x:v>480</x:v>
      </x:c>
      <x:c r="C190" s="34">
        <x:v>3.59</x:v>
      </x:c>
      <x:c r="D190" s="2"/>
      <x:c r="E190" s="2"/>
      <x:c r="F190" s="2"/>
      <x:c r="G190" s="2"/>
      <x:c r="H190" s="2"/>
    </x:row>
    <x:row r="191">
      <x:c r="B191" s="2" t="s">
        <x:v>481</x:v>
      </x:c>
      <x:c r="C191" s="34">
        <x:v>2.66</x:v>
      </x:c>
      <x:c r="D191" s="2"/>
      <x:c r="E191" s="2"/>
      <x:c r="F191" s="2"/>
      <x:c r="G191" s="2"/>
      <x:c r="H191" s="2"/>
    </x:row>
    <x:row r="192">
      <x:c r="B192" s="2" t="s">
        <x:v>482</x:v>
      </x:c>
      <x:c r="C192" s="34">
        <x:v>11.44</x:v>
      </x:c>
      <x:c r="D192" s="2"/>
      <x:c r="E192" s="2"/>
      <x:c r="F192" s="2"/>
      <x:c r="G192" s="2"/>
      <x:c r="H192" s="2"/>
    </x:row>
    <x:row r="193">
      <x:c r="B193" s="2" t="s">
        <x:v>483</x:v>
      </x:c>
      <x:c r="C193" s="34">
        <x:v>32193.134</x:v>
      </x:c>
      <x:c r="D193" s="2"/>
      <x:c r="E193" s="2"/>
      <x:c r="F193" s="2"/>
      <x:c r="G193" s="2"/>
      <x:c r="H193" s="2"/>
    </x:row>
    <x:row r="194">
      <x:c r="B194" s="2" t="s">
        <x:v>484</x:v>
      </x:c>
      <x:c r="C194" s="34">
        <x:v>22292.584</x:v>
      </x:c>
      <x:c r="D194" s="2"/>
      <x:c r="E194" s="2"/>
      <x:c r="F194" s="2"/>
      <x:c r="G194" s="2"/>
      <x:c r="H194" s="2"/>
    </x:row>
    <x:row r="195">
      <x:c r="B195" s="2" t="s">
        <x:v>485</x:v>
      </x:c>
      <x:c r="C195" s="34">
        <x:v>9626.027</x:v>
      </x:c>
      <x:c r="D195" s="2"/>
      <x:c r="E195" s="2"/>
      <x:c r="F195" s="2"/>
      <x:c r="G195" s="2"/>
      <x:c r="H195" s="2"/>
    </x:row>
    <x:row r="202">
      <x:c r="B202" s="2" t="s">
        <x:v>486</x:v>
      </x:c>
      <x:c r="C202" s="34">
        <x:v>11068.363</x:v>
      </x:c>
      <x:c r="D202" s="34"/>
      <x:c r="E202" s="34"/>
      <x:c r="F202" s="34"/>
      <x:c r="G202" s="34"/>
      <x:c r="H202" s="2"/>
    </x:row>
    <x:row r="203">
      <x:c r="B203" s="2" t="s">
        <x:v>487</x:v>
      </x:c>
      <x:c r="C203" s="34">
        <x:v>43734.147</x:v>
      </x:c>
      <x:c r="D203" s="34"/>
      <x:c r="E203" s="34"/>
      <x:c r="F203" s="34"/>
      <x:c r="G203" s="34"/>
      <x:c r="H203" s="2"/>
    </x:row>
    <x:row r="204">
      <x:c r="B204" s="2" t="s">
        <x:v>488</x:v>
      </x:c>
      <x:c r="C204" s="34">
        <x:v>2353.668</x:v>
      </x:c>
      <x:c r="D204" s="34">
        <x:v>9595.847</x:v>
      </x:c>
      <x:c r="E204" s="34">
        <x:v>2948.477</x:v>
      </x:c>
      <x:c r="F204" s="34">
        <x:v>2244.714</x:v>
      </x:c>
      <x:c r="G204" s="34">
        <x:v>2982.782</x:v>
      </x:c>
      <x:c r="H204" s="2"/>
    </x:row>
  </x:sheetData>
  <x:pageMargins left="0.7" right="0.7" top="0.75" bottom="0.75" header="0.3" footer="0.3"/>
</x:worksheet>
</file>