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Income Statement" sheetId="3" r:id="rId4"/>
    <sheet name="Balance Sheet" sheetId="4" r:id="rId5"/>
    <sheet name="Cash Flow Statement" sheetId="5" r:id="rId6"/>
    <sheet name="Geo" sheetId="6" r:id="rId7"/>
    <sheet name="Share Count" sheetId="7" r:id="rId8"/>
    <sheet name="Guidance" sheetId="8" r:id="rId9"/>
    <sheet name="Sources" sheetId="9" r:id="rId10"/>
    <sheet name="Inputs" sheetId="10" r:id="rId11"/>
  </sheets>
  <calcPr calcId="0"/>
</workbook>
</file>

<file path=xl/sharedStrings.xml><?xml version="1.0" encoding="utf-8"?>
<sst xmlns="http://schemas.openxmlformats.org/spreadsheetml/2006/main" count="1532" uniqueCount="716">
  <si>
    <t>Western Digital Corporation (NasdaqGS: WDC)</t>
  </si>
  <si>
    <t>Cover — Company Model — built by Shortcut</t>
  </si>
  <si>
    <t>$ millions, except per share</t>
  </si>
  <si>
    <t>Non-period tab — columns below are not periods. Forecast quarter: 1Q27E (FQ1 2027, Jul-4 to Oct-2-2026, 91 days)</t>
  </si>
  <si>
    <t>Notes / sources</t>
  </si>
  <si>
    <t>Company Model — built by Shortcut</t>
  </si>
  <si>
    <t>Author</t>
  </si>
  <si>
    <t>Shortcut (model built by Shortcut)</t>
  </si>
  <si>
    <t>Company</t>
  </si>
  <si>
    <t>Western Digital Corporation (WD)</t>
  </si>
  <si>
    <t>Ticker</t>
  </si>
  <si>
    <t>WDC</t>
  </si>
  <si>
    <t>Exchange</t>
  </si>
  <si>
    <t>Nasdaq Global Select Market (NasdaqGS:WDC)</t>
  </si>
  <si>
    <t>Fiscal year end</t>
  </si>
  <si>
    <t>52/53-week year ending Friday nearest Jun-30 (FY26 ended Jul-3-2026; CapIQ label "Jun-30")</t>
  </si>
  <si>
    <t>Reporting currency</t>
  </si>
  <si>
    <t>USD; $ millions except per-share data</t>
  </si>
  <si>
    <t>EPS basis</t>
  </si>
  <si>
    <t>Non-GAAP (normalized) diluted EPS from continuing ops per common share, USD — CapIQ normalized basis</t>
  </si>
  <si>
    <t>Forecast period</t>
  </si>
  <si>
    <t>FQ1 2027 (1Q27E): Jul-4 to Oct-2-2026, 13 weeks; supplied label 2026-09-30 is month-end shorthand</t>
  </si>
  <si>
    <t>Information cutoff</t>
  </si>
  <si>
    <t>2026-10-18 21:34:46 UTC</t>
  </si>
  <si>
    <t>Expected report date</t>
  </si>
  <si>
    <t>2026-10-22 after market close (issuer, S18); CapIQ supplied 2026-10-29 (unconfirmed)</t>
  </si>
  <si>
    <t>Consensus snapshot</t>
  </si>
  <si>
    <t>S&amp;P Capital IQ, captured 2026-10-18 (date precision); 20 normalized-EPS estimates</t>
  </si>
  <si>
    <t>Headline — 1Q27E (FQ1 2027)</t>
  </si>
  <si>
    <t>Shortcut est.</t>
  </si>
  <si>
    <t>Consensus</t>
  </si>
  <si>
    <t>Variance</t>
  </si>
  <si>
    <t>Variance %</t>
  </si>
  <si>
    <t>Guide mid</t>
  </si>
  <si>
    <t>Est − guide</t>
  </si>
  <si>
    <t>Revenue ($M)</t>
  </si>
  <si>
    <t>Consensus: CapIQ revenue mean, 19 estimates (S19)</t>
  </si>
  <si>
    <t>Net income — non-GAAP diluted ($M)</t>
  </si>
  <si>
    <t>Consensus: CapIQ net income excl. exceptional items; guide mid = EPS mid × guided shares</t>
  </si>
  <si>
    <t>EPS — normalized diluted ($)</t>
  </si>
  <si>
    <t>Frozen CapIQ normalized EPS consensus $4.08 (scoring baseline, Oct-18); earlier MarketBeat preview $4.08 (Oct-15, S30) consistent</t>
  </si>
  <si>
    <t>Memo: GAAP dil. EPS* ($)</t>
  </si>
  <si>
    <t>n.a.</t>
  </si>
  <si>
    <t>*Excludes unquantified GAAP-only items (business realignment IS H134; Aug-26-2026 note-exchange cost IS H137) — not guided or disclosed; assumed 0 as a simplifying assumption (not a sourced absence); not a verified GAAP EPS. GAAP consensus mean, 5 estimates; issuer gives no GAAP guidance</t>
  </si>
  <si>
    <t>Memo: GAAP dil. NI* ($M)</t>
  </si>
  <si>
    <t>*Excludes unquantified GAAP-only items (same as row 27); normalized EPS (row 26) unaffected</t>
  </si>
  <si>
    <t>Overall check result</t>
  </si>
  <si>
    <t>Scalar checks (each row: all cells numeric and Σ|residual| &lt; 0.001; boolean checks tested cell-by-cell: IS C64:H64, C111:H111, Cover C32): segments=total, BS balances, cash ties, FCF ties, Geo=total, EPS=NI/shares, bridge ties, Cover ties. Rev. summary G59 (FY end markets vs 10-K) is an identity, not validation: 4Q26 is derived as FY26 10-K − 9M. Forecast-column checks (Rev. summary H55/H94, Geo H43, IS H64/H111/H112, Cover C32) are identities by construction, not validation; H assumptions (IS H39 I&amp;O plug, BS H22/CF H25 accrued-comp allocation) are disclosed, not checked</t>
  </si>
  <si>
    <t>P(beat consensus EPS)</t>
  </si>
  <si>
    <t>Confidence</t>
  </si>
  <si>
    <t>medium</t>
  </si>
  <si>
    <t>Cover ties to statements</t>
  </si>
  <si>
    <t>Revenue, NI and EPS equal the statement cells; EPS = NI ÷ diluted shares</t>
  </si>
  <si>
    <t>Beat-probability calibration (playbook v2: size &amp; issuer history)</t>
  </si>
  <si>
    <t>Starting p = (8 × cohort prior + b) / (8 + n); then quarter-specific update</t>
  </si>
  <si>
    <t>Last close Oct-16-2026 ($/sh)</t>
  </si>
  <si>
    <t>Shares out., Aug-7-2026 (M)</t>
  </si>
  <si>
    <t>Market capitalization ($M)</t>
  </si>
  <si>
    <t>Cross-check: $130.1B on Oct-14-2026 (S28) — large cap either way</t>
  </si>
  <si>
    <t>Large-cap threshold ($M)</t>
  </si>
  <si>
    <t>Playbook: small $300M-$2B, mid $2B-$10B, large &gt; $10B</t>
  </si>
  <si>
    <t>Mid-cap threshold ($M)</t>
  </si>
  <si>
    <t>Size bucket</t>
  </si>
  <si>
    <t>S&amp;P 500 member</t>
  </si>
  <si>
    <t>Yes</t>
  </si>
  <si>
    <t>FY26 10-K Item 1: "a Standard &amp; Poor's 500 (S&amp;P 500) company" (S07)</t>
  </si>
  <si>
    <t>Cohort prior — large cap or S&amp;P 500</t>
  </si>
  <si>
    <t>Playbook v2 priors (hypotheses, not proven probabilities)</t>
  </si>
  <si>
    <t>Cohort prior — mid cap</t>
  </si>
  <si>
    <t>Cohort prior — small cap</t>
  </si>
  <si>
    <t>Cohort prior applied</t>
  </si>
  <si>
    <t>b — strict EPS beats</t>
  </si>
  <si>
    <t>n — valid actual/consensus pairs</t>
  </si>
  <si>
    <t>All six used; Mar/Jun-2025 actuals predate capped-call share method (immaterial, basis kept)</t>
  </si>
  <si>
    <t>Pseudo-count</t>
  </si>
  <si>
    <t>Starting probability</t>
  </si>
  <si>
    <t>Quarter-specific update (pp)</t>
  </si>
  <si>
    <t>Model EPS only +$0.07 vs consensus (σ≈$0.12 → ~72%); DRAM/NAND cost headwind &amp; product transition (S12) vs pricing checks (S20) &amp; guide-beat record</t>
  </si>
  <si>
    <t>Final probability</t>
  </si>
  <si>
    <t>Mean surprise, 6 qtrs ($/sh)</t>
  </si>
  <si>
    <t>Model EPS − frozen consensus ($/sh)</t>
  </si>
  <si>
    <t>Revenue summary &amp; HDD revenue drivers</t>
  </si>
  <si>
    <t>Period</t>
  </si>
  <si>
    <t>1Q26A</t>
  </si>
  <si>
    <t>2Q26A</t>
  </si>
  <si>
    <t>3Q26A</t>
  </si>
  <si>
    <t>4Q26A</t>
  </si>
  <si>
    <t>FY26A</t>
  </si>
  <si>
    <t>1Q27E</t>
  </si>
  <si>
    <t>Period end</t>
  </si>
  <si>
    <t>Days in period</t>
  </si>
  <si>
    <t>Revenue by end market ($M)</t>
  </si>
  <si>
    <t>Single reportable segment (HDD) per 10-Q/10-K; end-market split is the disclosed revenue component; drivers built below (no Segment tabs)</t>
  </si>
  <si>
    <t>Cloud</t>
  </si>
  <si>
    <t>S06 10-Q disaggregation; 4Q26 from Q4 call (S02) &amp; FY26 10-K less 9M (S07)</t>
  </si>
  <si>
    <t>% Y/Y</t>
  </si>
  <si>
    <t>% Q/Q</t>
  </si>
  <si>
    <t>Abs. Q/Q change ($M)</t>
  </si>
  <si>
    <t>% of total revenue</t>
  </si>
  <si>
    <t>Mix change Y/Y (bps)</t>
  </si>
  <si>
    <t>Mix change Q/Q (bps)</t>
  </si>
  <si>
    <t>Days-adjusted Y/Y (per day)</t>
  </si>
  <si>
    <t>Adjusts for 14-week 1Q26 (98 days) vs 13-week quarters</t>
  </si>
  <si>
    <t>M&amp;A / scope impact</t>
  </si>
  <si>
    <t>Not disclosed by issuer (no acquisitions/divestitures reported within continuing ops) — unavailable</t>
  </si>
  <si>
    <t>FX impact</t>
  </si>
  <si>
    <t>FX effect on revenue not disclosed — unavailable</t>
  </si>
  <si>
    <t>Organic growth</t>
  </si>
  <si>
    <t>Organic = (1+Y/Y)/((1+M&amp;A)*(1+FX))-1 — unavailable: M&amp;A and FX not disclosed (never assumed zero)</t>
  </si>
  <si>
    <t>Client</t>
  </si>
  <si>
    <t>Consumer</t>
  </si>
  <si>
    <t>Total revenue</t>
  </si>
  <si>
    <t>Geography: three disclosed regions — see Geo tab</t>
  </si>
  <si>
    <t>Reconciliation checks</t>
  </si>
  <si>
    <t>Reported totals from CapIQ actuals (Inputs) and FY26 10-K (S07)</t>
  </si>
  <si>
    <t>Reported total revenue</t>
  </si>
  <si>
    <t>H: driver-build total (forecast has no reported figure)</t>
  </si>
  <si>
    <t>Check: end markets − total</t>
  </si>
  <si>
    <t>10-K FY26 Cloud revenue</t>
  </si>
  <si>
    <t>S07 FY26 10-K MD&amp;A disaggregation</t>
  </si>
  <si>
    <t>10-K FY26 Client revenue</t>
  </si>
  <si>
    <t>10-K FY26 Consumer revenue</t>
  </si>
  <si>
    <t>Identity: FY26 end markets − 10-K (diff)</t>
  </si>
  <si>
    <t>Identity by construction, not an independent check: 4Q26 = FY26 10-K (S07) − 9M. Corroboration only: Q4 call (S02) Client $225M and Consumer $187M match; Cloud "$3.3B" is rounded</t>
  </si>
  <si>
    <t>HDD revenue drivers — exabytes shipped &amp; revenue per exabyte</t>
  </si>
  <si>
    <t>Exabytes from earnings decks (S08-S11); $/TB = revenue $M / EB; Cloud≈nearline and Client+Consumer≈non-nearline mapping is an analyst approximation</t>
  </si>
  <si>
    <t>Nearline exabytes shipped (EB)</t>
  </si>
  <si>
    <t>H assumption: +3.3% Q/Q — 40TB ePMR ramp begins (S02, S12); supply growth "low 20s" on 13-wk basis</t>
  </si>
  <si>
    <t>Abs. Q/Q change (EB)</t>
  </si>
  <si>
    <t>Non-nearline exabytes shipped (EB)</t>
  </si>
  <si>
    <t>H assumption: flat Q/Q</t>
  </si>
  <si>
    <t>Total exabytes shipped (EB)</t>
  </si>
  <si>
    <t>Nearline share of exabytes (%)</t>
  </si>
  <si>
    <t>Change Y/Y (bps)</t>
  </si>
  <si>
    <t>Change Q/Q (bps)</t>
  </si>
  <si>
    <t>Exabytes shipped per day (EB/day)</t>
  </si>
  <si>
    <t>% Y/Y (days-adjusted EB growth)</t>
  </si>
  <si>
    <t>Abs. Q/Q change (EB/day)</t>
  </si>
  <si>
    <t>Blended revenue per exabyte ($/TB)</t>
  </si>
  <si>
    <t>Abs. Q/Q change ($/TB)</t>
  </si>
  <si>
    <t>Cloud $/TB (per nearline EB)</t>
  </si>
  <si>
    <t>H: +8.4% Q/Q (4Q26A +6.8%). Guide $4.1B at ~238 EB already implies blended ≈$17.2/TB (+25% Y/Y); LTA step-ups &amp; upside volume (S12,S20,S21)</t>
  </si>
  <si>
    <t>Client+Consumer $/TB (non-NL EB)</t>
  </si>
  <si>
    <t>H assumption: +6.8% Q/Q; mgmt: fastest price increases in non-nearline (S02)</t>
  </si>
  <si>
    <t>Cloud revenue = nearline EB × $/TB</t>
  </si>
  <si>
    <t>Client+Consumer = non-NL EB × $/TB</t>
  </si>
  <si>
    <t>Client share of Client+Consumer</t>
  </si>
  <si>
    <t>H assumption: 54% (4Q26A 54.6%)</t>
  </si>
  <si>
    <t>Client revenue (build)</t>
  </si>
  <si>
    <t>Consumer revenue (build)</t>
  </si>
  <si>
    <t>Total revenue (driver build)</t>
  </si>
  <si>
    <t>Check: driver build − total</t>
  </si>
  <si>
    <t>Customer concentration &amp; channel (annual 10-K disclosure)</t>
  </si>
  <si>
    <t>Quarterly values not disclosed (n.a.); FY26 vs FY25 from 10-K (S07)</t>
  </si>
  <si>
    <t>Top-10 customers, % of revenue</t>
  </si>
  <si>
    <t>Largest customer, % of revenue</t>
  </si>
  <si>
    <t>International sales, % of revenue</t>
  </si>
  <si>
    <t>Sales incentives, % gross revenue</t>
  </si>
  <si>
    <t>Year-ago comparatives (each column = same period one year earlier; H = 1Q26A)</t>
  </si>
  <si>
    <t>1Q25-4Q25 &amp; FY25 from 10-Q/10-K and Q1FY26/Q2FY26 decks (S06, S07, S08, S09)</t>
  </si>
  <si>
    <t>Year-ago period</t>
  </si>
  <si>
    <t>1Q25A</t>
  </si>
  <si>
    <t>2Q25A</t>
  </si>
  <si>
    <t>3Q25A</t>
  </si>
  <si>
    <t>4Q25A</t>
  </si>
  <si>
    <t>FY25A</t>
  </si>
  <si>
    <t>Cloud revenue</t>
  </si>
  <si>
    <t>FY25 = Σ quarters (10-K FY25: 8,341)</t>
  </si>
  <si>
    <t>Client revenue</t>
  </si>
  <si>
    <t>FY25 = Σ quarters (10-K FY25: 556)</t>
  </si>
  <si>
    <t>Consumer revenue</t>
  </si>
  <si>
    <t>FY25 = Σ quarters (10-K FY25: 623)</t>
  </si>
  <si>
    <t>Nearline exabytes (EB)</t>
  </si>
  <si>
    <t>Non-nearline exabytes (EB)</t>
  </si>
  <si>
    <t>Total exabytes (EB)</t>
  </si>
  <si>
    <t>Days in year-ago period</t>
  </si>
  <si>
    <t>Top-10 customers, % of revenue (FY25)</t>
  </si>
  <si>
    <t>Largest customer, % of revenue (FY25)</t>
  </si>
  <si>
    <t>International sales, % of revenue (FY25)</t>
  </si>
  <si>
    <t>Sales incentive programs, % of gross revenue (FY25)</t>
  </si>
  <si>
    <t>Income Statement (GAAP) &amp; non-GAAP bridge</t>
  </si>
  <si>
    <t>Income statement — GAAP, as reported ($M)</t>
  </si>
  <si>
    <t>Earnings releases S01, S03-S05 (8-K Ex.99.1); FY26 10-K (S07). FY = sum of quarters for flows</t>
  </si>
  <si>
    <t>Revenue, net</t>
  </si>
  <si>
    <t>Cost of revenue</t>
  </si>
  <si>
    <t>Gross profit</t>
  </si>
  <si>
    <t>H: revenue × non-GAAP GM assumption − excluded COGS items</t>
  </si>
  <si>
    <t>Gross margin (GAAP)</t>
  </si>
  <si>
    <t>Gross profit % Y/Y</t>
  </si>
  <si>
    <t>Research and development</t>
  </si>
  <si>
    <t>Selling, general &amp; admin.</t>
  </si>
  <si>
    <t>Litigation matter</t>
  </si>
  <si>
    <t>H: none guided</t>
  </si>
  <si>
    <t>Business realignment charges</t>
  </si>
  <si>
    <t>Total operating expenses</t>
  </si>
  <si>
    <t>Opex % of revenue</t>
  </si>
  <si>
    <t>Operating income</t>
  </si>
  <si>
    <t>Operating margin (GAAP)</t>
  </si>
  <si>
    <t>Operating income % Y/Y</t>
  </si>
  <si>
    <t>Interest and other income (expense):</t>
  </si>
  <si>
    <t>Interest income</t>
  </si>
  <si>
    <t>Q1-Q3 10-Q (S13-S15); 4Q26 = FY26 10-K less 9M. H: held at 4Q26A</t>
  </si>
  <si>
    <t>Interest expense</t>
  </si>
  <si>
    <t>H: held at 4Q26A</t>
  </si>
  <si>
    <t>Gain (loss) on Sandisk interest</t>
  </si>
  <si>
    <t>H: monetization completed in 4Q26 (S02) — no retained shares</t>
  </si>
  <si>
    <t>Debt-for-equity exchange costs</t>
  </si>
  <si>
    <t>Convert notes transaction costs</t>
  </si>
  <si>
    <t>H: Aug-26-2026 exchange of $191.0M notes (S16) may create a GAAP-only cost; not quantified — assumed 0 via driver H137</t>
  </si>
  <si>
    <t>Equity-for-equity exchange costs</t>
  </si>
  <si>
    <t>Other income (expense), net</t>
  </si>
  <si>
    <t>H: plug so non-GAAP interest &amp; other = guided ~$(15)M</t>
  </si>
  <si>
    <t>Total interest &amp; other, net</t>
  </si>
  <si>
    <t>Income before taxes</t>
  </si>
  <si>
    <t>Income tax expense</t>
  </si>
  <si>
    <t>H: non-GAAP tax less tax effect of excluded items</t>
  </si>
  <si>
    <t>Effective tax rate (GAAP)</t>
  </si>
  <si>
    <t>n.m. where year-ago GAAP ETR is negative or &gt;100% (3Q25 −943%, FY25 −45%: tax benefits)</t>
  </si>
  <si>
    <t>Net income, continuing ops</t>
  </si>
  <si>
    <t>Net income, discontinued ops</t>
  </si>
  <si>
    <t>Net income</t>
  </si>
  <si>
    <t>Net margin</t>
  </si>
  <si>
    <t>Participating securities allocation</t>
  </si>
  <si>
    <t>FY reported on annual two-class basis (≠ sum of quarters); preferred converted Feb-2026, 4Q26A = 0 → H = 0</t>
  </si>
  <si>
    <t>Basic NI attributable to common</t>
  </si>
  <si>
    <t>Re-allocation to dilutive securities</t>
  </si>
  <si>
    <t>FY reported annual figure</t>
  </si>
  <si>
    <t>Diluted NI to common (GAAP)</t>
  </si>
  <si>
    <t>Memo: FY two-class allocation vs sum of quarters (diff)</t>
  </si>
  <si>
    <t>Annual two-class computation; not an error</t>
  </si>
  <si>
    <t>Basic weighted shares (M)</t>
  </si>
  <si>
    <t>Diluted weighted shares, GAAP (M)</t>
  </si>
  <si>
    <t>EPS — basic, continuing ops (GAAP)</t>
  </si>
  <si>
    <t>EPS — diluted, continuing ops (GAAP)</t>
  </si>
  <si>
    <t>Reported GAAP diluted EPS (memo)</t>
  </si>
  <si>
    <t>Quarters: CapIQ GAAP actuals (Inputs); FY: 10-K</t>
  </si>
  <si>
    <t>Check: GAAP EPS = NI ÷ shares</t>
  </si>
  <si>
    <t>GAAP to non-GAAP bridge — one row per adjustment ($M)</t>
  </si>
  <si>
    <t>Issuer reconciliation tables (S01, S03-S05); H per 1Q27 guidance exclusions (S01)</t>
  </si>
  <si>
    <t>GAAP gross profit</t>
  </si>
  <si>
    <t>+ SBC (cost of revenue)</t>
  </si>
  <si>
    <t>H: guidance ~$10M SBC excluded from GM</t>
  </si>
  <si>
    <t>+ Litigation (cost of revenue)</t>
  </si>
  <si>
    <t>+ Other (cost of revenue)</t>
  </si>
  <si>
    <t>Non-GAAP gross profit</t>
  </si>
  <si>
    <t>Non-GAAP gross margin</t>
  </si>
  <si>
    <t>GAAP operating expenses</t>
  </si>
  <si>
    <t>− SBC (opex)</t>
  </si>
  <si>
    <t>H: guidance "SBC and other ~$60M" shown in this row</t>
  </si>
  <si>
    <t>− Litigation matter (opex)</t>
  </si>
  <si>
    <t>− Business realignment charges</t>
  </si>
  <si>
    <t>− Other (opex)</t>
  </si>
  <si>
    <t>H: included in the ~$60M row above</t>
  </si>
  <si>
    <t>Non-GAAP operating expenses</t>
  </si>
  <si>
    <t>Non-GAAP opex % of revenue</t>
  </si>
  <si>
    <t>Non-GAAP opex % Y/Y</t>
  </si>
  <si>
    <t>Non-GAAP operating income</t>
  </si>
  <si>
    <t>Non-GAAP operating margin</t>
  </si>
  <si>
    <t>Non-GAAP operating income % Y/Y</t>
  </si>
  <si>
    <t>GAAP interest &amp; other, net</t>
  </si>
  <si>
    <t>− (Gain) loss on Sandisk interest</t>
  </si>
  <si>
    <t>+ Debt &amp; equity transaction costs</t>
  </si>
  <si>
    <t>+ Other (interest &amp; other)</t>
  </si>
  <si>
    <t>Non-GAAP interest &amp; other, net</t>
  </si>
  <si>
    <t>Non-GAAP income before taxes</t>
  </si>
  <si>
    <t>GAAP income tax expense</t>
  </si>
  <si>
    <t>+ Income tax adjustments</t>
  </si>
  <si>
    <t>H: tax effect of excluded items at the non-GAAP rate assumption</t>
  </si>
  <si>
    <t>Non-GAAP income tax expense</t>
  </si>
  <si>
    <t>H: non-GAAP pre-tax × guided ~17% rate</t>
  </si>
  <si>
    <t>Non-GAAP tax rate</t>
  </si>
  <si>
    <t>Non-GAAP NI, continuing ops</t>
  </si>
  <si>
    <t>Allocated to preferred (non-GAAP)</t>
  </si>
  <si>
    <t>FY reported annual figure; preferred converted Feb-2026 → H = 0</t>
  </si>
  <si>
    <t>Non-GAAP diluted NI to common</t>
  </si>
  <si>
    <t>Consensus-basis net income (CapIQ net income excl. exceptional items)</t>
  </si>
  <si>
    <t>Non-GAAP diluted shares (M)</t>
  </si>
  <si>
    <t>Non-GAAP diluted EPS (normalized)</t>
  </si>
  <si>
    <t>Reported non-GAAP EPS (memo)</t>
  </si>
  <si>
    <t>Quarters: CapIQ normalized actuals (Inputs); FY: S01</t>
  </si>
  <si>
    <t>Check: EPS = NI ÷ diluted shares</t>
  </si>
  <si>
    <t>Check: GAAP NI + adj. − NG NI</t>
  </si>
  <si>
    <t>Issuer EBITDA ($M) — tracked</t>
  </si>
  <si>
    <t>Not reported: WDC releases (S01, S03-S05) and FY26 10-K (S07) define no EBITDA or adjusted EBITDA. CapIQ EBITDA consensus 2,099.1 (Inputs C75) is a vendor definition — not relabelled</t>
  </si>
  <si>
    <t>Forecast drivers (H = 1Q27E assumptions; history = comparable actuals)</t>
  </si>
  <si>
    <t>Guidance (Aug-5-2026, S01): rev $4.1B±0.1B, GM 55-56%, opex $390-400M, I&amp;O ~$15M, tax ~17%, EPS $4.00±0.15, ~388M shares</t>
  </si>
  <si>
    <t>H: 56.3% vs 55.5% guide mid — GM beat guide mid by 160-300bps in each FY26 qtr; DRAM/NAND cost headwind (S12) tempers</t>
  </si>
  <si>
    <t>Non-GAAP operating expenses ($M)</t>
  </si>
  <si>
    <t>H: $397M, guide $390-400M; FY26 actual vs mid averaged +$3M</t>
  </si>
  <si>
    <t>Non-GAAP interest &amp; other, net ($M)</t>
  </si>
  <si>
    <t>H: guided ~$15M expense</t>
  </si>
  <si>
    <t>Change Y/Y ($M)</t>
  </si>
  <si>
    <t>H: guided ~17% (new fiscal-year rate)</t>
  </si>
  <si>
    <t>Excluded COGS items ($M)</t>
  </si>
  <si>
    <t>H: guidance ~$10M</t>
  </si>
  <si>
    <t>Excluded opex SBC &amp; other ($M)</t>
  </si>
  <si>
    <t>H: guidance ~$60M</t>
  </si>
  <si>
    <t>n.m.</t>
  </si>
  <si>
    <t>E/G n.m.: year-ago 3Q25 excluded opex (E164 = −172) nets a $201M litigation-settlement reversal (S05 reconciliation: SBC 28, litigation (201), other 1), so Y/Y vs SBC &amp; other is not meaningful</t>
  </si>
  <si>
    <t>Business realignment charges ($M)</t>
  </si>
  <si>
    <t>H: assumed 0 — simplifying assumption, not a sourced absence (not guided or disclosed in frozen sources); GAAP-only, excluded from GAAP memo (Cover C27/C28); normalized EPS unaffected</t>
  </si>
  <si>
    <t>GAAP-only debt/equity costs ($M)</t>
  </si>
  <si>
    <t>H: assumed 0 — simplifying assumption; $191M note exchange (S16) cost not disclosed (not a sourced absence); GAAP-only, excluded from GAAP memo (Cover C27/C28); normalized EPS unaffected</t>
  </si>
  <si>
    <t>R&amp;D share of R&amp;D + SG&amp;A (GAAP)</t>
  </si>
  <si>
    <t>H: 67% (4Q26A 67.3%)</t>
  </si>
  <si>
    <t>Year-ago comparatives (column = same period one year earlier; H = 1Q26A)</t>
  </si>
  <si>
    <t>Releases S01, S03-S05; Q1FY26 deck (S08)</t>
  </si>
  <si>
    <t>Revenue</t>
  </si>
  <si>
    <t>GAAP operating income</t>
  </si>
  <si>
    <t>GAAP net income, continuing ops</t>
  </si>
  <si>
    <t>GAAP diluted EPS, continuing ops</t>
  </si>
  <si>
    <t>F: $0.67 = 4Q25 GAAP diluted EPS, continuing ops (S01 comparative). CapIQ $0.75 (Inputs G107) appears to include discontinued Sandisk ops ($30M, S01) — different basis, not used</t>
  </si>
  <si>
    <t>Non-GAAP diluted EPS (revised)</t>
  </si>
  <si>
    <t>GAAP R&amp;D</t>
  </si>
  <si>
    <t>GAAP SG&amp;A</t>
  </si>
  <si>
    <t>GAAP income before taxes</t>
  </si>
  <si>
    <t>GAAP income tax expense (benefit)</t>
  </si>
  <si>
    <t>Excluded items in cost of revenue</t>
  </si>
  <si>
    <t>Excluded opex items</t>
  </si>
  <si>
    <t>Business realignment (GAAP line)</t>
  </si>
  <si>
    <t>GAAP-only debt transaction costs</t>
  </si>
  <si>
    <t>Balance Sheet</t>
  </si>
  <si>
    <t>Balance sheet — as reported ($M)</t>
  </si>
  <si>
    <t>Releases S01, S03-S05; FY26A = 4Q26A balance (Jul-3-2026). H = forecast roll-forward</t>
  </si>
  <si>
    <t>Cash and cash equivalents</t>
  </si>
  <si>
    <t>Accounts receivable, net</t>
  </si>
  <si>
    <t>Inventories</t>
  </si>
  <si>
    <t>Retained interest in Sandisk</t>
  </si>
  <si>
    <t>H: monetization complete</t>
  </si>
  <si>
    <t>Other current assets</t>
  </si>
  <si>
    <t>H: held flat</t>
  </si>
  <si>
    <t>Total current assets</t>
  </si>
  <si>
    <t>PP&amp;E, net</t>
  </si>
  <si>
    <t>H: prior + capex − D&amp;A</t>
  </si>
  <si>
    <t>Goodwill</t>
  </si>
  <si>
    <t>Other non-current assets</t>
  </si>
  <si>
    <t>Total assets</t>
  </si>
  <si>
    <t>Accounts payable</t>
  </si>
  <si>
    <t>Accrued expenses</t>
  </si>
  <si>
    <t>Accrued compensation</t>
  </si>
  <si>
    <t>H: absorbs CF "other assets &amp; liabilities" (annual bonus payout in fiscal Q1)</t>
  </si>
  <si>
    <t>Income taxes payable</t>
  </si>
  <si>
    <t>Current portion of debt</t>
  </si>
  <si>
    <t>3Q→4Q26: 1,581 − 1,220 settlement + 350 proceeds = 711 vs 1,052 reported; +341 non-cash change (convert notes transactions) not itemized in captured sources — reported balance kept</t>
  </si>
  <si>
    <t>Total current liabilities</t>
  </si>
  <si>
    <t>Long-term debt</t>
  </si>
  <si>
    <t>Other liabilities</t>
  </si>
  <si>
    <t>Total liabilities</t>
  </si>
  <si>
    <t>Convertible preferred stock</t>
  </si>
  <si>
    <t>Total shareholders' equity</t>
  </si>
  <si>
    <t>H: prior + net income + SBC − buybacks − dividends − employee stock plans | 3Q→4Q26: reported Δ −816 vs cash-flow-implied +2,361; −3,177 non-cash items incl. 4Q26 (May-7 and Jun-22-2026) equity-for-equity exchanges (≈4.8M WD shares received for 1.7M Sandisk shares, S07) and convert/capped-call settlements — not itemized; reported balance kept</t>
  </si>
  <si>
    <t>Total liabilities, pref. &amp; equity</t>
  </si>
  <si>
    <t>Check: A − L − pref. − E</t>
  </si>
  <si>
    <t>Display tolerance: |residual| &lt; 0.001 shows –; H stored residual is floating-point (~1e-12); formula =H19−H31 and value unchanged</t>
  </si>
  <si>
    <t>Working-capital drivers &amp; net cash</t>
  </si>
  <si>
    <t>Days = balance ÷ period flow × days in period (header row 7)</t>
  </si>
  <si>
    <t>Days sales outstanding (DSO)</t>
  </si>
  <si>
    <t>Change Y/Y (days)</t>
  </si>
  <si>
    <t>1Q25/2Q25 balances pre-separation; 3Q25 (Mar-2025) balance not captured — n.a.; 4Q26 vs Jun-27-2025 (S24); H vs 1Q26A</t>
  </si>
  <si>
    <t>Abs. Q/Q change (days)</t>
  </si>
  <si>
    <t>Days inventory outstanding (DIO)</t>
  </si>
  <si>
    <t>Days payables outstanding (DPO)</t>
  </si>
  <si>
    <t>Total debt</t>
  </si>
  <si>
    <t>Net cash (debt)</t>
  </si>
  <si>
    <t>Year-ago balances (4Q25A = Jun-27-2025 only; earlier FY25 quarters pre-separation)</t>
  </si>
  <si>
    <t>Q4 FY26 release comparative balance sheet (S01)</t>
  </si>
  <si>
    <t>Cash Flow Statement</t>
  </si>
  <si>
    <t>Operating activities ($M)</t>
  </si>
  <si>
    <t>Three-month cash flows from releases (S01, S03-S05); FY = sum of quarters</t>
  </si>
  <si>
    <t>Depreciation and amortization</t>
  </si>
  <si>
    <t>H assumption: $102M (rising capex)</t>
  </si>
  <si>
    <t>1Q25-3Q25 cash flows consolidated Sandisk (not comparable) — n.a.</t>
  </si>
  <si>
    <t>Stock-based compensation</t>
  </si>
  <si>
    <t>History = SBC in COGS + opex (IS bridge). H: $55M SBC; the guided $70M exclusions also include ~$15M non-SBC "other"</t>
  </si>
  <si>
    <t>Deferred income taxes</t>
  </si>
  <si>
    <t>H: simplifying assumption — 0 (deferred taxes not forecast; FY26 quarters 55/29/47/(2))</t>
  </si>
  <si>
    <t>Non-cash asset impairment</t>
  </si>
  <si>
    <t>H: simplifying assumption — 0 (no impairment forecast)</t>
  </si>
  <si>
    <t>(Gain) loss on Sandisk interest</t>
  </si>
  <si>
    <t>Debt &amp; equity transaction costs</t>
  </si>
  <si>
    <t>Other non-cash items, net</t>
  </si>
  <si>
    <t>H: simplifying assumption — 0 (not forecast)</t>
  </si>
  <si>
    <t>Change in accounts receivable</t>
  </si>
  <si>
    <t>Change in inventories</t>
  </si>
  <si>
    <t>Change in accounts payable</t>
  </si>
  <si>
    <t>Change in other assets &amp; liab.</t>
  </si>
  <si>
    <t>H assumption: −$300M (fiscal-Q1 bonus payout; 1Q26A −$377M)</t>
  </si>
  <si>
    <t>Net cash from operations</t>
  </si>
  <si>
    <t>CFO % of revenue</t>
  </si>
  <si>
    <t>Investing activities ($M)</t>
  </si>
  <si>
    <t>Purchases of PP&amp;E, net</t>
  </si>
  <si>
    <t>H assumption: −$125M (heads/media &amp; automation investment, S02)</t>
  </si>
  <si>
    <t>Strategic investments &amp; other</t>
  </si>
  <si>
    <t>Net cash from investing</t>
  </si>
  <si>
    <t>Financing activities ($M)</t>
  </si>
  <si>
    <t>Employee stock plans, net</t>
  </si>
  <si>
    <t>H assumption (1Q26A −$55M)</t>
  </si>
  <si>
    <t>Repurchases of common stock</t>
  </si>
  <si>
    <t>H assumption: −$800M — policy returns ~all FCF (S12); $3.26B authorization left (S07)</t>
  </si>
  <si>
    <t>Dividends paid to shareholders</t>
  </si>
  <si>
    <t>Convertible notes settlement</t>
  </si>
  <si>
    <t>H: $191.0M principal paid in cash in Aug-26-2026 exchange (S16); $109.5M redemption settles Nov-16-2026 (S17)</t>
  </si>
  <si>
    <t>H: simplifying assumption — 0 (any Aug-26-2026 exchange cash cost undisclosed; consistent with IS H137)</t>
  </si>
  <si>
    <t>Debt proceeds (repayments), net</t>
  </si>
  <si>
    <t>H: no other debt change assumed</t>
  </si>
  <si>
    <t>Net cash from financing</t>
  </si>
  <si>
    <t>FX effect on cash</t>
  </si>
  <si>
    <t>H: simplifying assumption — 0 (FX effect not forecast)</t>
  </si>
  <si>
    <t>Net increase (decrease) in cash</t>
  </si>
  <si>
    <t>Cash, beginning of period</t>
  </si>
  <si>
    <t>C: Jun-27-2025 balance (S01, 1Q26 release)</t>
  </si>
  <si>
    <t>Cash, end of period</t>
  </si>
  <si>
    <t>Cash per Balance Sheet</t>
  </si>
  <si>
    <t>Check: CF cash − BS cash</t>
  </si>
  <si>
    <t>Free cash flow (issuer definition: CFO − PP&amp;E purchases, net − Flash Ventures activity)</t>
  </si>
  <si>
    <t>Cash from operations</t>
  </si>
  <si>
    <t>Flash Ventures activity, net</t>
  </si>
  <si>
    <t>Free cash flow</t>
  </si>
  <si>
    <t>FCF margin</t>
  </si>
  <si>
    <t>Capex % of revenue</t>
  </si>
  <si>
    <t>Reported free cash flow (memo)</t>
  </si>
  <si>
    <t>Check: FCF vs reported (diff)</t>
  </si>
  <si>
    <t>Year-ago comparatives (4Q25A only: earlier FY25 quarters consolidated Sandisk; H = 1Q26A)</t>
  </si>
  <si>
    <t>Q4 FY25 three-month cash flows (S01 comparative column)</t>
  </si>
  <si>
    <t>Revenue by geography (ship-to location)</t>
  </si>
  <si>
    <t>Revenue by geography ($M, ship-to location)</t>
  </si>
  <si>
    <t>10-Q disaggregation (S06); 4Q26 = FY26 10-K less 9M (S07, S06)</t>
  </si>
  <si>
    <t>Americas</t>
  </si>
  <si>
    <t>H: held at 4Q26A mix (regional mix is volatile; no regional guidance)</t>
  </si>
  <si>
    <t>Asia</t>
  </si>
  <si>
    <t>Europe, Middle East and Africa</t>
  </si>
  <si>
    <t>Total revenue per Revenue summary</t>
  </si>
  <si>
    <t>Check: geography − total</t>
  </si>
  <si>
    <t>International sales FY26 = 60% of revenue (10-K) — see Revenue summary</t>
  </si>
  <si>
    <t>FY25 = Σ quarters (10-K FY25: 4,592)</t>
  </si>
  <si>
    <t>FY25 = Σ quarters (10-K FY25: 3,392)</t>
  </si>
  <si>
    <t>FY25 = Σ quarters (10-K FY25: 1,536)</t>
  </si>
  <si>
    <t>Share Count</t>
  </si>
  <si>
    <t>Weighted average shares (M)</t>
  </si>
  <si>
    <t>Release EPS tables (S01, S03-S05); FY26 annual weighted counts reported (not summed)</t>
  </si>
  <si>
    <t>Basic weighted shares</t>
  </si>
  <si>
    <t>H: 10-K cover shares (Aug-7-2026) less half of assumed 1Q27 repurchases (mid-quarter weighting)</t>
  </si>
  <si>
    <t>Abs. Q/Q change (M)</t>
  </si>
  <si>
    <t>Dilutive RSUs/PSUs/ESPP/converts</t>
  </si>
  <si>
    <t>Diluted weighted shares (GAAP)</t>
  </si>
  <si>
    <t>H: guided ~388M (S01); company has matched/exceeded share guidance (Guidance tab)</t>
  </si>
  <si>
    <t>Capped-call share benefit</t>
  </si>
  <si>
    <t>H: guidance "no material benefit" from capped calls (S01)</t>
  </si>
  <si>
    <t>Change Y/Y (M)</t>
  </si>
  <si>
    <t>Non-GAAP diluted shares (EPS)</t>
  </si>
  <si>
    <t>Guided diluted shares (M)</t>
  </si>
  <si>
    <t>Non-GAAP shares vs guidance (M)</t>
  </si>
  <si>
    <t>Buybacks, dividends &amp; shares outstanding</t>
  </si>
  <si>
    <t>Cash amounts link to Cash Flow Statement</t>
  </si>
  <si>
    <t>Repurchases of common stock ($M)</t>
  </si>
  <si>
    <t>Shares repurchased (M)</t>
  </si>
  <si>
    <t>4Q26: Q4 call (S02) 2.3M for $1.0B incl. $328M convert-premium cash settlement (~0.77M shares avoided); FY26 10-K (S07): 14.7M program shares for $2.59B, excl. premium (incl. premium: $2.92B, ~15.5M) — G31 numerator/denominator on same basis; 1Q26-3Q26 not disclosed</t>
  </si>
  <si>
    <t>Buybacks incl. convert premium ($M)</t>
  </si>
  <si>
    <t>4Q26: Q4 call — 2.3M shares for $1.0B incl. $328M convert-premium settlement (S02)</t>
  </si>
  <si>
    <t>Average repurchase price ($/share)</t>
  </si>
  <si>
    <t>H assumption: $470 ≈ Sep-2026 closing range $450-474 (S23); 4Q26 figure includes convert-premium settlement</t>
  </si>
  <si>
    <t>Change Y/Y ($/share)</t>
  </si>
  <si>
    <t>Quarterly repurchase share counts not disclosed for 1Q25-3Q26 — n.a.</t>
  </si>
  <si>
    <t>Abs. Q/Q change ($/share)</t>
  </si>
  <si>
    <t>n.m.: 4Q26 average ($434.78) includes the $328M convert-premium settlement (S02); H $470 is an open-market price assumption — not comparable</t>
  </si>
  <si>
    <t>Shares outstanding, period end (M)</t>
  </si>
  <si>
    <t>10-Q balance-sheet parentheticals (S13, S14); 3Q26/4Q26 parenthetical not captured — n.a.</t>
  </si>
  <si>
    <t>Shares outstanding at 10-K cover date, Aug-7-2026 (M)</t>
  </si>
  <si>
    <t>FY26 10-K cover (S07)</t>
  </si>
  <si>
    <t>Weighting of in-quarter repurchases</t>
  </si>
  <si>
    <t>Assumption: buybacks spread evenly → half-quarter weighting</t>
  </si>
  <si>
    <t>Dividend per share paid ($)</t>
  </si>
  <si>
    <t>Paid Sep-18-2025 $0.10 (S24), Dec-18 $0.125 (S03), Mar-18 $0.125 (S04), Jun-17-2026 $0.15 (S05), Sep-17-2026 $0.15 (S01)</t>
  </si>
  <si>
    <t>Change Y/Y ($)</t>
  </si>
  <si>
    <t>Abs. Q/Q change ($)</t>
  </si>
  <si>
    <t>Dividends paid ($M)</t>
  </si>
  <si>
    <t>Prior-year columns of release EPS tables (S01, S03-S05)</t>
  </si>
  <si>
    <t>GAAP diluted weighted shares</t>
  </si>
  <si>
    <t>Non-GAAP diluted shares (revised)</t>
  </si>
  <si>
    <t>Capped-call benefit</t>
  </si>
  <si>
    <t>Dividend program adopted Apr-30-2025 (S25): none paid before 4Q25</t>
  </si>
  <si>
    <t>Guidance history &amp; record</t>
  </si>
  <si>
    <t>Issuer guidance (non-GAAP) — one row per guided metric</t>
  </si>
  <si>
    <t>Columns: B metric | C period | D date issued | E low | F high | G midpoint | H actual | I actual − mid | J beat/miss vs mid</t>
  </si>
  <si>
    <t>Metric</t>
  </si>
  <si>
    <t>Issued</t>
  </si>
  <si>
    <t>Low</t>
  </si>
  <si>
    <t>High</t>
  </si>
  <si>
    <t>Midpoint</t>
  </si>
  <si>
    <t>Actual</t>
  </si>
  <si>
    <t>Act − mid</t>
  </si>
  <si>
    <t>Beat / miss</t>
  </si>
  <si>
    <t>S25; 4Q25 actual linked to year-ago rows</t>
  </si>
  <si>
    <t>Non-GAAP diluted EPS ($)</t>
  </si>
  <si>
    <t>S25; EPS point guide $1.45 (range not captured); actual = CapIQ as originally reported</t>
  </si>
  <si>
    <t>S24</t>
  </si>
  <si>
    <t>Non-GAAP I&amp;O expense, net ($M)</t>
  </si>
  <si>
    <t>S24; point guidance (~)</t>
  </si>
  <si>
    <t>Diluted weighted shares (M)</t>
  </si>
  <si>
    <t>S03</t>
  </si>
  <si>
    <t>S03; point guidance (~)</t>
  </si>
  <si>
    <t>S04</t>
  </si>
  <si>
    <t>S04; point guidance (~)</t>
  </si>
  <si>
    <t>S05</t>
  </si>
  <si>
    <t>S05; point guidance (~)</t>
  </si>
  <si>
    <t>Pending</t>
  </si>
  <si>
    <t>Report 2026-10-22</t>
  </si>
  <si>
    <t>S01</t>
  </si>
  <si>
    <t>S01; point guidance (~)</t>
  </si>
  <si>
    <t>Guidance record (last 5 quarters) &amp; 1Q27 guidance-implied EPS</t>
  </si>
  <si>
    <t>Average revenue vs guidance midpoint ($M)</t>
  </si>
  <si>
    <t>Average EPS vs guidance midpoint ($)</t>
  </si>
  <si>
    <t>Quarters with EPS above top of range (of 4 ranged)</t>
  </si>
  <si>
    <t>Average non-GAAP GM vs midpoint (bps)</t>
  </si>
  <si>
    <t>1Q27 guidance-implied non-GAAP gross profit ($M)</t>
  </si>
  <si>
    <t>1Q27 guidance-implied non-GAAP operating income ($M)</t>
  </si>
  <si>
    <t>1Q27 guidance-implied non-GAAP net income ($M)</t>
  </si>
  <si>
    <t>1Q27 guidance-implied non-GAAP EPS ($)</t>
  </si>
  <si>
    <t>Guidance-implied EPS − frozen consensus ($)</t>
  </si>
  <si>
    <t>Sources</t>
  </si>
  <si>
    <t>Source register — all publication dates precede the 2026-10-18 21:34 UTC information cutoff; retrieved 2026-10-20 UTC</t>
  </si>
  <si>
    <t>ID · publisher</t>
  </si>
  <si>
    <t>Published</t>
  </si>
  <si>
    <t>Retrieved</t>
  </si>
  <si>
    <t>Document | feeds | URL or file</t>
  </si>
  <si>
    <t>S01 · SEC EDGAR</t>
  </si>
  <si>
    <t>WDC 8-K Ex.99.1: Q4 &amp; FY2026 results release | Feeds: IS,BS,CF,SC,GD | https://www.sec.gov/Archives/edgar/data/106040/000162828026053305/a4ex991-pressreleaseq426.htm</t>
  </si>
  <si>
    <t>S02 · Stock Analysis</t>
  </si>
  <si>
    <t>WDC Q4 FY2026 earnings call transcript | Feeds: RS,SC,IS | https://stockanalysis.com/stocks/wdc/transcripts/658556-q4-2026/</t>
  </si>
  <si>
    <t>S03 · SEC EDGAR</t>
  </si>
  <si>
    <t>WDC 8-K Ex.99.1: Q1 FY2026 results release | Feeds: IS,BS,CF,GD | https://www.sec.gov/Archives/edgar/data/106040/000162828025047539/a4ex991-pressreleaseq126.htm</t>
  </si>
  <si>
    <t>S04 · SEC EDGAR</t>
  </si>
  <si>
    <t>WDC 8-K Ex.99.1: Q2 FY2026 results release | Feeds: IS,BS,CF,GD | https://www.sec.gov/Archives/edgar/data/106040/000162828026004131/a4ex991-pressreleaseq226.htm</t>
  </si>
  <si>
    <t>S05 · SEC EDGAR</t>
  </si>
  <si>
    <t>WDC 8-K Ex.99.1: Q3 FY2026 results release | Feeds: IS,BS,CF,GD | https://www.sec.gov/Archives/edgar/data/106040/000162828026028878/a4ex991-pressreleaseq326.htm</t>
  </si>
  <si>
    <t>S06 · SEC EDGAR</t>
  </si>
  <si>
    <t>WDC 10-Q XBRL disaggregation (Q1 R36, Q2 R36, Q3 R34) | Feeds: RS,GEO | https://www.sec.gov/Archives/edgar/data/106040/000162828026029054/R34.htm (also .../000162828026004207/R36.htm, .../000162828025047613/R36.htm)</t>
  </si>
  <si>
    <t>S07 · SEC EDGAR</t>
  </si>
  <si>
    <t>WDC Form 10-K FY2026 (MD&amp;A, cover, R4 income statement) | Feeds: RS,IS,GEO,SC | https://www.sec.gov/Archives/edgar/data/106040/000162828026057139/wdc-20260703.htm</t>
  </si>
  <si>
    <t>S08 · WDC IR</t>
  </si>
  <si>
    <t>Q1 FY2026 earnings deck (exabytes, end markets 1Q25-1Q26) | Feeds: RS,IS | https://investor.wdc.com/static-files/51a6fa63-7805-4674-aa72-2a2c7f3add97</t>
  </si>
  <si>
    <t>S09 · WDC IR</t>
  </si>
  <si>
    <t>Q2 FY2026 earnings deck (exabytes 2Q25-2Q26) | Feeds: RS | https://investor.wdc.com/static-files/19cc0ab3-bca3-4107-9100-1bf8d7d51cce</t>
  </si>
  <si>
    <t>S10 · WDC IR</t>
  </si>
  <si>
    <t>Q3 FY2026 earnings deck (exabytes 3Q25-3Q26) | Feeds: RS | https://wdc.gcs-web.com/static-files/5b2d41c1-7d45-4575-b9ea-c51424dbffeb</t>
  </si>
  <si>
    <t>S11 · WDC IR</t>
  </si>
  <si>
    <t>Q4 FY2026 earnings deck (exabytes, guidance) | Feeds: RS,GD | https://investor.wdc.com/static-files/e1f02f77-4432-42c3-8bd4-024371f40e54</t>
  </si>
  <si>
    <t>S12 · Stock Analysis</t>
  </si>
  <si>
    <t>WDC CFO at Citi Global TMT Conference (transcript) | Feeds: RS,IS | https://stockanalysis.com/stocks/wdc/transcripts/738869-citi-s-2026-global-tmt-conference/</t>
  </si>
  <si>
    <t>S13 · SEC EDGAR</t>
  </si>
  <si>
    <t>WDC 10-Q Q1 FY2026 (R4 income statement, R3 BS parenthetical) | Feeds: IS,SC | https://www.sec.gov/Archives/edgar/data/106040/000162828025047613/R4.htm</t>
  </si>
  <si>
    <t>S14 · SEC EDGAR</t>
  </si>
  <si>
    <t>WDC 10-Q Q2 FY2026 (R4 income statement, R3 BS parenthetical, R35 segments=1) | Feeds: IS,SC,RS | https://www.sec.gov/Archives/edgar/data/106040/000162828026004207/R4.htm</t>
  </si>
  <si>
    <t>S15 · SEC EDGAR</t>
  </si>
  <si>
    <t>WDC 10-Q Q3 FY2026 (R3 income statement) | Feeds: IS | https://www.sec.gov/Archives/edgar/data/106040/000162828026029054/R3.htm</t>
  </si>
  <si>
    <t>S16 · SEC EDGAR</t>
  </si>
  <si>
    <t>WDC 8-K: exchange of $191.0M 3.00% convertible notes due 2028 | Feeds: CF,IS | https://www.sec.gov/Archives/edgar/data/106040/000119312526365796/d376254d8k.htm</t>
  </si>
  <si>
    <t>S17 · SEC EDGAR</t>
  </si>
  <si>
    <t>WDC 8-K: redemption of remaining $109.5M 2028 notes (Nov-16-2026) | Feeds: CF | https://www.sec.gov/Archives/edgar/data/106040/000119312526389859/d23939d8k.htm</t>
  </si>
  <si>
    <t>S18 · WD press release</t>
  </si>
  <si>
    <t>Q1 FY2027 results on Oct-22-2026 | Feeds: CV | https://www.westerndigital.com/company/newsroom/press-releases/2026/2026-10-08-wd-to-announce-first-quarter-fiscal-year-2027-financial-results</t>
  </si>
  <si>
    <t>S19 · S&amp;P Capital IQ (supplied)</t>
  </si>
  <si>
    <t>supplied</t>
  </si>
  <si>
    <t>snapshot WDC_consensus.json &amp; WDC_history.csv | Feeds: IN,CV | file: WDC_consensus.json (sha256 b9f91bbb…), WDC_history.csv (sha256 e636c0ba…)</t>
  </si>
  <si>
    <t>S20 · GuruFocus</t>
  </si>
  <si>
    <t>Morgan Stanley HDD checks: demand accelerating, spot nearline $30-50/TB | Feeds: RS,CV | https://www.gurufocus.com/news/9109845/morgan-stanley-says-buy-the-dip-in-two-ai-stocks</t>
  </si>
  <si>
    <t>S21 · Hilo Research</t>
  </si>
  <si>
    <t>Morgan Stanley: Toshiba expansion leaves HDD pricing thesis intact | Feeds: RS,CV | https://www.xxquant.com/en/institution/institutional-research/7c5f91272922e5204389aedd9f79ae0b</t>
  </si>
  <si>
    <t>S22 · TrendForce</t>
  </si>
  <si>
    <t>Toshiba to double AI data-center HDD capacity (benefits from 2028) | Feeds: CV | https://www.trendforce.com/news/2026/10/02/news-toshiba-to-double-ai-data-center-hdd-capacity-by-fy2027-with-380m-expansion-as-ai-storage-demand-surges/</t>
  </si>
  <si>
    <t>S23 · StatMuse Money</t>
  </si>
  <si>
    <t>WDC daily closes Sep-22 to Oct-8-2026 | Feeds: SC | https://www.statmuse.com/money/ask/wdc-market-cap-2026</t>
  </si>
  <si>
    <t>S24 · WD press release</t>
  </si>
  <si>
    <t>Q4 FY2025 results incl. Q1 FY2026 guidance table | Feeds: GD | https://www.westerndigital.com/company/newsroom/press-releases/2025/2025-07-30-western-digital-reports-fiscal-fourth-quarter-and-fiscal-year-2025-financial-results</t>
  </si>
  <si>
    <t>S25 · WD PR / Reuters</t>
  </si>
  <si>
    <t>Q3 FY2025 results; Q4 FY2025 guide ($2.45B±$150M, GM 40-41%, EPS $1.45) | Feeds: GD | https://www.westerndigital.com/company/newsroom/press-releases/2025/2025-04-30-western-digital-reports-fiscal-third-quarter-2025-financial-results</t>
  </si>
  <si>
    <t>S26 · Seeking Alpha</t>
  </si>
  <si>
    <t>UBS: WDC likely to beat guidance (PT cut on industry concerns) | Feeds: CV | https://seekingalpha.com/news/4652191-lam-research-ti-and-western-digital-are-likely-to-post-strong-results-guidance-ubs</t>
  </si>
  <si>
    <t>S27 · Investing.com</t>
  </si>
  <si>
    <t>UBS PT cut to $470; Evercore Tactical Outperform; Toshiba overhang | Feeds: CV | https://www.investing.com/news/stock-market-news/why-is-western-digital-stock-falling-today-93CH-4945879</t>
  </si>
  <si>
    <t>S28 · ad-hoc-news</t>
  </si>
  <si>
    <t>WDC market capitalization $130.1B (Oct-14-2026) | Feeds: CV | https://www.ad-hoc-news.de/boerse/news/corporate-news/ubs-cuts-target-for-western-digital-stock-to-usd-470/70325181</t>
  </si>
  <si>
    <t>S29 · Seagate (peer)</t>
  </si>
  <si>
    <t>FQ4 2026 results; Sep-qtr guide $4.1B±$0.1B, EPS $7.30 | Feeds: CV | https://investors.seagate.com/news/news-details/2026/Seagate-Technology-Reports-Fiscal-Fourth-Quarter-and-Fiscal-Year-2026-Financial-Results/default.aspx</t>
  </si>
  <si>
    <t>S30 · MarketBeat</t>
  </si>
  <si>
    <t>preview: consensus $4.08 EPS / $4.14B revenue; report Oct-22 | Feeds: CV | https://www.marketbeat.com/instant-alerts/upcoming-western-digital-wdc-expected-to-post-earnings-on-thursday-2026-10-15/</t>
  </si>
  <si>
    <t>S31 · WD press release</t>
  </si>
  <si>
    <t>additional $4.0B share repurchase authorization | Feeds: SC | https://www.westerndigital.com/company/newsroom/press-releases/2026/2026-02-03-western-digital-authorizes-additional-4billion-dollars-of-share-repurchases</t>
  </si>
  <si>
    <t>S32 · FactSet</t>
  </si>
  <si>
    <t>S&amp;P 500 five-year average beat rate 78% (playbook reference) | Feeds: CV | https://insight.factset.com/sp-500-earnings-season-update-july-31-2026</t>
  </si>
  <si>
    <t>Feeds codes: CV Cover · RS Revenue summary · IS Income Statement · BS Balance Sheet · CF Cash Flow · GEO Geo · SC Share Count · GD Guidance · IN Inputs</t>
  </si>
  <si>
    <t>Omitted tabs: no "Segment - &lt;name&gt;" tabs — one reportable segment (HDD) per 10-Q Q2 FY2026 XBRL R35 "Number of reportable segments: 1" (S14) and FY26 10-K (S07); HDD drivers are on Revenue summary.</t>
  </si>
  <si>
    <t>No Dates, Consensus or Checks tabs by design: period headers sit on each time-series tab (non-period tabs show a labelled band only), consensus is on Cover, check summary is in artifacts/checks.md.</t>
  </si>
  <si>
    <t>Excluded as post-cutoff: items dated 2026-10-19 seen in search snippets (TradingView weekly recap, ad-hoc-news preview, TrendForce Weekly Radar 006, Oct-19 price data). No target-quarter results seen.</t>
  </si>
  <si>
    <t>Inputs — CapIQ snapshot (raw)</t>
  </si>
  <si>
    <t>A. WDC_consensus.json — top-level fields (S19)</t>
  </si>
  <si>
    <t>source</t>
  </si>
  <si>
    <t>S&amp;P Capital IQ</t>
  </si>
  <si>
    <t>ticker</t>
  </si>
  <si>
    <t>company</t>
  </si>
  <si>
    <t>Western Digital Corporation</t>
  </si>
  <si>
    <t>fiscal_period</t>
  </si>
  <si>
    <t>FQ1 2027 - Sep 2026</t>
  </si>
  <si>
    <t>period_end_date</t>
  </si>
  <si>
    <t>as_of_date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</si>
  <si>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</si>
  <si>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</si>
  <si>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</si>
  <si>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</si>
  <si>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</si>
  <si>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</si>
  <si>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</si>
  <si>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</si>
  <si>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</si>
  <si>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</si>
  <si>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</si>
  <si>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</si>
  <si>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</si>
  <si>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</si>
  <si>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</si>
  <si>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</si>
  <si>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</si>
  <si>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</si>
  <si>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</si>
  <si>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</si>
  <si>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target_manifest.policy</t>
  </si>
  <si>
    <t>Track applicable disclosed lines; record unavailable/not applicable with a reason. Only normalized EPS is scored.</t>
  </si>
  <si>
    <t>target_manifest.currency_units</t>
  </si>
  <si>
    <t>USD; financial amounts in millions</t>
  </si>
  <si>
    <t>target_manifest.period</t>
  </si>
  <si>
    <t>target_manifest.ticker</t>
  </si>
  <si>
    <t>B. summary_row — complete raw record; blank source values preserved as blank (S19)</t>
  </si>
  <si>
    <t>company_name</t>
  </si>
  <si>
    <t>exchange_ticker</t>
  </si>
  <si>
    <t>NasdaqGS:WDC</t>
  </si>
  <si>
    <t>capiq_company_id</t>
  </si>
  <si>
    <t>currency_basis</t>
  </si>
  <si>
    <t>fiscal_year_end</t>
  </si>
  <si>
    <t>Jun-30</t>
  </si>
  <si>
    <t>fiscal_quarter</t>
  </si>
  <si>
    <t>quarter_end_date</t>
  </si>
  <si>
    <t>expected_report_date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</si>
  <si>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</si>
  <si>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</si>
  <si>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</si>
  <si>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</si>
  <si>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</si>
  <si>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</si>
  <si>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</si>
  <si>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</si>
  <si>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</si>
  <si>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</si>
  <si>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</si>
  <si>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</si>
  <si>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</si>
  <si>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</si>
  <si>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</si>
  <si>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</si>
  <si>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</si>
  <si>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</si>
  <si>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</si>
  <si>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</si>
  <si>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</si>
  <si>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</si>
  <si>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</si>
  <si>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</si>
  <si>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</si>
  <si>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</si>
  <si>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</si>
  <si>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</si>
  <si>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</si>
  <si>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</si>
  <si>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</si>
  <si>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</si>
  <si>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Vendor (CapIQ) EBITDA definition; WDC reports no issuer-defined EBITDA — tracked as n.a. on Income Statement row 113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</si>
  <si>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</si>
  <si>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</si>
  <si>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</si>
  <si>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</si>
  <si>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</si>
  <si>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</si>
  <si>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</si>
  <si>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</si>
  <si>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</si>
  <si>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</si>
  <si>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</si>
  <si>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</si>
  <si>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</si>
  <si>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</si>
  <si>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</si>
  <si>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</si>
  <si>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</si>
  <si>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</si>
  <si>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</si>
  <si>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</si>
  <si>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</si>
  <si>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</si>
  <si>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Buy</t>
  </si>
  <si>
    <t>recommendation_score</t>
  </si>
  <si>
    <t>last_close_price</t>
  </si>
  <si>
    <t>wk52_high_low</t>
  </si>
  <si>
    <t>NOTE2: CapIQ expects the release Oct-29-2026, outside the Oct 19-23 window. 52-week range not captured.</t>
  </si>
  <si>
    <t>estimates_captured_at</t>
  </si>
  <si>
    <t>notes</t>
  </si>
  <si>
    <t>Jun fiscal year end, so the Sep-2026 quarter is fiscal Q1 2027. GAAP actuals run far above GAAP consensus (8.21 against 3.03 last quarter) because of the Sandisk separation and related gains; normalized is the comparable series and GAAP should not be scored here. | CapIQ expects the release Oct-29-2026, outside the Oct 19-23 window. 52-week range not captured.</t>
  </si>
  <si>
    <t>C. WDC_history.csv — all six rows as supplied (CapIQ calendar month-end labels; fiscal quarters end on Fridays)</t>
  </si>
  <si>
    <t>report_date</t>
  </si>
  <si>
    <t>eps_norm_cons</t>
  </si>
  <si>
    <t>eps_norm_act</t>
  </si>
  <si>
    <t>eps_gaap_cons</t>
  </si>
  <si>
    <t>eps_gaap_act</t>
  </si>
  <si>
    <t>rev_m_cons</t>
  </si>
  <si>
    <t>rev_m_act</t>
  </si>
  <si>
    <t>Norm. surprise $</t>
  </si>
  <si>
    <t>Strict beat?</t>
  </si>
  <si>
    <t>Mean normalized surprise ($/sh)</t>
  </si>
</sst>
</file>

<file path=xl/styles.xml><?xml version="1.0" encoding="utf-8"?>
<styleSheet xmlns="http://schemas.openxmlformats.org/spreadsheetml/2006/main">
  <numFmts count="10">
    <numFmt numFmtId="164" formatCode="0.0%_);(0.0%);&quot;–&quot;_)"/>
    <numFmt numFmtId="165" formatCode="#,##0.0_);(#,##0.0);&quot;–&quot;_)"/>
    <numFmt numFmtId="166" formatCode="General"/>
    <numFmt numFmtId="167" formatCode="#,##0&quot; bps&quot;_);(#,##0&quot; bps&quot;);&quot;–&quot;_)"/>
    <numFmt numFmtId="168" formatCode="$0.00_);($0.00);&quot;–&quot;_)"/>
    <numFmt numFmtId="169" formatCode="0"/>
    <numFmt numFmtId="170" formatCode="yyyy-mm-dd"/>
    <numFmt numFmtId="171" formatCode="#,##0_);(#,##0);&quot;–&quot;_)"/>
    <numFmt numFmtId="172" formatCode="#,##0.00_);(#,##0.00);&quot;–&quot;_)"/>
    <numFmt numFmtId="173" formatCode="[&gt;=0.001]#,##0.0_);[&lt;=-0.001](#,##0.0);&quot;–&quot;_)"/>
  </numFmts>
  <fonts count="38">
    <font>
      <sz val="11"/>
      <name val="Calibri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/>
      <i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/>
      <i val="0"/>
      <strike val="0"/>
      <sz val="10"/>
      <color rgb="FF0000FF"/>
      <name val="Arial"/>
    </font>
    <font>
      <b/>
      <i val="0"/>
      <strike val="0"/>
      <sz val="12"/>
      <color rgb="FF000000"/>
      <name val="Arial"/>
    </font>
    <font>
      <b/>
      <i val="0"/>
      <strike val="0"/>
      <sz val="10"/>
      <color rgb="FF006100"/>
      <name val="Arial"/>
    </font>
    <font>
      <b/>
      <i val="0"/>
      <strike val="0"/>
      <sz val="14"/>
      <color rgb="FF000000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595959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2"/>
      <color rgb="FF000000"/>
      <name val="Arial"/>
    </font>
    <font>
      <b/>
      <i val="0"/>
      <strike val="0"/>
      <sz val="10"/>
      <color rgb="FF006100"/>
      <name val="Arial"/>
    </font>
    <font>
      <b/>
      <i val="0"/>
      <strike val="0"/>
      <sz val="10"/>
      <color rgb="FF0000FF"/>
      <name val="Arial"/>
    </font>
    <font>
      <b/>
      <i val="0"/>
      <strike val="0"/>
      <sz val="14"/>
      <color rgb="FF000000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595959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595959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AF1FB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top style="thin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164" fontId="3" fillId="0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4" fontId="2" fillId="2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 indent="1"/>
      <protection locked="1" hidden="0"/>
    </xf>
    <xf numFmtId="166" fontId="4" fillId="0" borderId="0" xfId="0" applyNumberFormat="1" applyFont="1" applyFill="1" applyAlignment="1" applyProtection="1">
      <alignment horizontal="left" vertical="bottom"/>
      <protection locked="1" hidden="0"/>
    </xf>
    <xf numFmtId="165" fontId="5" fillId="0" borderId="0" xfId="0" applyNumberFormat="1" applyFont="1" applyFill="1" applyAlignment="1" applyProtection="1">
      <alignment horizontal="right" vertical="bottom"/>
      <protection locked="1" hidden="0"/>
    </xf>
    <xf numFmtId="165" fontId="4" fillId="0" borderId="1" xfId="0" applyNumberFormat="1" applyFont="1" applyFill="1" applyBorder="1" applyAlignment="1" applyProtection="1">
      <alignment horizontal="right" vertical="bottom"/>
      <protection locked="1" hidden="0"/>
    </xf>
    <xf numFmtId="167" fontId="2" fillId="0" borderId="0" xfId="0" applyNumberFormat="1" applyFont="1" applyFill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165" fontId="6" fillId="0" borderId="0" xfId="0" applyNumberFormat="1" applyFont="1" applyFill="1" applyAlignment="1" applyProtection="1">
      <alignment horizontal="right" vertical="bottom"/>
      <protection locked="1" hidden="0"/>
    </xf>
    <xf numFmtId="164" fontId="7" fillId="0" borderId="0" xfId="0" applyNumberFormat="1" applyFont="1" applyFill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168" fontId="1" fillId="2" borderId="0" xfId="0" applyNumberFormat="1" applyFont="1" applyFill="1" applyAlignment="1" applyProtection="1">
      <alignment horizontal="right" vertical="bottom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165" fontId="4" fillId="2" borderId="1" xfId="0" applyNumberFormat="1" applyFont="1" applyFill="1" applyBorder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general" vertical="bottom"/>
      <protection locked="1" hidden="0"/>
    </xf>
    <xf numFmtId="165" fontId="9" fillId="0" borderId="1" xfId="0" applyNumberFormat="1" applyFont="1" applyFill="1" applyBorder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general" vertical="bottom"/>
      <protection locked="1" hidden="0"/>
    </xf>
    <xf numFmtId="169" fontId="6" fillId="3" borderId="2" xfId="0" applyNumberFormat="1" applyFont="1" applyFill="1" applyBorder="1" applyAlignment="1" applyProtection="1">
      <alignment horizontal="right" vertical="bottom"/>
      <protection locked="1" hidden="0"/>
    </xf>
    <xf numFmtId="0" fontId="4" fillId="3" borderId="1" xfId="0" applyFont="1" applyFill="1" applyBorder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5" fontId="4" fillId="0" borderId="0" xfId="0" applyNumberFormat="1" applyFont="1" applyFill="1" applyAlignment="1" applyProtection="1">
      <alignment horizontal="right" vertical="bottom"/>
      <protection locked="1" hidden="0"/>
    </xf>
    <xf numFmtId="168" fontId="6" fillId="2" borderId="0" xfId="0" applyNumberFormat="1" applyFont="1" applyFill="1" applyAlignment="1" applyProtection="1">
      <alignment horizontal="right" vertical="bottom"/>
      <protection locked="1" hidden="0"/>
    </xf>
    <xf numFmtId="0" fontId="4" fillId="3" borderId="1" xfId="0" applyFont="1" applyFill="1" applyBorder="1" applyAlignment="1" applyProtection="1">
      <alignment horizontal="general" vertical="bottom"/>
      <protection locked="1" hidden="0"/>
    </xf>
    <xf numFmtId="0" fontId="1" fillId="3" borderId="2" xfId="0" applyFont="1" applyFill="1" applyBorder="1" applyAlignment="1" applyProtection="1">
      <alignment horizontal="general" vertical="bottom"/>
      <protection locked="1" hidden="0"/>
    </xf>
    <xf numFmtId="165" fontId="5" fillId="2" borderId="0" xfId="0" applyNumberFormat="1" applyFont="1" applyFill="1" applyAlignment="1" applyProtection="1">
      <alignment horizontal="right" vertical="bottom"/>
      <protection locked="1" hidden="0"/>
    </xf>
    <xf numFmtId="0" fontId="7" fillId="0" borderId="0" xfId="0" applyFont="1" applyFill="1" applyAlignment="1" applyProtection="1">
      <alignment horizontal="general" vertical="bottom"/>
      <protection locked="1" hidden="0"/>
    </xf>
    <xf numFmtId="170" fontId="6" fillId="2" borderId="0" xfId="0" applyNumberFormat="1" applyFont="1" applyFill="1" applyAlignment="1" applyProtection="1">
      <alignment horizontal="right" vertical="bottom"/>
      <protection locked="1" hidden="0"/>
    </xf>
    <xf numFmtId="170" fontId="6" fillId="3" borderId="0" xfId="0" applyNumberFormat="1" applyFont="1" applyFill="1" applyAlignment="1" applyProtection="1">
      <alignment horizontal="right" vertical="bottom"/>
      <protection locked="1" hidden="0"/>
    </xf>
    <xf numFmtId="166" fontId="5" fillId="0" borderId="0" xfId="0" applyNumberFormat="1" applyFont="1" applyFill="1" applyAlignment="1" applyProtection="1">
      <alignment horizontal="right" vertical="bottom"/>
      <protection locked="1" hidden="0"/>
    </xf>
    <xf numFmtId="167" fontId="2" fillId="2" borderId="0" xfId="0" applyNumberFormat="1" applyFont="1" applyFill="1" applyAlignment="1" applyProtection="1">
      <alignment horizontal="right" vertical="bottom"/>
      <protection locked="1" hidden="0"/>
    </xf>
    <xf numFmtId="168" fontId="6" fillId="0" borderId="0" xfId="0" applyNumberFormat="1" applyFont="1" applyFill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left" vertical="bottom"/>
      <protection locked="1" hidden="0"/>
    </xf>
    <xf numFmtId="170" fontId="6" fillId="0" borderId="0" xfId="0" applyNumberFormat="1" applyFont="1" applyFill="1" applyAlignment="1" applyProtection="1">
      <alignment horizontal="right" vertical="bottom"/>
      <protection locked="1" hidden="0"/>
    </xf>
    <xf numFmtId="0" fontId="10" fillId="0" borderId="0" xfId="0" applyFont="1" applyFill="1" applyAlignment="1" applyProtection="1">
      <alignment horizontal="general" vertical="bottom"/>
      <protection locked="1" hidden="0"/>
    </xf>
    <xf numFmtId="165" fontId="11" fillId="2" borderId="1" xfId="0" applyNumberFormat="1" applyFont="1" applyFill="1" applyBorder="1" applyAlignment="1" applyProtection="1">
      <alignment horizontal="right" vertical="bottom"/>
      <protection locked="1" hidden="0"/>
    </xf>
    <xf numFmtId="166" fontId="4" fillId="0" borderId="0" xfId="0" applyNumberFormat="1" applyFont="1" applyFill="1" applyAlignment="1" applyProtection="1">
      <alignment horizontal="right" vertical="bottom"/>
      <protection locked="1" hidden="0"/>
    </xf>
    <xf numFmtId="169" fontId="6" fillId="2" borderId="2" xfId="0" applyNumberFormat="1" applyFont="1" applyFill="1" applyBorder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4" fontId="3" fillId="2" borderId="0" xfId="0" applyNumberFormat="1" applyFont="1" applyFill="1" applyAlignment="1" applyProtection="1">
      <alignment horizontal="right" vertical="bottom"/>
      <protection locked="1" hidden="0"/>
    </xf>
    <xf numFmtId="0" fontId="4" fillId="2" borderId="1" xfId="0" applyFont="1" applyFill="1" applyBorder="1" applyAlignment="1" applyProtection="1">
      <alignment horizontal="right" vertical="bottom"/>
      <protection locked="1" hidden="0"/>
    </xf>
    <xf numFmtId="168" fontId="4" fillId="0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166" fontId="9" fillId="0" borderId="0" xfId="0" applyNumberFormat="1" applyFont="1" applyFill="1" applyAlignment="1" applyProtection="1">
      <alignment horizontal="right" vertical="bottom"/>
      <protection locked="1" hidden="0"/>
    </xf>
    <xf numFmtId="165" fontId="6" fillId="2" borderId="0" xfId="0" applyNumberFormat="1" applyFont="1" applyFill="1" applyAlignment="1" applyProtection="1">
      <alignment horizontal="right" vertical="bottom"/>
      <protection locked="1" hidden="0"/>
    </xf>
    <xf numFmtId="171" fontId="6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 indent="2"/>
      <protection locked="1" hidden="0"/>
    </xf>
    <xf numFmtId="0" fontId="2" fillId="0" borderId="0" xfId="0" applyFont="1" applyFill="1" applyAlignment="1" applyProtection="1">
      <alignment horizontal="general" vertical="bottom" indent="1"/>
      <protection locked="1" hidden="0"/>
    </xf>
    <xf numFmtId="0" fontId="1" fillId="0" borderId="0" xfId="0" applyFont="1" applyFill="1" applyAlignment="1" applyProtection="1">
      <alignment horizontal="general" vertical="bottom" indent="2"/>
      <protection locked="1" hidden="0"/>
    </xf>
    <xf numFmtId="168" fontId="5" fillId="0" borderId="0" xfId="0" applyNumberFormat="1" applyFont="1" applyFill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general" vertical="bottom" indent="1"/>
      <protection locked="1" hidden="0"/>
    </xf>
    <xf numFmtId="0" fontId="12" fillId="0" borderId="0" xfId="0" applyFont="1" applyFill="1" applyAlignment="1" applyProtection="1">
      <alignment horizontal="general" vertical="bottom"/>
      <protection locked="1" hidden="0"/>
    </xf>
    <xf numFmtId="164" fontId="13" fillId="0" borderId="0" xfId="0" applyNumberFormat="1" applyFont="1" applyFill="1" applyAlignment="1" applyProtection="1">
      <alignment horizontal="right" vertical="bottom"/>
      <protection locked="1" hidden="0"/>
    </xf>
    <xf numFmtId="170" fontId="3" fillId="0" borderId="0" xfId="0" applyNumberFormat="1" applyFont="1" applyFill="1" applyAlignment="1" applyProtection="1">
      <alignment horizontal="right" vertical="bottom"/>
      <protection locked="1" hidden="0"/>
    </xf>
    <xf numFmtId="166" fontId="1" fillId="2" borderId="0" xfId="0" applyNumberFormat="1" applyFont="1" applyFill="1" applyAlignment="1" applyProtection="1">
      <alignment horizontal="right" vertical="bottom"/>
      <protection locked="1" hidden="0"/>
    </xf>
    <xf numFmtId="168" fontId="11" fillId="0" borderId="0" xfId="0" applyNumberFormat="1" applyFont="1" applyFill="1" applyAlignment="1" applyProtection="1">
      <alignment horizontal="right" vertical="bottom"/>
      <protection locked="1" hidden="0"/>
    </xf>
    <xf numFmtId="166" fontId="11" fillId="0" borderId="0" xfId="0" applyNumberFormat="1" applyFont="1" applyFill="1" applyAlignment="1" applyProtection="1">
      <alignment horizontal="right" vertical="bottom"/>
      <protection locked="1" hidden="0"/>
    </xf>
    <xf numFmtId="166" fontId="6" fillId="0" borderId="0" xfId="0" applyNumberFormat="1" applyFont="1" applyFill="1" applyAlignment="1" applyProtection="1">
      <alignment horizontal="right" vertical="bottom"/>
      <protection locked="1" hidden="0"/>
    </xf>
    <xf numFmtId="164" fontId="2" fillId="0" borderId="0" xfId="0" applyNumberFormat="1" applyFont="1" applyFill="1" applyAlignment="1" applyProtection="1">
      <alignment horizontal="left" vertical="bottom"/>
      <protection locked="1" hidden="0"/>
    </xf>
    <xf numFmtId="171" fontId="1" fillId="0" borderId="0" xfId="0" applyNumberFormat="1" applyFont="1" applyFill="1" applyAlignment="1" applyProtection="1">
      <alignment horizontal="right" vertical="bottom"/>
      <protection locked="1" hidden="0"/>
    </xf>
    <xf numFmtId="0" fontId="1" fillId="3" borderId="1" xfId="0" applyFont="1" applyFill="1" applyBorder="1" applyAlignment="1" applyProtection="1">
      <alignment horizontal="general" vertical="bottom"/>
      <protection locked="1" hidden="0"/>
    </xf>
    <xf numFmtId="165" fontId="4" fillId="2" borderId="0" xfId="0" applyNumberFormat="1" applyFont="1" applyFill="1" applyAlignment="1" applyProtection="1">
      <alignment horizontal="right" vertical="bottom"/>
      <protection locked="1" hidden="0"/>
    </xf>
    <xf numFmtId="171" fontId="5" fillId="0" borderId="0" xfId="0" applyNumberFormat="1" applyFont="1" applyFill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left" vertical="bottom"/>
      <protection locked="1" hidden="0"/>
    </xf>
    <xf numFmtId="167" fontId="13" fillId="0" borderId="0" xfId="0" applyNumberFormat="1" applyFont="1" applyFill="1" applyAlignment="1" applyProtection="1">
      <alignment horizontal="right" vertical="bottom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70" fontId="6" fillId="0" borderId="0" xfId="0" applyNumberFormat="1" applyFont="1" applyFill="1" applyAlignment="1" applyProtection="1">
      <alignment horizontal="left" vertical="bottom"/>
      <protection locked="1" hidden="0"/>
    </xf>
    <xf numFmtId="172" fontId="6" fillId="0" borderId="0" xfId="0" applyNumberFormat="1" applyFont="1" applyFill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left" vertical="bottom"/>
      <protection locked="1" hidden="0"/>
    </xf>
    <xf numFmtId="165" fontId="11" fillId="0" borderId="0" xfId="0" applyNumberFormat="1" applyFont="1" applyFill="1" applyAlignment="1" applyProtection="1">
      <alignment horizontal="right" vertical="bottom"/>
      <protection locked="1" hidden="0"/>
    </xf>
    <xf numFmtId="164" fontId="13" fillId="2" borderId="0" xfId="0" applyNumberFormat="1" applyFont="1" applyFill="1" applyAlignment="1" applyProtection="1">
      <alignment horizontal="right" vertical="bottom"/>
      <protection locked="1" hidden="0"/>
    </xf>
    <xf numFmtId="168" fontId="4" fillId="2" borderId="0" xfId="0" applyNumberFormat="1" applyFont="1" applyFill="1" applyAlignment="1" applyProtection="1">
      <alignment horizontal="right" vertical="bottom"/>
      <protection locked="1" hidden="0"/>
    </xf>
    <xf numFmtId="166" fontId="4" fillId="2" borderId="0" xfId="0" applyNumberFormat="1" applyFont="1" applyFill="1" applyAlignment="1" applyProtection="1">
      <alignment horizontal="right" vertical="bottom"/>
      <protection locked="1" hidden="0"/>
    </xf>
    <xf numFmtId="168" fontId="4" fillId="2" borderId="1" xfId="0" applyNumberFormat="1" applyFont="1" applyFill="1" applyBorder="1" applyAlignment="1" applyProtection="1">
      <alignment horizontal="right" vertical="bottom"/>
      <protection locked="1" hidden="0"/>
    </xf>
    <xf numFmtId="168" fontId="4" fillId="0" borderId="1" xfId="0" applyNumberFormat="1" applyFont="1" applyFill="1" applyBorder="1" applyAlignment="1" applyProtection="1">
      <alignment horizontal="right" vertical="bottom"/>
      <protection locked="1" hidden="0"/>
    </xf>
    <xf numFmtId="172" fontId="4" fillId="0" borderId="0" xfId="0" applyNumberFormat="1" applyFont="1" applyFill="1" applyAlignment="1" applyProtection="1">
      <alignment horizontal="right" vertical="bottom"/>
      <protection locked="1" hidden="0"/>
    </xf>
    <xf numFmtId="172" fontId="1" fillId="2" borderId="0" xfId="0" applyNumberFormat="1" applyFont="1" applyFill="1" applyAlignment="1" applyProtection="1">
      <alignment horizontal="right" vertical="bottom"/>
      <protection locked="1" hidden="0"/>
    </xf>
    <xf numFmtId="171" fontId="1" fillId="2" borderId="0" xfId="0" applyNumberFormat="1" applyFont="1" applyFill="1" applyAlignment="1" applyProtection="1">
      <alignment horizontal="right" vertical="bottom"/>
      <protection locked="1" hidden="0"/>
    </xf>
    <xf numFmtId="165" fontId="11" fillId="2" borderId="0" xfId="0" applyNumberFormat="1" applyFont="1" applyFill="1" applyAlignment="1" applyProtection="1">
      <alignment horizontal="right" vertical="bottom"/>
      <protection locked="1" hidden="0"/>
    </xf>
    <xf numFmtId="166" fontId="1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5" fillId="0" borderId="0" xfId="0" applyNumberFormat="1" applyFont="1" applyFill="1" applyAlignment="1" applyProtection="1">
      <alignment horizontal="right" vertical="bottom"/>
      <protection locked="1" hidden="0"/>
    </xf>
    <xf numFmtId="166" fontId="16" fillId="0" borderId="0" xfId="0" applyNumberFormat="1" applyFont="1" applyFill="1" applyAlignment="1" applyProtection="1">
      <alignment horizontal="left" vertical="bottom"/>
      <protection locked="1" hidden="0"/>
    </xf>
    <xf numFmtId="164" fontId="17" fillId="0" borderId="0" xfId="0" applyNumberFormat="1" applyFont="1" applyFill="1" applyAlignment="1" applyProtection="1">
      <alignment horizontal="right" vertical="bottom"/>
      <protection locked="1" hidden="0"/>
    </xf>
    <xf numFmtId="166" fontId="14" fillId="3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0" fontId="14" fillId="0" borderId="0" xfId="0" applyFont="1" applyFill="1" applyAlignment="1" applyProtection="1">
      <alignment horizontal="general" vertical="bottom"/>
      <protection locked="1" hidden="0"/>
    </xf>
    <xf numFmtId="0" fontId="16" fillId="3" borderId="1" xfId="0" applyFont="1" applyFill="1" applyBorder="1" applyAlignment="1" applyProtection="1">
      <alignment horizontal="right" vertical="bottom"/>
      <protection locked="1" hidden="0"/>
    </xf>
    <xf numFmtId="0" fontId="16" fillId="0" borderId="0" xfId="0" applyFont="1" applyFill="1" applyAlignment="1" applyProtection="1">
      <alignment horizontal="general" vertical="bottom"/>
      <protection locked="1" hidden="0"/>
    </xf>
    <xf numFmtId="165" fontId="18" fillId="0" borderId="0" xfId="0" applyNumberFormat="1" applyFont="1" applyFill="1" applyAlignment="1" applyProtection="1">
      <alignment horizontal="right" vertical="bottom"/>
      <protection locked="1" hidden="0"/>
    </xf>
    <xf numFmtId="0" fontId="19" fillId="0" borderId="0" xfId="0" applyFont="1" applyFill="1" applyAlignment="1" applyProtection="1">
      <alignment horizontal="general" vertical="bottom"/>
      <protection locked="1" hidden="0"/>
    </xf>
    <xf numFmtId="164" fontId="20" fillId="0" borderId="0" xfId="0" applyNumberFormat="1" applyFont="1" applyFill="1" applyAlignment="1" applyProtection="1">
      <alignment horizontal="right" vertical="bottom"/>
      <protection locked="1" hidden="0"/>
    </xf>
    <xf numFmtId="169" fontId="21" fillId="3" borderId="2" xfId="0" applyNumberFormat="1" applyFont="1" applyFill="1" applyBorder="1" applyAlignment="1" applyProtection="1">
      <alignment horizontal="right" vertical="bottom"/>
      <protection locked="1" hidden="0"/>
    </xf>
    <xf numFmtId="167" fontId="20" fillId="0" borderId="0" xfId="0" applyNumberFormat="1" applyFont="1" applyFill="1" applyAlignment="1" applyProtection="1">
      <alignment horizontal="right" vertical="bottom"/>
      <protection locked="1" hidden="0"/>
    </xf>
    <xf numFmtId="171" fontId="21" fillId="0" borderId="0" xfId="0" applyNumberFormat="1" applyFont="1" applyFill="1" applyAlignment="1" applyProtection="1">
      <alignment horizontal="right" vertical="bottom"/>
      <protection locked="1" hidden="0"/>
    </xf>
    <xf numFmtId="165" fontId="21" fillId="0" borderId="0" xfId="0" applyNumberFormat="1" applyFont="1" applyFill="1" applyAlignment="1" applyProtection="1">
      <alignment horizontal="right" vertical="bottom"/>
      <protection locked="1" hidden="0"/>
    </xf>
    <xf numFmtId="165" fontId="16" fillId="0" borderId="1" xfId="0" applyNumberFormat="1" applyFont="1" applyFill="1" applyBorder="1" applyAlignment="1" applyProtection="1">
      <alignment horizontal="right" vertical="bottom"/>
      <protection locked="1" hidden="0"/>
    </xf>
    <xf numFmtId="165" fontId="14" fillId="0" borderId="0" xfId="0" applyNumberFormat="1" applyFont="1" applyFill="1" applyAlignment="1" applyProtection="1">
      <alignment horizontal="right" vertical="bottom"/>
      <protection locked="1" hidden="0"/>
    </xf>
    <xf numFmtId="0" fontId="20" fillId="0" borderId="0" xfId="0" applyFont="1" applyFill="1" applyAlignment="1" applyProtection="1">
      <alignment horizontal="general" vertical="bottom" indent="1"/>
      <protection locked="1" hidden="0"/>
    </xf>
    <xf numFmtId="165" fontId="16" fillId="0" borderId="0" xfId="0" applyNumberFormat="1" applyFont="1" applyFill="1" applyAlignment="1" applyProtection="1">
      <alignment horizontal="right" vertical="bottom"/>
      <protection locked="1" hidden="0"/>
    </xf>
    <xf numFmtId="0" fontId="17" fillId="0" borderId="0" xfId="0" applyFont="1" applyFill="1" applyAlignment="1" applyProtection="1">
      <alignment horizontal="general" vertical="bottom"/>
      <protection locked="1" hidden="0"/>
    </xf>
    <xf numFmtId="164" fontId="20" fillId="2" borderId="0" xfId="0" applyNumberFormat="1" applyFont="1" applyFill="1" applyAlignment="1" applyProtection="1">
      <alignment horizontal="right" vertical="bottom"/>
      <protection locked="1" hidden="0"/>
    </xf>
    <xf numFmtId="0" fontId="20" fillId="0" borderId="0" xfId="0" applyFont="1" applyFill="1" applyAlignment="1" applyProtection="1">
      <alignment horizontal="general" vertical="bottom"/>
      <protection locked="1" hidden="0"/>
    </xf>
    <xf numFmtId="166" fontId="14" fillId="0" borderId="0" xfId="0" applyNumberFormat="1" applyFont="1" applyFill="1" applyAlignment="1" applyProtection="1">
      <alignment horizontal="right" vertical="bottom"/>
      <protection locked="1" hidden="0"/>
    </xf>
    <xf numFmtId="168" fontId="14" fillId="0" borderId="0" xfId="0" applyNumberFormat="1" applyFont="1" applyFill="1" applyAlignment="1" applyProtection="1">
      <alignment horizontal="right" vertical="bottom"/>
      <protection locked="1" hidden="0"/>
    </xf>
    <xf numFmtId="170" fontId="21" fillId="3" borderId="0" xfId="0" applyNumberFormat="1" applyFont="1" applyFill="1" applyAlignment="1" applyProtection="1">
      <alignment horizontal="right" vertical="bottom"/>
      <protection locked="1" hidden="0"/>
    </xf>
    <xf numFmtId="0" fontId="20" fillId="0" borderId="0" xfId="0" applyFont="1" applyFill="1" applyAlignment="1" applyProtection="1">
      <alignment horizontal="general" vertical="bottom" indent="2"/>
      <protection locked="1" hidden="0"/>
    </xf>
    <xf numFmtId="170" fontId="21" fillId="0" borderId="0" xfId="0" applyNumberFormat="1" applyFont="1" applyFill="1" applyAlignment="1" applyProtection="1">
      <alignment horizontal="right" vertical="bottom"/>
      <protection locked="1" hidden="0"/>
    </xf>
    <xf numFmtId="0" fontId="22" fillId="0" borderId="0" xfId="0" applyFont="1" applyFill="1" applyAlignment="1" applyProtection="1">
      <alignment horizontal="general" vertical="bottom"/>
      <protection locked="1" hidden="0"/>
    </xf>
    <xf numFmtId="166" fontId="14" fillId="0" borderId="0" xfId="0" applyNumberFormat="1" applyFont="1" applyFill="1" applyAlignment="1" applyProtection="1">
      <alignment horizontal="left" vertical="bottom"/>
      <protection locked="1" hidden="0"/>
    </xf>
    <xf numFmtId="165" fontId="14" fillId="2" borderId="0" xfId="0" applyNumberFormat="1" applyFont="1" applyFill="1" applyAlignment="1" applyProtection="1">
      <alignment horizontal="right" vertical="bottom"/>
      <protection locked="1" hidden="0"/>
    </xf>
    <xf numFmtId="0" fontId="14" fillId="0" borderId="0" xfId="0" applyFont="1" applyFill="1" applyAlignment="1" applyProtection="1">
      <alignment horizontal="general" vertical="bottom" indent="1"/>
      <protection locked="1" hidden="0"/>
    </xf>
    <xf numFmtId="0" fontId="14" fillId="3" borderId="0" xfId="0" applyFont="1" applyFill="1" applyAlignment="1" applyProtection="1">
      <alignment horizontal="general" vertical="bottom"/>
      <protection locked="1" hidden="0"/>
    </xf>
    <xf numFmtId="165" fontId="16" fillId="2" borderId="1" xfId="0" applyNumberFormat="1" applyFont="1" applyFill="1" applyBorder="1" applyAlignment="1" applyProtection="1">
      <alignment horizontal="right" vertical="bottom"/>
      <protection locked="1" hidden="0"/>
    </xf>
    <xf numFmtId="166" fontId="16" fillId="0" borderId="0" xfId="0" applyNumberFormat="1" applyFont="1" applyFill="1" applyAlignment="1" applyProtection="1">
      <alignment horizontal="right" vertical="bottom"/>
      <protection locked="1" hidden="0"/>
    </xf>
    <xf numFmtId="0" fontId="16" fillId="3" borderId="1" xfId="0" applyFont="1" applyFill="1" applyBorder="1" applyAlignment="1" applyProtection="1">
      <alignment horizontal="general" vertical="bottom"/>
      <protection locked="1" hidden="0"/>
    </xf>
    <xf numFmtId="165" fontId="23" fillId="2" borderId="1" xfId="0" applyNumberFormat="1" applyFont="1" applyFill="1" applyBorder="1" applyAlignment="1" applyProtection="1">
      <alignment horizontal="right" vertical="bottom"/>
      <protection locked="1" hidden="0"/>
    </xf>
    <xf numFmtId="168" fontId="21" fillId="0" borderId="0" xfId="0" applyNumberFormat="1" applyFont="1" applyFill="1" applyAlignment="1" applyProtection="1">
      <alignment horizontal="right" vertical="bottom"/>
      <protection locked="1" hidden="0"/>
    </xf>
    <xf numFmtId="168" fontId="14" fillId="2" borderId="0" xfId="0" applyNumberFormat="1" applyFont="1" applyFill="1" applyAlignment="1" applyProtection="1">
      <alignment horizontal="right" vertical="bottom"/>
      <protection locked="1" hidden="0"/>
    </xf>
    <xf numFmtId="165" fontId="18" fillId="2" borderId="0" xfId="0" applyNumberFormat="1" applyFont="1" applyFill="1" applyAlignment="1" applyProtection="1">
      <alignment horizontal="right" vertical="bottom"/>
      <protection locked="1" hidden="0"/>
    </xf>
    <xf numFmtId="168" fontId="16" fillId="0" borderId="0" xfId="0" applyNumberFormat="1" applyFont="1" applyFill="1" applyAlignment="1" applyProtection="1">
      <alignment horizontal="right" vertical="bottom"/>
      <protection locked="1" hidden="0"/>
    </xf>
    <xf numFmtId="0" fontId="14" fillId="3" borderId="2" xfId="0" applyFont="1" applyFill="1" applyBorder="1" applyAlignment="1" applyProtection="1">
      <alignment horizontal="general" vertical="bottom"/>
      <protection locked="1" hidden="0"/>
    </xf>
    <xf numFmtId="166" fontId="24" fillId="0" borderId="0" xfId="0" applyNumberFormat="1" applyFont="1" applyFill="1" applyAlignment="1" applyProtection="1">
      <alignment horizontal="right" vertical="bottom"/>
      <protection locked="1" hidden="0"/>
    </xf>
    <xf numFmtId="165" fontId="24" fillId="0" borderId="1" xfId="0" applyNumberFormat="1" applyFont="1" applyFill="1" applyBorder="1" applyAlignment="1" applyProtection="1">
      <alignment horizontal="right" vertical="bottom"/>
      <protection locked="1" hidden="0"/>
    </xf>
    <xf numFmtId="165" fontId="21" fillId="2" borderId="0" xfId="0" applyNumberFormat="1" applyFont="1" applyFill="1" applyAlignment="1" applyProtection="1">
      <alignment horizontal="right" vertical="bottom"/>
      <protection locked="1" hidden="0"/>
    </xf>
    <xf numFmtId="170" fontId="21" fillId="2" borderId="0" xfId="0" applyNumberFormat="1" applyFont="1" applyFill="1" applyAlignment="1" applyProtection="1">
      <alignment horizontal="right" vertical="bottom"/>
      <protection locked="1" hidden="0"/>
    </xf>
    <xf numFmtId="168" fontId="21" fillId="2" borderId="0" xfId="0" applyNumberFormat="1" applyFont="1" applyFill="1" applyAlignment="1" applyProtection="1">
      <alignment horizontal="right" vertical="bottom"/>
      <protection locked="1" hidden="0"/>
    </xf>
    <xf numFmtId="168" fontId="18" fillId="0" borderId="0" xfId="0" applyNumberFormat="1" applyFont="1" applyFill="1" applyAlignment="1" applyProtection="1">
      <alignment horizontal="right" vertical="bottom"/>
      <protection locked="1" hidden="0"/>
    </xf>
    <xf numFmtId="171" fontId="18" fillId="0" borderId="0" xfId="0" applyNumberFormat="1" applyFont="1" applyFill="1" applyAlignment="1" applyProtection="1">
      <alignment horizontal="right" vertical="bottom"/>
      <protection locked="1" hidden="0"/>
    </xf>
    <xf numFmtId="169" fontId="21" fillId="2" borderId="2" xfId="0" applyNumberFormat="1" applyFont="1" applyFill="1" applyBorder="1" applyAlignment="1" applyProtection="1">
      <alignment horizontal="right" vertical="bottom"/>
      <protection locked="1" hidden="0"/>
    </xf>
    <xf numFmtId="166" fontId="14" fillId="2" borderId="0" xfId="0" applyNumberFormat="1" applyFont="1" applyFill="1" applyAlignment="1" applyProtection="1">
      <alignment horizontal="right" vertical="bottom"/>
      <protection locked="1" hidden="0"/>
    </xf>
    <xf numFmtId="0" fontId="25" fillId="0" borderId="0" xfId="0" applyFont="1" applyFill="1" applyAlignment="1" applyProtection="1">
      <alignment horizontal="general" vertical="bottom"/>
      <protection locked="1" hidden="0"/>
    </xf>
    <xf numFmtId="170" fontId="15" fillId="0" borderId="0" xfId="0" applyNumberFormat="1" applyFont="1" applyFill="1" applyAlignment="1" applyProtection="1">
      <alignment horizontal="right" vertical="bottom"/>
      <protection locked="1" hidden="0"/>
    </xf>
    <xf numFmtId="0" fontId="16" fillId="2" borderId="1" xfId="0" applyFont="1" applyFill="1" applyBorder="1" applyAlignment="1" applyProtection="1">
      <alignment horizontal="right" vertical="bottom"/>
      <protection locked="1" hidden="0"/>
    </xf>
    <xf numFmtId="167" fontId="20" fillId="2" borderId="0" xfId="0" applyNumberFormat="1" applyFont="1" applyFill="1" applyAlignment="1" applyProtection="1">
      <alignment horizontal="right" vertical="bottom"/>
      <protection locked="1" hidden="0"/>
    </xf>
    <xf numFmtId="166" fontId="14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8" fontId="23" fillId="0" borderId="0" xfId="0" applyNumberFormat="1" applyFont="1" applyFill="1" applyAlignment="1" applyProtection="1">
      <alignment horizontal="right" vertical="bottom"/>
      <protection locked="1" hidden="0"/>
    </xf>
    <xf numFmtId="164" fontId="26" fillId="0" borderId="0" xfId="0" applyNumberFormat="1" applyFont="1" applyFill="1" applyAlignment="1" applyProtection="1">
      <alignment horizontal="right" vertical="bottom"/>
      <protection locked="1" hidden="0"/>
    </xf>
    <xf numFmtId="166" fontId="23" fillId="0" borderId="0" xfId="0" applyNumberFormat="1" applyFont="1" applyFill="1" applyAlignment="1" applyProtection="1">
      <alignment horizontal="right" vertical="bottom"/>
      <protection locked="1" hidden="0"/>
    </xf>
    <xf numFmtId="166" fontId="14" fillId="3" borderId="1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6" fontId="21" fillId="0" borderId="0" xfId="0" applyNumberFormat="1" applyFont="1" applyFill="1" applyAlignment="1" applyProtection="1">
      <alignment horizontal="right" vertical="bottom"/>
      <protection locked="1" hidden="0"/>
    </xf>
    <xf numFmtId="164" fontId="15" fillId="2" borderId="0" xfId="0" applyNumberFormat="1" applyFont="1" applyFill="1" applyAlignment="1" applyProtection="1">
      <alignment horizontal="right" vertical="bottom"/>
      <protection locked="1" hidden="0"/>
    </xf>
    <xf numFmtId="166" fontId="14" fillId="3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0" fontId="16" fillId="0" borderId="0" xfId="0" applyFont="1" applyFill="1" applyAlignment="1" applyProtection="1">
      <alignment horizontal="general" vertical="bottom" indent="1"/>
      <protection locked="1" hidden="0"/>
    </xf>
    <xf numFmtId="168" fontId="14" fillId="0" borderId="0" xfId="0" applyNumberFormat="1" applyFont="1" applyFill="1" applyAlignment="1" applyProtection="1">
      <alignment horizontal="left" vertical="bottom"/>
      <protection locked="1" hidden="0"/>
    </xf>
    <xf numFmtId="0" fontId="14" fillId="0" borderId="0" xfId="0" applyFont="1" applyFill="1" applyAlignment="1" applyProtection="1">
      <alignment horizontal="general" vertical="bottom" indent="2"/>
      <protection locked="1" hidden="0"/>
    </xf>
    <xf numFmtId="166" fontId="18" fillId="0" borderId="0" xfId="0" applyNumberFormat="1" applyFont="1" applyFill="1" applyAlignment="1" applyProtection="1">
      <alignment horizontal="right" vertical="bottom"/>
      <protection locked="1" hidden="0"/>
    </xf>
    <xf numFmtId="165" fontId="14" fillId="0" borderId="0" xfId="0" applyNumberFormat="1" applyFont="1" applyFill="1" applyAlignment="1" applyProtection="1">
      <alignment horizontal="left" vertical="bottom"/>
      <protection locked="1" hidden="0"/>
    </xf>
    <xf numFmtId="165" fontId="16" fillId="2" borderId="0" xfId="0" applyNumberFormat="1" applyFont="1" applyFill="1" applyAlignment="1" applyProtection="1">
      <alignment horizontal="right" vertical="bottom"/>
      <protection locked="1" hidden="0"/>
    </xf>
    <xf numFmtId="167" fontId="26" fillId="0" borderId="0" xfId="0" applyNumberFormat="1" applyFont="1" applyFill="1" applyAlignment="1" applyProtection="1">
      <alignment horizontal="right" vertical="bottom"/>
      <protection locked="1" hidden="0"/>
    </xf>
    <xf numFmtId="171" fontId="14" fillId="0" borderId="0" xfId="0" applyNumberFormat="1" applyFont="1" applyFill="1" applyAlignment="1" applyProtection="1">
      <alignment horizontal="right" vertical="bottom"/>
      <protection locked="1" hidden="0"/>
    </xf>
    <xf numFmtId="164" fontId="26" fillId="2" borderId="0" xfId="0" applyNumberFormat="1" applyFont="1" applyFill="1" applyAlignment="1" applyProtection="1">
      <alignment horizontal="right" vertical="bottom"/>
      <protection locked="1" hidden="0"/>
    </xf>
    <xf numFmtId="170" fontId="21" fillId="0" borderId="0" xfId="0" applyNumberFormat="1" applyFont="1" applyFill="1" applyAlignment="1" applyProtection="1">
      <alignment horizontal="left" vertical="bottom"/>
      <protection locked="1" hidden="0"/>
    </xf>
    <xf numFmtId="172" fontId="14" fillId="0" borderId="0" xfId="0" applyNumberFormat="1" applyFont="1" applyFill="1" applyAlignment="1" applyProtection="1">
      <alignment horizontal="right" vertical="bottom"/>
      <protection locked="1" hidden="0"/>
    </xf>
    <xf numFmtId="164" fontId="20" fillId="0" borderId="0" xfId="0" applyNumberFormat="1" applyFont="1" applyFill="1" applyAlignment="1" applyProtection="1">
      <alignment horizontal="left" vertical="bottom"/>
      <protection locked="1" hidden="0"/>
    </xf>
    <xf numFmtId="171" fontId="14" fillId="2" borderId="0" xfId="0" applyNumberFormat="1" applyFont="1" applyFill="1" applyAlignment="1" applyProtection="1">
      <alignment horizontal="right" vertical="bottom"/>
      <protection locked="1" hidden="0"/>
    </xf>
    <xf numFmtId="172" fontId="14" fillId="2" borderId="0" xfId="0" applyNumberFormat="1" applyFont="1" applyFill="1" applyAlignment="1" applyProtection="1">
      <alignment horizontal="right" vertical="bottom"/>
      <protection locked="1" hidden="0"/>
    </xf>
    <xf numFmtId="172" fontId="21" fillId="0" borderId="0" xfId="0" applyNumberFormat="1" applyFont="1" applyFill="1" applyAlignment="1" applyProtection="1">
      <alignment horizontal="right" vertical="bottom"/>
      <protection locked="1" hidden="0"/>
    </xf>
    <xf numFmtId="165" fontId="23" fillId="2" borderId="0" xfId="0" applyNumberFormat="1" applyFont="1" applyFill="1" applyAlignment="1" applyProtection="1">
      <alignment horizontal="right" vertical="bottom"/>
      <protection locked="1" hidden="0"/>
    </xf>
    <xf numFmtId="168" fontId="16" fillId="2" borderId="0" xfId="0" applyNumberFormat="1" applyFont="1" applyFill="1" applyAlignment="1" applyProtection="1">
      <alignment horizontal="right" vertical="bottom"/>
      <protection locked="1" hidden="0"/>
    </xf>
    <xf numFmtId="168" fontId="16" fillId="0" borderId="1" xfId="0" applyNumberFormat="1" applyFont="1" applyFill="1" applyBorder="1" applyAlignment="1" applyProtection="1">
      <alignment horizontal="right" vertical="bottom"/>
      <protection locked="1" hidden="0"/>
    </xf>
    <xf numFmtId="165" fontId="23" fillId="0" borderId="0" xfId="0" applyNumberFormat="1" applyFont="1" applyFill="1" applyAlignment="1" applyProtection="1">
      <alignment horizontal="right" vertical="bottom"/>
      <protection locked="1" hidden="0"/>
    </xf>
    <xf numFmtId="166" fontId="16" fillId="2" borderId="0" xfId="0" applyNumberFormat="1" applyFont="1" applyFill="1" applyAlignment="1" applyProtection="1">
      <alignment horizontal="right" vertical="bottom"/>
      <protection locked="1" hidden="0"/>
    </xf>
    <xf numFmtId="168" fontId="16" fillId="2" borderId="1" xfId="0" applyNumberFormat="1" applyFont="1" applyFill="1" applyBorder="1" applyAlignment="1" applyProtection="1">
      <alignment horizontal="right" vertical="bottom"/>
      <protection locked="1" hidden="0"/>
    </xf>
    <xf numFmtId="169" fontId="27" fillId="3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6" fontId="28" fillId="3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6" fontId="2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27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30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3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3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3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3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30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3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3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33" fillId="0" borderId="0" xfId="0" applyNumberFormat="1" applyFont="1" applyFill="1" applyAlignment="1" applyProtection="1">
      <alignment horizontal="left" vertical="bottom" textRotation="0" indent="1" readingOrder="0"/>
      <protection locked="1" hidden="0"/>
    </xf>
    <xf numFmtId="173" fontId="34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3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5" fontId="36" fillId="2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3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theme" Target="theme/theme1.xml"/><Relationship Id="rId1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19050</xdr:colOff>
      <xdr:row>0</xdr:row>
      <xdr:rowOff>28575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showGridLines="0" tabSelected="1" workbookViewId="0"/>
  </sheetViews>
  <sheetFormatPr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 ht="49.5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>
      <c r="A2" s="82"/>
      <c r="B2" s="109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</row>
    <row r="3">
      <c r="A3" s="82"/>
      <c r="B3" s="89" t="s">
        <v>1</v>
      </c>
      <c r="C3" s="82"/>
      <c r="D3" s="82"/>
      <c r="E3" s="82"/>
      <c r="F3" s="82"/>
      <c r="G3" s="82"/>
      <c r="H3" s="82"/>
      <c r="I3" s="82"/>
      <c r="J3" s="82"/>
      <c r="K3" s="82"/>
      <c r="L3" s="82"/>
    </row>
    <row r="4">
      <c r="A4" s="82"/>
      <c r="B4" s="103" t="s">
        <v>2</v>
      </c>
      <c r="C4" s="82"/>
      <c r="D4" s="82"/>
      <c r="E4" s="82"/>
      <c r="F4" s="82"/>
      <c r="G4" s="82"/>
      <c r="H4" s="82"/>
      <c r="I4" s="82"/>
      <c r="J4" s="82"/>
      <c r="K4" s="82"/>
      <c r="L4" s="82"/>
    </row>
    <row r="5">
      <c r="A5" s="82"/>
      <c r="B5" s="116" t="s">
        <v>3</v>
      </c>
      <c r="C5" s="88"/>
      <c r="D5" s="88"/>
      <c r="E5" s="88"/>
      <c r="F5" s="88"/>
      <c r="G5" s="88"/>
      <c r="H5" s="166"/>
      <c r="I5" s="116" t="s">
        <v>4</v>
      </c>
      <c r="J5" s="82"/>
      <c r="K5" s="82"/>
      <c r="L5" s="82"/>
    </row>
    <row r="6">
      <c r="A6" s="82"/>
      <c r="B6" s="113"/>
      <c r="C6" s="106"/>
      <c r="D6" s="106"/>
      <c r="E6" s="106"/>
      <c r="F6" s="106"/>
      <c r="G6" s="106"/>
      <c r="H6" s="168"/>
      <c r="I6" s="86"/>
      <c r="J6" s="82"/>
      <c r="K6" s="82"/>
      <c r="L6" s="82"/>
    </row>
    <row r="7">
      <c r="A7" s="82"/>
      <c r="B7" s="122"/>
      <c r="C7" s="93"/>
      <c r="D7" s="93"/>
      <c r="E7" s="93"/>
      <c r="F7" s="93"/>
      <c r="G7" s="93"/>
      <c r="H7" s="165"/>
      <c r="I7" s="143"/>
      <c r="J7" s="82"/>
      <c r="K7" s="82"/>
      <c r="L7" s="82"/>
    </row>
    <row r="8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</row>
    <row r="9">
      <c r="A9" s="82"/>
      <c r="B9" s="132" t="s">
        <v>5</v>
      </c>
      <c r="C9" s="82"/>
      <c r="D9" s="82"/>
      <c r="E9" s="82"/>
      <c r="F9" s="82"/>
      <c r="G9" s="82"/>
      <c r="H9" s="82"/>
      <c r="I9" s="82"/>
      <c r="J9" s="82"/>
      <c r="K9" s="82"/>
      <c r="L9" s="82"/>
    </row>
    <row r="10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</row>
    <row r="11">
      <c r="A11" s="82"/>
      <c r="B11" s="89" t="s">
        <v>6</v>
      </c>
      <c r="C11" s="87" t="s">
        <v>7</v>
      </c>
      <c r="D11" s="82"/>
      <c r="E11" s="82"/>
      <c r="F11" s="82"/>
      <c r="G11" s="82"/>
      <c r="H11" s="82"/>
      <c r="I11" s="82"/>
      <c r="J11" s="82"/>
      <c r="K11" s="82"/>
      <c r="L11" s="82"/>
    </row>
    <row r="12">
      <c r="A12" s="82"/>
      <c r="B12" s="89" t="s">
        <v>8</v>
      </c>
      <c r="C12" s="87" t="s">
        <v>9</v>
      </c>
      <c r="D12" s="82"/>
      <c r="E12" s="82"/>
      <c r="F12" s="82"/>
      <c r="G12" s="82"/>
      <c r="H12" s="82"/>
      <c r="I12" s="82"/>
      <c r="J12" s="82"/>
      <c r="K12" s="82"/>
      <c r="L12" s="82"/>
    </row>
    <row r="13">
      <c r="A13" s="82"/>
      <c r="B13" s="89" t="s">
        <v>10</v>
      </c>
      <c r="C13" s="87" t="s">
        <v>11</v>
      </c>
      <c r="D13" s="82"/>
      <c r="E13" s="82"/>
      <c r="F13" s="82"/>
      <c r="G13" s="82"/>
      <c r="H13" s="82"/>
      <c r="I13" s="82"/>
      <c r="J13" s="82"/>
      <c r="K13" s="82"/>
      <c r="L13" s="82"/>
    </row>
    <row r="14">
      <c r="A14" s="82"/>
      <c r="B14" s="89" t="s">
        <v>12</v>
      </c>
      <c r="C14" s="87" t="s">
        <v>13</v>
      </c>
      <c r="D14" s="82"/>
      <c r="E14" s="82"/>
      <c r="F14" s="82"/>
      <c r="G14" s="82"/>
      <c r="H14" s="82"/>
      <c r="I14" s="82"/>
      <c r="J14" s="82"/>
      <c r="K14" s="82"/>
      <c r="L14" s="82"/>
    </row>
    <row r="15">
      <c r="A15" s="82"/>
      <c r="B15" s="89" t="s">
        <v>14</v>
      </c>
      <c r="C15" s="87" t="s">
        <v>15</v>
      </c>
      <c r="D15" s="82"/>
      <c r="E15" s="82"/>
      <c r="F15" s="82"/>
      <c r="G15" s="82"/>
      <c r="H15" s="82"/>
      <c r="I15" s="82"/>
      <c r="J15" s="82"/>
      <c r="K15" s="82"/>
      <c r="L15" s="82"/>
    </row>
    <row r="16">
      <c r="A16" s="82"/>
      <c r="B16" s="89" t="s">
        <v>16</v>
      </c>
      <c r="C16" s="87" t="s">
        <v>17</v>
      </c>
      <c r="D16" s="82"/>
      <c r="E16" s="82"/>
      <c r="F16" s="82"/>
      <c r="G16" s="82"/>
      <c r="H16" s="82"/>
      <c r="I16" s="82"/>
      <c r="J16" s="82"/>
      <c r="K16" s="82"/>
      <c r="L16" s="82"/>
    </row>
    <row r="17">
      <c r="A17" s="82"/>
      <c r="B17" s="89" t="s">
        <v>18</v>
      </c>
      <c r="C17" s="87" t="s">
        <v>19</v>
      </c>
      <c r="D17" s="82"/>
      <c r="E17" s="82"/>
      <c r="F17" s="82"/>
      <c r="G17" s="82"/>
      <c r="H17" s="82"/>
      <c r="I17" s="82"/>
      <c r="J17" s="82"/>
      <c r="K17" s="82"/>
      <c r="L17" s="82"/>
    </row>
    <row r="18">
      <c r="A18" s="82"/>
      <c r="B18" s="89" t="s">
        <v>20</v>
      </c>
      <c r="C18" s="87" t="s">
        <v>21</v>
      </c>
      <c r="D18" s="82"/>
      <c r="E18" s="82"/>
      <c r="F18" s="82"/>
      <c r="G18" s="82"/>
      <c r="H18" s="82"/>
      <c r="I18" s="82"/>
      <c r="J18" s="82"/>
      <c r="K18" s="82"/>
      <c r="L18" s="82"/>
    </row>
    <row r="19">
      <c r="A19" s="82"/>
      <c r="B19" s="89" t="s">
        <v>22</v>
      </c>
      <c r="C19" s="87" t="s">
        <v>23</v>
      </c>
      <c r="D19" s="82"/>
      <c r="E19" s="82"/>
      <c r="F19" s="82"/>
      <c r="G19" s="82"/>
      <c r="H19" s="82"/>
      <c r="I19" s="82"/>
      <c r="J19" s="82"/>
      <c r="K19" s="82"/>
      <c r="L19" s="82"/>
    </row>
    <row r="20">
      <c r="A20" s="82"/>
      <c r="B20" s="89" t="s">
        <v>24</v>
      </c>
      <c r="C20" s="87" t="s">
        <v>25</v>
      </c>
      <c r="D20" s="82"/>
      <c r="E20" s="82"/>
      <c r="F20" s="82"/>
      <c r="G20" s="82"/>
      <c r="H20" s="82"/>
      <c r="I20" s="82"/>
      <c r="J20" s="82"/>
      <c r="K20" s="82"/>
      <c r="L20" s="82"/>
    </row>
    <row r="21">
      <c r="A21" s="82"/>
      <c r="B21" s="89" t="s">
        <v>26</v>
      </c>
      <c r="C21" s="87" t="s">
        <v>27</v>
      </c>
      <c r="D21" s="82"/>
      <c r="E21" s="82"/>
      <c r="F21" s="82"/>
      <c r="G21" s="82"/>
      <c r="H21" s="82"/>
      <c r="I21" s="82"/>
      <c r="J21" s="82"/>
      <c r="K21" s="82"/>
      <c r="L21" s="82"/>
    </row>
    <row r="22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</row>
    <row r="23">
      <c r="A23" s="82"/>
      <c r="B23" s="89" t="s">
        <v>28</v>
      </c>
      <c r="C23" s="167" t="s">
        <v>29</v>
      </c>
      <c r="D23" s="115" t="s">
        <v>30</v>
      </c>
      <c r="E23" s="115" t="s">
        <v>31</v>
      </c>
      <c r="F23" s="115" t="s">
        <v>32</v>
      </c>
      <c r="G23" s="115" t="s">
        <v>33</v>
      </c>
      <c r="H23" s="115" t="s">
        <v>34</v>
      </c>
      <c r="I23" s="82"/>
      <c r="J23" s="82"/>
      <c r="K23" s="82"/>
      <c r="L23" s="82"/>
    </row>
    <row r="24">
      <c r="A24" s="82"/>
      <c r="B24" s="87" t="s">
        <v>35</v>
      </c>
      <c r="C24" s="90">
        <f>'Revenue summary'!H43</f>
        <v>4176.8</v>
      </c>
      <c r="D24" s="90">
        <f>Inputs!C66</f>
        <v>4138.23</v>
      </c>
      <c r="E24" s="98">
        <f>C24-D24</f>
        <v>38.57000000000062</v>
      </c>
      <c r="F24" s="92">
        <f>E24/D24</f>
        <v>0.009320409933715773</v>
      </c>
      <c r="G24" s="90">
        <f>Guidance!G42</f>
        <v>4100</v>
      </c>
      <c r="H24" s="98">
        <f>C24-G24</f>
        <v>76.80000000000018</v>
      </c>
      <c r="I24" s="91" t="s">
        <v>36</v>
      </c>
      <c r="J24" s="82"/>
      <c r="K24" s="82"/>
      <c r="L24" s="82"/>
    </row>
    <row r="25">
      <c r="A25" s="82"/>
      <c r="B25" s="87" t="s">
        <v>37</v>
      </c>
      <c r="C25" s="90">
        <f>'Income Statement'!H104</f>
        <v>1609.8168719999999</v>
      </c>
      <c r="D25" s="90">
        <f>Inputs!C79</f>
        <v>1585.68</v>
      </c>
      <c r="E25" s="98">
        <f>C25-D25</f>
        <v>24.136871999999812</v>
      </c>
      <c r="F25" s="92">
        <f>E25/D25</f>
        <v>0.015221779930376754</v>
      </c>
      <c r="G25" s="90">
        <f>Guidance!G47*Guidance!G48</f>
        <v>1552</v>
      </c>
      <c r="H25" s="98">
        <f>C25-G25</f>
        <v>57.816871999999876</v>
      </c>
      <c r="I25" s="91" t="s">
        <v>38</v>
      </c>
      <c r="J25" s="82"/>
      <c r="K25" s="82"/>
      <c r="L25" s="82"/>
    </row>
    <row r="26">
      <c r="A26" s="82"/>
      <c r="B26" s="89" t="s">
        <v>39</v>
      </c>
      <c r="C26" s="137">
        <f>'Income Statement'!H107</f>
        <v>4.149012556701031</v>
      </c>
      <c r="D26" s="137">
        <f>Inputs!C17</f>
        <v>4.08</v>
      </c>
      <c r="E26" s="121">
        <f>C26-D26</f>
        <v>0.0690125567010309</v>
      </c>
      <c r="F26" s="85">
        <f>E26/D26</f>
        <v>0.016914842328684045</v>
      </c>
      <c r="G26" s="137">
        <f>Guidance!G47</f>
        <v>4</v>
      </c>
      <c r="H26" s="121">
        <f>C26-G26</f>
        <v>0.14901255670103097</v>
      </c>
      <c r="I26" s="91" t="s">
        <v>40</v>
      </c>
      <c r="J26" s="82"/>
      <c r="K26" s="82"/>
      <c r="L26" s="82"/>
    </row>
    <row r="27">
      <c r="A27" s="82"/>
      <c r="B27" s="87" t="s">
        <v>41</v>
      </c>
      <c r="C27" s="128">
        <f>'Income Statement'!H61</f>
        <v>3.999270288659794</v>
      </c>
      <c r="D27" s="128">
        <f>Inputs!C57</f>
        <v>3.78</v>
      </c>
      <c r="E27" s="105">
        <f>C27-D27</f>
        <v>0.21927028865979414</v>
      </c>
      <c r="F27" s="92">
        <f>E27/D27</f>
        <v>0.058008012872961416</v>
      </c>
      <c r="G27" s="105" t="s">
        <v>42</v>
      </c>
      <c r="H27" s="105" t="s">
        <v>42</v>
      </c>
      <c r="I27" s="91" t="s">
        <v>43</v>
      </c>
      <c r="J27" s="82"/>
      <c r="K27" s="82"/>
      <c r="L27" s="82"/>
    </row>
    <row r="28">
      <c r="A28" s="82"/>
      <c r="B28" s="87" t="s">
        <v>44</v>
      </c>
      <c r="C28" s="90">
        <f>'Income Statement'!H56</f>
        <v>1551.716872</v>
      </c>
      <c r="D28" s="90">
        <f>Inputs!C80</f>
        <v>1508</v>
      </c>
      <c r="E28" s="98">
        <f>C28-D28</f>
        <v>43.71687199999997</v>
      </c>
      <c r="F28" s="92">
        <f>E28/D28</f>
        <v>0.02898996816976125</v>
      </c>
      <c r="G28" s="98" t="s">
        <v>42</v>
      </c>
      <c r="H28" s="98" t="s">
        <v>42</v>
      </c>
      <c r="I28" s="177" t="s">
        <v>45</v>
      </c>
      <c r="J28" s="82"/>
      <c r="K28" s="82"/>
      <c r="L28" s="82"/>
    </row>
    <row r="29">
      <c r="A29" s="82"/>
      <c r="B29" s="89" t="s">
        <v>46</v>
      </c>
      <c r="C29" s="176" t="str">
        <f>IF(AND(COUNT('Revenue summary'!C55:H55)=COLUMNS('Revenue summary'!C55:H55),SUMIF('Revenue summary'!C55:H55,"&gt;0")-SUMIF('Revenue summary'!C55:H55,"&lt;0")&lt;0.001,ABS('Revenue summary'!G59)&lt;0.001,COUNT('Revenue summary'!C94:H94)=COLUMNS('Revenue summary'!C94:H94),SUMIF('Revenue summary'!C94:H94,"&gt;0")-SUMIF('Revenue summary'!C94:H94,"&lt;0")&lt;0.001,COUNT('Balance Sheet'!C32:H32)=COLUMNS('Balance Sheet'!C32:H32),SUMIF('Balance Sheet'!C32:H32,"&gt;0")-SUMIF('Balance Sheet'!C32:H32,"&lt;0")&lt;0.001,COUNT('Cash Flow Statement'!C55:H55)=COLUMNS('Cash Flow Statement'!C55:H55),SUMIF('Cash Flow Statement'!C55:H55,"&gt;0")-SUMIF('Cash Flow Statement'!C55:H55,"&lt;0")&lt;0.001,COUNT('Cash Flow Statement'!C69:G69)=COLUMNS('Cash Flow Statement'!C69:G69),SUMIF('Cash Flow Statement'!C69:G69,"&gt;0")-SUMIF('Cash Flow Statement'!C69:G69,"&lt;0")&lt;0.001,COUNT(Geo!C43:H43)=COLUMNS(Geo!C43:H43),SUMIF(Geo!C43:H43,"&gt;0")-SUMIF(Geo!C43:H43,"&lt;0")&lt;0.001,N('Income Statement'!C111)=1,N('Income Statement'!D111)=1,N('Income Statement'!E111)=1,N('Income Statement'!F111)=1,N('Income Statement'!G111)=1,N('Income Statement'!H111)=1,N('Income Statement'!C64)=1,N('Income Statement'!D64)=1,N('Income Statement'!E64)=1,N('Income Statement'!F64)=1,N('Income Statement'!G64)=1,N('Income Statement'!H64)=1,COUNT('Income Statement'!C112:H112)=COLUMNS('Income Statement'!C112:H112),SUMIF('Income Statement'!C112:H112,"&gt;0")-SUMIF('Income Statement'!C112:H112,"&lt;0")&lt;0.001,N(C32)=1),"PASS","FAIL")</f>
        <v>PASS</v>
      </c>
      <c r="D29" s="82"/>
      <c r="E29" s="82"/>
      <c r="F29" s="82"/>
      <c r="G29" s="82"/>
      <c r="H29" s="82"/>
      <c r="I29" s="91" t="s">
        <v>47</v>
      </c>
      <c r="J29" s="82"/>
      <c r="K29" s="82"/>
      <c r="L29" s="82"/>
    </row>
    <row r="30">
      <c r="A30" s="82"/>
      <c r="B30" s="101" t="s">
        <v>48</v>
      </c>
      <c r="C30" s="85">
        <f>C51</f>
        <v>0.8042857142857143</v>
      </c>
      <c r="D30" s="82"/>
      <c r="E30" s="82"/>
      <c r="F30" s="82"/>
      <c r="G30" s="82"/>
      <c r="H30" s="82"/>
      <c r="I30" s="82"/>
      <c r="J30" s="82"/>
      <c r="K30" s="82"/>
      <c r="L30" s="82"/>
    </row>
    <row r="31">
      <c r="A31" s="82"/>
      <c r="B31" s="89" t="s">
        <v>49</v>
      </c>
      <c r="C31" s="123" t="s">
        <v>50</v>
      </c>
      <c r="D31" s="82"/>
      <c r="E31" s="82"/>
      <c r="F31" s="82"/>
      <c r="G31" s="82"/>
      <c r="H31" s="82"/>
      <c r="I31" s="82"/>
      <c r="J31" s="82"/>
      <c r="K31" s="82"/>
      <c r="L31" s="82"/>
    </row>
    <row r="32">
      <c r="A32" s="82"/>
      <c r="B32" s="87" t="s">
        <v>51</v>
      </c>
      <c r="C32" s="147" t="b">
        <f>AND(C24='Income Statement'!H10,C25='Income Statement'!H104,C26='Income Statement'!H107,ABS(C26-C25/'Share Count'!H20)&lt;0.000001)</f>
        <v>1</v>
      </c>
      <c r="D32" s="82"/>
      <c r="E32" s="82"/>
      <c r="F32" s="82"/>
      <c r="G32" s="82"/>
      <c r="H32" s="82"/>
      <c r="I32" s="91" t="s">
        <v>52</v>
      </c>
      <c r="J32" s="82"/>
      <c r="K32" s="82"/>
      <c r="L32" s="82"/>
    </row>
    <row r="33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</row>
    <row r="34">
      <c r="A34" s="82"/>
      <c r="B34" s="89" t="s">
        <v>53</v>
      </c>
      <c r="C34" s="82"/>
      <c r="D34" s="82"/>
      <c r="E34" s="82"/>
      <c r="F34" s="82"/>
      <c r="G34" s="82"/>
      <c r="H34" s="82"/>
      <c r="I34" s="91" t="s">
        <v>54</v>
      </c>
      <c r="J34" s="82"/>
      <c r="K34" s="82"/>
      <c r="L34" s="82"/>
    </row>
    <row r="35">
      <c r="A35" s="82"/>
      <c r="B35" s="87" t="s">
        <v>55</v>
      </c>
      <c r="C35" s="128">
        <f>Inputs!C99</f>
        <v>332</v>
      </c>
      <c r="D35" s="82"/>
      <c r="E35" s="82"/>
      <c r="F35" s="82"/>
      <c r="G35" s="82"/>
      <c r="H35" s="82"/>
      <c r="I35" s="82"/>
      <c r="J35" s="82"/>
      <c r="K35" s="82"/>
      <c r="L35" s="82"/>
    </row>
    <row r="36">
      <c r="A36" s="82"/>
      <c r="B36" s="87" t="s">
        <v>56</v>
      </c>
      <c r="C36" s="90">
        <f>'Share Count'!H35</f>
        <v>360.540944</v>
      </c>
      <c r="D36" s="82"/>
      <c r="E36" s="82"/>
      <c r="F36" s="82"/>
      <c r="G36" s="82"/>
      <c r="H36" s="82"/>
      <c r="I36" s="82"/>
      <c r="J36" s="82"/>
      <c r="K36" s="82"/>
      <c r="L36" s="82"/>
    </row>
    <row r="37">
      <c r="A37" s="82"/>
      <c r="B37" s="87" t="s">
        <v>57</v>
      </c>
      <c r="C37" s="98">
        <f>C35*C36</f>
        <v>119699.59340800002</v>
      </c>
      <c r="D37" s="82"/>
      <c r="E37" s="82"/>
      <c r="F37" s="82"/>
      <c r="G37" s="82"/>
      <c r="H37" s="82"/>
      <c r="I37" s="91" t="s">
        <v>58</v>
      </c>
      <c r="J37" s="82"/>
      <c r="K37" s="82"/>
      <c r="L37" s="82"/>
    </row>
    <row r="38">
      <c r="A38" s="82"/>
      <c r="B38" s="87" t="s">
        <v>59</v>
      </c>
      <c r="C38" s="96">
        <v>10000</v>
      </c>
      <c r="D38" s="82"/>
      <c r="E38" s="82"/>
      <c r="F38" s="82"/>
      <c r="G38" s="82"/>
      <c r="H38" s="82"/>
      <c r="I38" s="91" t="s">
        <v>60</v>
      </c>
      <c r="J38" s="82"/>
      <c r="K38" s="82"/>
      <c r="L38" s="82"/>
    </row>
    <row r="39">
      <c r="A39" s="82"/>
      <c r="B39" s="87" t="s">
        <v>61</v>
      </c>
      <c r="C39" s="96">
        <v>2000</v>
      </c>
      <c r="D39" s="82"/>
      <c r="E39" s="82"/>
      <c r="F39" s="82"/>
      <c r="G39" s="82"/>
      <c r="H39" s="82"/>
      <c r="I39" s="82"/>
      <c r="J39" s="82"/>
      <c r="K39" s="82"/>
      <c r="L39" s="82"/>
    </row>
    <row r="40">
      <c r="A40" s="82"/>
      <c r="B40" s="87" t="s">
        <v>62</v>
      </c>
      <c r="C40" s="104" t="str">
        <f>IF(C37&gt;C38,"Large",IF(C37&gt;=C39,"Mid","Small"))</f>
        <v>Large</v>
      </c>
      <c r="D40" s="82"/>
      <c r="E40" s="82"/>
      <c r="F40" s="82"/>
      <c r="G40" s="82"/>
      <c r="H40" s="82"/>
      <c r="I40" s="82"/>
      <c r="J40" s="82"/>
      <c r="K40" s="82"/>
      <c r="L40" s="82"/>
    </row>
    <row r="41">
      <c r="A41" s="82"/>
      <c r="B41" s="87" t="s">
        <v>63</v>
      </c>
      <c r="C41" s="141" t="s">
        <v>64</v>
      </c>
      <c r="D41" s="82"/>
      <c r="E41" s="82"/>
      <c r="F41" s="82"/>
      <c r="G41" s="82"/>
      <c r="H41" s="82"/>
      <c r="I41" s="91" t="s">
        <v>65</v>
      </c>
      <c r="J41" s="82"/>
      <c r="K41" s="82"/>
      <c r="L41" s="82"/>
    </row>
    <row r="42">
      <c r="A42" s="82"/>
      <c r="B42" s="103" t="s">
        <v>66</v>
      </c>
      <c r="C42" s="83">
        <v>0.78</v>
      </c>
      <c r="D42" s="82"/>
      <c r="E42" s="82"/>
      <c r="F42" s="82"/>
      <c r="G42" s="82"/>
      <c r="H42" s="82"/>
      <c r="I42" s="91" t="s">
        <v>67</v>
      </c>
      <c r="J42" s="82"/>
      <c r="K42" s="82"/>
      <c r="L42" s="82"/>
    </row>
    <row r="43">
      <c r="A43" s="82"/>
      <c r="B43" s="103" t="s">
        <v>68</v>
      </c>
      <c r="C43" s="83">
        <v>0.7</v>
      </c>
      <c r="D43" s="82"/>
      <c r="E43" s="82"/>
      <c r="F43" s="82"/>
      <c r="G43" s="82"/>
      <c r="H43" s="82"/>
      <c r="I43" s="82"/>
      <c r="J43" s="82"/>
      <c r="K43" s="82"/>
      <c r="L43" s="82"/>
    </row>
    <row r="44">
      <c r="A44" s="82"/>
      <c r="B44" s="103" t="s">
        <v>69</v>
      </c>
      <c r="C44" s="83">
        <v>0.6</v>
      </c>
      <c r="D44" s="82"/>
      <c r="E44" s="82"/>
      <c r="F44" s="82"/>
      <c r="G44" s="82"/>
      <c r="H44" s="82"/>
      <c r="I44" s="82"/>
      <c r="J44" s="82"/>
      <c r="K44" s="82"/>
      <c r="L44" s="82"/>
    </row>
    <row r="45">
      <c r="A45" s="82"/>
      <c r="B45" s="103" t="s">
        <v>70</v>
      </c>
      <c r="C45" s="92">
        <f>IF(OR(C40="Large",C41="Yes"),C42,IF(C40="Mid",C43,C44))</f>
        <v>0.78</v>
      </c>
      <c r="D45" s="82"/>
      <c r="E45" s="82"/>
      <c r="F45" s="82"/>
      <c r="G45" s="82"/>
      <c r="H45" s="82"/>
      <c r="I45" s="82"/>
      <c r="J45" s="82"/>
      <c r="K45" s="82"/>
      <c r="L45" s="82"/>
    </row>
    <row r="46">
      <c r="A46" s="82"/>
      <c r="B46" s="87" t="s">
        <v>71</v>
      </c>
      <c r="C46" s="129">
        <f>COUNTIF(Inputs!J106:J111,"&gt;0")</f>
        <v>6</v>
      </c>
      <c r="D46" s="82"/>
      <c r="E46" s="82"/>
      <c r="F46" s="82"/>
      <c r="G46" s="82"/>
      <c r="H46" s="82"/>
      <c r="I46" s="82"/>
      <c r="J46" s="82"/>
      <c r="K46" s="82"/>
      <c r="L46" s="82"/>
    </row>
    <row r="47">
      <c r="A47" s="82"/>
      <c r="B47" s="87" t="s">
        <v>72</v>
      </c>
      <c r="C47" s="129">
        <f>COUNT(Inputs!J106:J111)</f>
        <v>6</v>
      </c>
      <c r="D47" s="82"/>
      <c r="E47" s="82"/>
      <c r="F47" s="82"/>
      <c r="G47" s="82"/>
      <c r="H47" s="82"/>
      <c r="I47" s="91" t="s">
        <v>73</v>
      </c>
      <c r="J47" s="82"/>
      <c r="K47" s="82"/>
      <c r="L47" s="82"/>
    </row>
    <row r="48">
      <c r="A48" s="82"/>
      <c r="B48" s="87" t="s">
        <v>74</v>
      </c>
      <c r="C48" s="95">
        <v>8</v>
      </c>
      <c r="D48" s="82"/>
      <c r="E48" s="82"/>
      <c r="F48" s="82"/>
      <c r="G48" s="82"/>
      <c r="H48" s="82"/>
      <c r="I48" s="82"/>
      <c r="J48" s="82"/>
      <c r="K48" s="82"/>
      <c r="L48" s="82"/>
    </row>
    <row r="49">
      <c r="A49" s="82"/>
      <c r="B49" s="103" t="s">
        <v>75</v>
      </c>
      <c r="C49" s="92">
        <f>(C48*C45+C46)/(C48+C47)</f>
        <v>0.8742857142857143</v>
      </c>
      <c r="D49" s="82"/>
      <c r="E49" s="82"/>
      <c r="F49" s="82"/>
      <c r="G49" s="82"/>
      <c r="H49" s="82"/>
      <c r="I49" s="82"/>
      <c r="J49" s="82"/>
      <c r="K49" s="82"/>
      <c r="L49" s="82"/>
    </row>
    <row r="50">
      <c r="A50" s="82"/>
      <c r="B50" s="103" t="s">
        <v>76</v>
      </c>
      <c r="C50" s="83">
        <v>-0.07</v>
      </c>
      <c r="D50" s="82"/>
      <c r="E50" s="82"/>
      <c r="F50" s="82"/>
      <c r="G50" s="82"/>
      <c r="H50" s="82"/>
      <c r="I50" s="91" t="s">
        <v>77</v>
      </c>
      <c r="J50" s="82"/>
      <c r="K50" s="82"/>
      <c r="L50" s="82"/>
    </row>
    <row r="51">
      <c r="A51" s="82"/>
      <c r="B51" s="101" t="s">
        <v>78</v>
      </c>
      <c r="C51" s="85">
        <f>C49+C50</f>
        <v>0.8042857142857143</v>
      </c>
      <c r="D51" s="82"/>
      <c r="E51" s="82"/>
      <c r="F51" s="82"/>
      <c r="G51" s="82"/>
      <c r="H51" s="82"/>
      <c r="I51" s="82"/>
      <c r="J51" s="82"/>
      <c r="K51" s="82"/>
      <c r="L51" s="82"/>
    </row>
    <row r="52">
      <c r="A52" s="82"/>
      <c r="B52" s="87" t="s">
        <v>79</v>
      </c>
      <c r="C52" s="128">
        <f>Inputs!J112</f>
        <v>0.2366666666666667</v>
      </c>
      <c r="D52" s="82"/>
      <c r="E52" s="82"/>
      <c r="F52" s="82"/>
      <c r="G52" s="82"/>
      <c r="H52" s="82"/>
      <c r="I52" s="82"/>
      <c r="J52" s="82"/>
      <c r="K52" s="82"/>
      <c r="L52" s="82"/>
    </row>
    <row r="53">
      <c r="A53" s="82"/>
      <c r="B53" s="87" t="s">
        <v>80</v>
      </c>
      <c r="C53" s="105">
        <f>E26</f>
        <v>0.0690125567010309</v>
      </c>
      <c r="D53" s="82"/>
      <c r="E53" s="82"/>
      <c r="F53" s="82"/>
      <c r="G53" s="82"/>
      <c r="H53" s="82"/>
      <c r="I53" s="82"/>
      <c r="J53" s="82"/>
      <c r="K53" s="82"/>
      <c r="L53" s="82"/>
    </row>
    <row r="54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</row>
    <row r="5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</row>
    <row r="56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>
      <c r="A2" s="82"/>
      <c r="B2" s="109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</row>
    <row r="3">
      <c r="A3" s="82"/>
      <c r="B3" s="89" t="s">
        <v>81</v>
      </c>
      <c r="C3" s="82"/>
      <c r="D3" s="82"/>
      <c r="E3" s="82"/>
      <c r="F3" s="82"/>
      <c r="G3" s="82"/>
      <c r="H3" s="82"/>
      <c r="I3" s="82"/>
      <c r="J3" s="82"/>
      <c r="K3" s="82"/>
      <c r="L3" s="82"/>
    </row>
    <row r="4">
      <c r="A4" s="82"/>
      <c r="B4" s="103" t="s">
        <v>2</v>
      </c>
      <c r="C4" s="82"/>
      <c r="D4" s="82"/>
      <c r="E4" s="82"/>
      <c r="F4" s="82"/>
      <c r="G4" s="82"/>
      <c r="H4" s="82"/>
      <c r="I4" s="82"/>
      <c r="J4" s="82"/>
      <c r="K4" s="82"/>
      <c r="L4" s="82"/>
    </row>
    <row r="5">
      <c r="A5" s="82"/>
      <c r="B5" s="116" t="s">
        <v>82</v>
      </c>
      <c r="C5" s="88" t="s">
        <v>83</v>
      </c>
      <c r="D5" s="88" t="s">
        <v>84</v>
      </c>
      <c r="E5" s="88" t="s">
        <v>85</v>
      </c>
      <c r="F5" s="88" t="s">
        <v>86</v>
      </c>
      <c r="G5" s="88" t="s">
        <v>87</v>
      </c>
      <c r="H5" s="134" t="s">
        <v>88</v>
      </c>
      <c r="I5" s="116" t="s">
        <v>4</v>
      </c>
      <c r="J5" s="82"/>
      <c r="K5" s="82"/>
      <c r="L5" s="82"/>
    </row>
    <row r="6">
      <c r="A6" s="82"/>
      <c r="B6" s="113" t="s">
        <v>89</v>
      </c>
      <c r="C6" s="106">
        <v>45933</v>
      </c>
      <c r="D6" s="106">
        <v>46024</v>
      </c>
      <c r="E6" s="106">
        <v>46115</v>
      </c>
      <c r="F6" s="106">
        <v>46206</v>
      </c>
      <c r="G6" s="106">
        <v>46206</v>
      </c>
      <c r="H6" s="126">
        <v>46297</v>
      </c>
      <c r="I6" s="86"/>
      <c r="J6" s="82"/>
      <c r="K6" s="82"/>
      <c r="L6" s="82"/>
    </row>
    <row r="7">
      <c r="A7" s="82"/>
      <c r="B7" s="122" t="s">
        <v>90</v>
      </c>
      <c r="C7" s="93">
        <v>98</v>
      </c>
      <c r="D7" s="93">
        <v>91</v>
      </c>
      <c r="E7" s="93">
        <v>91</v>
      </c>
      <c r="F7" s="93">
        <v>91</v>
      </c>
      <c r="G7" s="93">
        <v>371</v>
      </c>
      <c r="H7" s="130">
        <v>91</v>
      </c>
      <c r="I7" s="143"/>
      <c r="J7" s="82"/>
      <c r="K7" s="82"/>
      <c r="L7" s="82"/>
    </row>
    <row r="8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</row>
    <row r="9">
      <c r="A9" s="82"/>
      <c r="B9" s="89" t="s">
        <v>91</v>
      </c>
      <c r="C9" s="82"/>
      <c r="D9" s="82"/>
      <c r="E9" s="82"/>
      <c r="F9" s="82"/>
      <c r="G9" s="82"/>
      <c r="H9" s="82"/>
      <c r="I9" s="91" t="s">
        <v>92</v>
      </c>
      <c r="J9" s="82"/>
      <c r="K9" s="82"/>
      <c r="L9" s="82"/>
    </row>
    <row r="10">
      <c r="A10" s="82"/>
      <c r="B10" s="87" t="s">
        <v>93</v>
      </c>
      <c r="C10" s="96">
        <v>2510</v>
      </c>
      <c r="D10" s="96">
        <v>2673</v>
      </c>
      <c r="E10" s="96">
        <v>2972</v>
      </c>
      <c r="F10" s="96">
        <v>3335</v>
      </c>
      <c r="G10" s="98">
        <f>SUM(C10:F10)</f>
        <v>11490</v>
      </c>
      <c r="H10" s="111">
        <f>H86</f>
        <v>3736.8</v>
      </c>
      <c r="I10" s="91" t="s">
        <v>94</v>
      </c>
      <c r="J10" s="82"/>
      <c r="K10" s="82"/>
      <c r="L10" s="82"/>
    </row>
    <row r="11">
      <c r="A11" s="82"/>
      <c r="B11" s="99" t="s">
        <v>95</v>
      </c>
      <c r="C11" s="92">
        <f>C10/C108-1</f>
        <v>0.31482451545311685</v>
      </c>
      <c r="D11" s="92">
        <f>D10/D108-1</f>
        <v>0.2752862595419847</v>
      </c>
      <c r="E11" s="92">
        <f>E10/E108-1</f>
        <v>0.4808171400099652</v>
      </c>
      <c r="F11" s="92">
        <f>F10/F108-1</f>
        <v>0.4319450407900387</v>
      </c>
      <c r="G11" s="92">
        <f>G10/G108-1</f>
        <v>0.37753266994365187</v>
      </c>
      <c r="H11" s="102">
        <f>H10/H108-1</f>
        <v>0.48876494023904393</v>
      </c>
      <c r="I11" s="82"/>
      <c r="J11" s="82"/>
      <c r="K11" s="82"/>
      <c r="L11" s="82"/>
    </row>
    <row r="12">
      <c r="A12" s="82"/>
      <c r="B12" s="99" t="s">
        <v>96</v>
      </c>
      <c r="C12" s="92">
        <f>C10/F108-1</f>
        <v>0.07771575783598106</v>
      </c>
      <c r="D12" s="92">
        <f>D10/C10-1</f>
        <v>0.06494023904382473</v>
      </c>
      <c r="E12" s="92">
        <f>E10/D10-1</f>
        <v>0.11185933408155635</v>
      </c>
      <c r="F12" s="92">
        <f>F10/E10-1</f>
        <v>0.12213997308209956</v>
      </c>
      <c r="G12" s="92" t="s">
        <v>42</v>
      </c>
      <c r="H12" s="102">
        <f>H10/F10-1</f>
        <v>0.1204797601199401</v>
      </c>
      <c r="I12" s="82"/>
      <c r="J12" s="82"/>
      <c r="K12" s="82"/>
      <c r="L12" s="82"/>
    </row>
    <row r="13">
      <c r="A13" s="82"/>
      <c r="B13" s="112" t="s">
        <v>97</v>
      </c>
      <c r="C13" s="98">
        <f>C10-F108</f>
        <v>181</v>
      </c>
      <c r="D13" s="98">
        <f>D10-C10</f>
        <v>163</v>
      </c>
      <c r="E13" s="98">
        <f>E10-D10</f>
        <v>299</v>
      </c>
      <c r="F13" s="98">
        <f>F10-E10</f>
        <v>363</v>
      </c>
      <c r="G13" s="98" t="s">
        <v>42</v>
      </c>
      <c r="H13" s="111">
        <f>H10-F10</f>
        <v>401.8000000000002</v>
      </c>
      <c r="I13" s="82"/>
      <c r="J13" s="82"/>
      <c r="K13" s="82"/>
      <c r="L13" s="82"/>
    </row>
    <row r="14">
      <c r="A14" s="82"/>
      <c r="B14" s="99" t="s">
        <v>98</v>
      </c>
      <c r="C14" s="92">
        <f>C10/C43</f>
        <v>0.8907026259758695</v>
      </c>
      <c r="D14" s="92">
        <f>D10/D43</f>
        <v>0.8859794497845542</v>
      </c>
      <c r="E14" s="92">
        <f>E10/E43</f>
        <v>0.8906203176505844</v>
      </c>
      <c r="F14" s="92">
        <f>F10/F43</f>
        <v>0.8900453696290366</v>
      </c>
      <c r="G14" s="92">
        <f>G10/G43</f>
        <v>0.8893877235080114</v>
      </c>
      <c r="H14" s="102">
        <f>H10/H43</f>
        <v>0.8946561961310094</v>
      </c>
      <c r="I14" s="82"/>
      <c r="J14" s="82"/>
      <c r="K14" s="82"/>
      <c r="L14" s="82"/>
    </row>
    <row r="15">
      <c r="A15" s="82"/>
      <c r="B15" s="107" t="s">
        <v>99</v>
      </c>
      <c r="C15" s="94">
        <f>(C10/C43-C108/C111)*10000</f>
        <v>276.82734474965275</v>
      </c>
      <c r="D15" s="94">
        <f>(D10/D43-D108/D111)*10000</f>
        <v>159.0888108384858</v>
      </c>
      <c r="E15" s="94">
        <f>(E10/E43-E108/E111)*10000</f>
        <v>157.29297598274016</v>
      </c>
      <c r="F15" s="94">
        <f>(F10/F43-F108/F111)*10000</f>
        <v>-40.045344016735875</v>
      </c>
      <c r="G15" s="94">
        <f>(G10/G43-G108/G111)*10000</f>
        <v>132.32261323137485</v>
      </c>
      <c r="H15" s="135">
        <f>(H10/H43-H108/H111)*10000</f>
        <v>39.53570155139974</v>
      </c>
      <c r="I15" s="82"/>
      <c r="J15" s="82"/>
      <c r="K15" s="82"/>
      <c r="L15" s="82"/>
    </row>
    <row r="16">
      <c r="A16" s="82"/>
      <c r="B16" s="107" t="s">
        <v>100</v>
      </c>
      <c r="C16" s="94">
        <f>(C10/C43-F108/F111)*10000</f>
        <v>-33.472780548406966</v>
      </c>
      <c r="D16" s="94">
        <f>(D10/D43-C10/C43)*10000</f>
        <v>-47.23176191315237</v>
      </c>
      <c r="E16" s="94">
        <f>(E10/E43-D10/D43)*10000</f>
        <v>46.40867866030129</v>
      </c>
      <c r="F16" s="94">
        <f>(F10/F43-E10/E43)*10000</f>
        <v>-5.749480215477831</v>
      </c>
      <c r="G16" s="94" t="s">
        <v>42</v>
      </c>
      <c r="H16" s="135">
        <f>(H10/H43-F10/F43)*10000</f>
        <v>46.10826501972865</v>
      </c>
      <c r="I16" s="82"/>
      <c r="J16" s="82"/>
      <c r="K16" s="82"/>
      <c r="L16" s="82"/>
    </row>
    <row r="17">
      <c r="A17" s="82"/>
      <c r="B17" s="107" t="s">
        <v>101</v>
      </c>
      <c r="C17" s="92">
        <f>(C10/C$7)/(C108/C115)-1</f>
        <v>0.22090847863503704</v>
      </c>
      <c r="D17" s="92">
        <f>(D10/D$7)/(D108/D115)-1</f>
        <v>0.2752862595419847</v>
      </c>
      <c r="E17" s="92">
        <f>(E10/E$7)/(E108/E115)-1</f>
        <v>0.480817140009965</v>
      </c>
      <c r="F17" s="92">
        <f>(F10/F$7)/(F108/F115)-1</f>
        <v>0.4319450407900387</v>
      </c>
      <c r="G17" s="92">
        <f>(G10/G$7)/(G108/G115)-1</f>
        <v>0.35154148749188496</v>
      </c>
      <c r="H17" s="102">
        <f>(H10/H$7)/(H108/H115)-1</f>
        <v>0.603285320257432</v>
      </c>
      <c r="I17" s="91" t="s">
        <v>102</v>
      </c>
      <c r="J17" s="82"/>
      <c r="K17" s="82"/>
      <c r="L17" s="82"/>
    </row>
    <row r="18">
      <c r="A18" s="82"/>
      <c r="B18" s="107" t="s">
        <v>103</v>
      </c>
      <c r="C18" s="92" t="s">
        <v>42</v>
      </c>
      <c r="D18" s="92" t="s">
        <v>42</v>
      </c>
      <c r="E18" s="92" t="s">
        <v>42</v>
      </c>
      <c r="F18" s="92" t="s">
        <v>42</v>
      </c>
      <c r="G18" s="92" t="s">
        <v>42</v>
      </c>
      <c r="H18" s="102" t="s">
        <v>42</v>
      </c>
      <c r="I18" s="91" t="s">
        <v>104</v>
      </c>
      <c r="J18" s="82"/>
      <c r="K18" s="82"/>
      <c r="L18" s="82"/>
    </row>
    <row r="19">
      <c r="A19" s="82"/>
      <c r="B19" s="107" t="s">
        <v>105</v>
      </c>
      <c r="C19" s="92" t="s">
        <v>42</v>
      </c>
      <c r="D19" s="92" t="s">
        <v>42</v>
      </c>
      <c r="E19" s="92" t="s">
        <v>42</v>
      </c>
      <c r="F19" s="92" t="s">
        <v>42</v>
      </c>
      <c r="G19" s="92" t="s">
        <v>42</v>
      </c>
      <c r="H19" s="102" t="s">
        <v>42</v>
      </c>
      <c r="I19" s="91" t="s">
        <v>106</v>
      </c>
      <c r="J19" s="82"/>
      <c r="K19" s="82"/>
      <c r="L19" s="82"/>
    </row>
    <row r="20">
      <c r="A20" s="82"/>
      <c r="B20" s="107" t="s">
        <v>107</v>
      </c>
      <c r="C20" s="92" t="s">
        <v>42</v>
      </c>
      <c r="D20" s="92" t="s">
        <v>42</v>
      </c>
      <c r="E20" s="92" t="s">
        <v>42</v>
      </c>
      <c r="F20" s="92" t="s">
        <v>42</v>
      </c>
      <c r="G20" s="92" t="s">
        <v>42</v>
      </c>
      <c r="H20" s="102" t="s">
        <v>42</v>
      </c>
      <c r="I20" s="91" t="s">
        <v>108</v>
      </c>
      <c r="J20" s="82"/>
      <c r="K20" s="82"/>
      <c r="L20" s="82"/>
    </row>
    <row r="21">
      <c r="A21" s="82"/>
      <c r="B21" s="87" t="s">
        <v>109</v>
      </c>
      <c r="C21" s="96">
        <v>146</v>
      </c>
      <c r="D21" s="96">
        <v>176</v>
      </c>
      <c r="E21" s="96">
        <v>179</v>
      </c>
      <c r="F21" s="96">
        <v>225</v>
      </c>
      <c r="G21" s="98">
        <f>SUM(C21:F21)</f>
        <v>726</v>
      </c>
      <c r="H21" s="111">
        <f>H91</f>
        <v>237.60000000000002</v>
      </c>
      <c r="I21" s="91" t="s">
        <v>94</v>
      </c>
      <c r="J21" s="82"/>
      <c r="K21" s="82"/>
      <c r="L21" s="82"/>
    </row>
    <row r="22">
      <c r="A22" s="82"/>
      <c r="B22" s="99" t="s">
        <v>95</v>
      </c>
      <c r="C22" s="92">
        <f>C21/C109-1</f>
        <v>0.050359712230215736</v>
      </c>
      <c r="D22" s="92">
        <f>D21/D109-1</f>
        <v>0.2571428571428571</v>
      </c>
      <c r="E22" s="92">
        <f>E21/E109-1</f>
        <v>0.3065693430656935</v>
      </c>
      <c r="F22" s="92">
        <f>F21/F109-1</f>
        <v>0.6071428571428572</v>
      </c>
      <c r="G22" s="92">
        <f>G21/G109-1</f>
        <v>0.30575539568345333</v>
      </c>
      <c r="H22" s="102">
        <f>H21/H109-1</f>
        <v>0.6273972602739728</v>
      </c>
      <c r="I22" s="82"/>
      <c r="J22" s="82"/>
      <c r="K22" s="82"/>
      <c r="L22" s="82"/>
    </row>
    <row r="23">
      <c r="A23" s="82"/>
      <c r="B23" s="99" t="s">
        <v>96</v>
      </c>
      <c r="C23" s="92">
        <f>C21/F109-1</f>
        <v>0.04285714285714293</v>
      </c>
      <c r="D23" s="92">
        <f>D21/C21-1</f>
        <v>0.20547945205479445</v>
      </c>
      <c r="E23" s="92">
        <f>E21/D21-1</f>
        <v>0.017045454545454586</v>
      </c>
      <c r="F23" s="92">
        <f>F21/E21-1</f>
        <v>0.25698324022346375</v>
      </c>
      <c r="G23" s="92" t="s">
        <v>42</v>
      </c>
      <c r="H23" s="102">
        <f>H21/F21-1</f>
        <v>0.05600000000000005</v>
      </c>
      <c r="I23" s="82"/>
      <c r="J23" s="82"/>
      <c r="K23" s="82"/>
      <c r="L23" s="82"/>
    </row>
    <row r="24">
      <c r="A24" s="82"/>
      <c r="B24" s="112" t="s">
        <v>97</v>
      </c>
      <c r="C24" s="98">
        <f>C21-F109</f>
        <v>6</v>
      </c>
      <c r="D24" s="98">
        <f>D21-C21</f>
        <v>30</v>
      </c>
      <c r="E24" s="98">
        <f>E21-D21</f>
        <v>3</v>
      </c>
      <c r="F24" s="98">
        <f>F21-E21</f>
        <v>46</v>
      </c>
      <c r="G24" s="98" t="s">
        <v>42</v>
      </c>
      <c r="H24" s="111">
        <f>H21-F21</f>
        <v>12.600000000000023</v>
      </c>
      <c r="I24" s="82"/>
      <c r="J24" s="82"/>
      <c r="K24" s="82"/>
      <c r="L24" s="82"/>
    </row>
    <row r="25">
      <c r="A25" s="82"/>
      <c r="B25" s="99" t="s">
        <v>98</v>
      </c>
      <c r="C25" s="92">
        <f>C21/C43</f>
        <v>0.051809794180269694</v>
      </c>
      <c r="D25" s="92">
        <f>D21/D43</f>
        <v>0.0583360954590653</v>
      </c>
      <c r="E25" s="92">
        <f>E21/E43</f>
        <v>0.05364099490560383</v>
      </c>
      <c r="F25" s="92">
        <f>F21/F43</f>
        <v>0.0600480384307446</v>
      </c>
      <c r="G25" s="92">
        <f>G21/G43</f>
        <v>0.05619630002322161</v>
      </c>
      <c r="H25" s="102">
        <f>H21/H43</f>
        <v>0.05688565408925494</v>
      </c>
      <c r="I25" s="82"/>
      <c r="J25" s="82"/>
      <c r="K25" s="82"/>
      <c r="L25" s="82"/>
    </row>
    <row r="26">
      <c r="A26" s="82"/>
      <c r="B26" s="107" t="s">
        <v>99</v>
      </c>
      <c r="C26" s="94">
        <f>(C21/C43-C109/C111)*10000</f>
        <v>-110.29265494233012</v>
      </c>
      <c r="D26" s="94">
        <f>(D21/D43-D109/D111)*10000</f>
        <v>2.206948779112927</v>
      </c>
      <c r="E26" s="94">
        <f>(E21/E43-E109/E111)*10000</f>
        <v>-60.80016428310728</v>
      </c>
      <c r="F26" s="94">
        <f>(F21/F43-F109/F111)*10000</f>
        <v>63.05236127481642</v>
      </c>
      <c r="G26" s="94">
        <f>(G21/G43-G109/G111)*10000</f>
        <v>-22.070613213162062</v>
      </c>
      <c r="H26" s="135">
        <f>(H21/H43-H109/H111)*10000</f>
        <v>50.75859908985243</v>
      </c>
      <c r="I26" s="82"/>
      <c r="J26" s="82"/>
      <c r="K26" s="82"/>
      <c r="L26" s="82"/>
    </row>
    <row r="27">
      <c r="A27" s="82"/>
      <c r="B27" s="107" t="s">
        <v>100</v>
      </c>
      <c r="C27" s="94">
        <f>(C21/C43-F109/F111)*10000</f>
        <v>-19.330081229932613</v>
      </c>
      <c r="D27" s="94">
        <f>(D21/D43-C21/C43)*10000</f>
        <v>65.26301278795603</v>
      </c>
      <c r="E27" s="94">
        <f>(E21/E43-D21/D43)*10000</f>
        <v>-46.95100553461465</v>
      </c>
      <c r="F27" s="94">
        <f>(F21/F43-E21/E43)*10000</f>
        <v>64.07043525140766</v>
      </c>
      <c r="G27" s="94" t="s">
        <v>42</v>
      </c>
      <c r="H27" s="135">
        <f>(H21/H43-F21/F43)*10000</f>
        <v>-31.6238434148966</v>
      </c>
      <c r="I27" s="82"/>
      <c r="J27" s="82"/>
      <c r="K27" s="82"/>
      <c r="L27" s="82"/>
    </row>
    <row r="28">
      <c r="A28" s="82"/>
      <c r="B28" s="107" t="s">
        <v>101</v>
      </c>
      <c r="C28" s="92">
        <f>(C21/C$7)/(C109/C115)-1</f>
        <v>-0.0246659815005138</v>
      </c>
      <c r="D28" s="92">
        <f>(D21/D$7)/(D109/D115)-1</f>
        <v>0.2571428571428571</v>
      </c>
      <c r="E28" s="92">
        <f>(E21/E$7)/(E109/E115)-1</f>
        <v>0.3065693430656933</v>
      </c>
      <c r="F28" s="92">
        <f>(F21/F$7)/(F109/F115)-1</f>
        <v>0.6071428571428572</v>
      </c>
      <c r="G28" s="92">
        <f>(G21/G$7)/(G109/G115)-1</f>
        <v>0.28111850142527484</v>
      </c>
      <c r="H28" s="102">
        <f>(H21/H$7)/(H109/H115)-1</f>
        <v>0.752581664910432</v>
      </c>
      <c r="I28" s="91" t="s">
        <v>102</v>
      </c>
      <c r="J28" s="82"/>
      <c r="K28" s="82"/>
      <c r="L28" s="82"/>
    </row>
    <row r="29">
      <c r="A29" s="82"/>
      <c r="B29" s="107" t="s">
        <v>103</v>
      </c>
      <c r="C29" s="92" t="s">
        <v>42</v>
      </c>
      <c r="D29" s="92" t="s">
        <v>42</v>
      </c>
      <c r="E29" s="92" t="s">
        <v>42</v>
      </c>
      <c r="F29" s="92" t="s">
        <v>42</v>
      </c>
      <c r="G29" s="92" t="s">
        <v>42</v>
      </c>
      <c r="H29" s="102" t="s">
        <v>42</v>
      </c>
      <c r="I29" s="91" t="s">
        <v>104</v>
      </c>
      <c r="J29" s="82"/>
      <c r="K29" s="82"/>
      <c r="L29" s="82"/>
    </row>
    <row r="30">
      <c r="A30" s="82"/>
      <c r="B30" s="107" t="s">
        <v>105</v>
      </c>
      <c r="C30" s="92" t="s">
        <v>42</v>
      </c>
      <c r="D30" s="92" t="s">
        <v>42</v>
      </c>
      <c r="E30" s="92" t="s">
        <v>42</v>
      </c>
      <c r="F30" s="92" t="s">
        <v>42</v>
      </c>
      <c r="G30" s="92" t="s">
        <v>42</v>
      </c>
      <c r="H30" s="102" t="s">
        <v>42</v>
      </c>
      <c r="I30" s="91" t="s">
        <v>106</v>
      </c>
      <c r="J30" s="82"/>
      <c r="K30" s="82"/>
      <c r="L30" s="82"/>
    </row>
    <row r="31">
      <c r="A31" s="82"/>
      <c r="B31" s="107" t="s">
        <v>107</v>
      </c>
      <c r="C31" s="92" t="s">
        <v>42</v>
      </c>
      <c r="D31" s="92" t="s">
        <v>42</v>
      </c>
      <c r="E31" s="92" t="s">
        <v>42</v>
      </c>
      <c r="F31" s="92" t="s">
        <v>42</v>
      </c>
      <c r="G31" s="92" t="s">
        <v>42</v>
      </c>
      <c r="H31" s="102" t="s">
        <v>42</v>
      </c>
      <c r="I31" s="91" t="s">
        <v>108</v>
      </c>
      <c r="J31" s="82"/>
      <c r="K31" s="82"/>
      <c r="L31" s="82"/>
    </row>
    <row r="32">
      <c r="A32" s="82"/>
      <c r="B32" s="87" t="s">
        <v>110</v>
      </c>
      <c r="C32" s="96">
        <v>162</v>
      </c>
      <c r="D32" s="96">
        <v>168</v>
      </c>
      <c r="E32" s="96">
        <v>186</v>
      </c>
      <c r="F32" s="96">
        <v>187</v>
      </c>
      <c r="G32" s="98">
        <f>SUM(C32:F32)</f>
        <v>703</v>
      </c>
      <c r="H32" s="111">
        <f>H92</f>
        <v>202.39999999999998</v>
      </c>
      <c r="I32" s="91" t="s">
        <v>94</v>
      </c>
      <c r="J32" s="82"/>
      <c r="K32" s="82"/>
      <c r="L32" s="82"/>
    </row>
    <row r="33">
      <c r="A33" s="82"/>
      <c r="B33" s="99" t="s">
        <v>95</v>
      </c>
      <c r="C33" s="92">
        <f>C32/C110-1</f>
        <v>-0.012195121951219523</v>
      </c>
      <c r="D33" s="92">
        <f>D32/D110-1</f>
        <v>-0.028901734104046284</v>
      </c>
      <c r="E33" s="92">
        <f>E32/E110-1</f>
        <v>0.24</v>
      </c>
      <c r="F33" s="92">
        <f>F32/F110-1</f>
        <v>0.375</v>
      </c>
      <c r="G33" s="92">
        <f>G32/G110-1</f>
        <v>0.1284109149277688</v>
      </c>
      <c r="H33" s="102">
        <f>H32/H110-1</f>
        <v>0.24938271604938267</v>
      </c>
      <c r="I33" s="82"/>
      <c r="J33" s="82"/>
      <c r="K33" s="82"/>
      <c r="L33" s="82"/>
    </row>
    <row r="34">
      <c r="A34" s="82"/>
      <c r="B34" s="99" t="s">
        <v>96</v>
      </c>
      <c r="C34" s="92">
        <f>C32/F110-1</f>
        <v>0.19117647058823528</v>
      </c>
      <c r="D34" s="92">
        <f>D32/C32-1</f>
        <v>0.03703703703703698</v>
      </c>
      <c r="E34" s="92">
        <f>E32/D32-1</f>
        <v>0.1071428571428572</v>
      </c>
      <c r="F34" s="92">
        <f>F32/E32-1</f>
        <v>0.005376344086021501</v>
      </c>
      <c r="G34" s="92" t="s">
        <v>42</v>
      </c>
      <c r="H34" s="102">
        <f>H32/F32-1</f>
        <v>0.08235294117647052</v>
      </c>
      <c r="I34" s="82"/>
      <c r="J34" s="82"/>
      <c r="K34" s="82"/>
      <c r="L34" s="82"/>
    </row>
    <row r="35">
      <c r="A35" s="82"/>
      <c r="B35" s="112" t="s">
        <v>97</v>
      </c>
      <c r="C35" s="98">
        <f>C32-F110</f>
        <v>26</v>
      </c>
      <c r="D35" s="98">
        <f>D32-C32</f>
        <v>6</v>
      </c>
      <c r="E35" s="98">
        <f>E32-D32</f>
        <v>18</v>
      </c>
      <c r="F35" s="98">
        <f>F32-E32</f>
        <v>1</v>
      </c>
      <c r="G35" s="98" t="s">
        <v>42</v>
      </c>
      <c r="H35" s="111">
        <f>H32-F32</f>
        <v>15.399999999999977</v>
      </c>
      <c r="I35" s="82"/>
      <c r="J35" s="82"/>
      <c r="K35" s="82"/>
      <c r="L35" s="82"/>
    </row>
    <row r="36">
      <c r="A36" s="82"/>
      <c r="B36" s="99" t="s">
        <v>98</v>
      </c>
      <c r="C36" s="92">
        <f>C32/C43</f>
        <v>0.057487579843860895</v>
      </c>
      <c r="D36" s="92">
        <f>D32/D43</f>
        <v>0.05568445475638051</v>
      </c>
      <c r="E36" s="92">
        <f>E32/E43</f>
        <v>0.05573868744381181</v>
      </c>
      <c r="F36" s="92">
        <f>F32/F43</f>
        <v>0.04990659194021884</v>
      </c>
      <c r="G36" s="92">
        <f>G32/G43</f>
        <v>0.05441597646876693</v>
      </c>
      <c r="H36" s="102">
        <f>H32/H43</f>
        <v>0.04845814977973568</v>
      </c>
      <c r="I36" s="82"/>
      <c r="J36" s="82"/>
      <c r="K36" s="82"/>
      <c r="L36" s="82"/>
    </row>
    <row r="37">
      <c r="A37" s="82"/>
      <c r="B37" s="107" t="s">
        <v>99</v>
      </c>
      <c r="C37" s="94">
        <f>(C32/C43-C110/C111)*10000</f>
        <v>-166.53468980732237</v>
      </c>
      <c r="D37" s="94">
        <f>(D32/D43-D110/D111)*10000</f>
        <v>-161.29575961759804</v>
      </c>
      <c r="E37" s="94">
        <f>(E32/E43-E110/E111)*10000</f>
        <v>-96.49281169963254</v>
      </c>
      <c r="F37" s="94">
        <f>(F32/F43-F110/F111)*10000</f>
        <v>-23.00701725808034</v>
      </c>
      <c r="G37" s="94">
        <f>(G32/G43-G110/G111)*10000</f>
        <v>-110.25200001821305</v>
      </c>
      <c r="H37" s="135">
        <f>(H32/H43-H110/H111)*10000</f>
        <v>-90.29430064125216</v>
      </c>
      <c r="I37" s="82"/>
      <c r="J37" s="82"/>
      <c r="K37" s="82"/>
      <c r="L37" s="82"/>
    </row>
    <row r="38">
      <c r="A38" s="82"/>
      <c r="B38" s="107" t="s">
        <v>100</v>
      </c>
      <c r="C38" s="94">
        <f>(C32/C43-F110/F111)*10000</f>
        <v>52.8028617783402</v>
      </c>
      <c r="D38" s="94">
        <f>(D32/D43-C32/C43)*10000</f>
        <v>-18.031250874803867</v>
      </c>
      <c r="E38" s="94">
        <f>(E32/E43-D32/D43)*10000</f>
        <v>0.5423268743130066</v>
      </c>
      <c r="F38" s="94">
        <f>(F32/F43-E32/E43)*10000</f>
        <v>-58.320955035929686</v>
      </c>
      <c r="G38" s="94" t="s">
        <v>42</v>
      </c>
      <c r="H38" s="135">
        <f>(H32/H43-F32/F43)*10000</f>
        <v>-14.484421604831626</v>
      </c>
      <c r="I38" s="82"/>
      <c r="J38" s="82"/>
      <c r="K38" s="82"/>
      <c r="L38" s="82"/>
    </row>
    <row r="39">
      <c r="A39" s="82"/>
      <c r="B39" s="107" t="s">
        <v>101</v>
      </c>
      <c r="C39" s="92">
        <f>(C32/C$7)/(C110/C115)-1</f>
        <v>-0.08275261324041805</v>
      </c>
      <c r="D39" s="92">
        <f>(D32/D$7)/(D110/D115)-1</f>
        <v>-0.028901734104046173</v>
      </c>
      <c r="E39" s="92">
        <f>(E32/E$7)/(E110/E115)-1</f>
        <v>0.24</v>
      </c>
      <c r="F39" s="92">
        <f>(F32/F$7)/(F110/F115)-1</f>
        <v>0.3749999999999998</v>
      </c>
      <c r="G39" s="92">
        <f>(G32/G$7)/(G110/G115)-1</f>
        <v>0.10712014294799976</v>
      </c>
      <c r="H39" s="102">
        <f>(H32/H$7)/(H110/H115)-1</f>
        <v>0.34548907882241187</v>
      </c>
      <c r="I39" s="91" t="s">
        <v>102</v>
      </c>
      <c r="J39" s="82"/>
      <c r="K39" s="82"/>
      <c r="L39" s="82"/>
    </row>
    <row r="40">
      <c r="A40" s="82"/>
      <c r="B40" s="107" t="s">
        <v>103</v>
      </c>
      <c r="C40" s="92" t="s">
        <v>42</v>
      </c>
      <c r="D40" s="92" t="s">
        <v>42</v>
      </c>
      <c r="E40" s="92" t="s">
        <v>42</v>
      </c>
      <c r="F40" s="92" t="s">
        <v>42</v>
      </c>
      <c r="G40" s="92" t="s">
        <v>42</v>
      </c>
      <c r="H40" s="102" t="s">
        <v>42</v>
      </c>
      <c r="I40" s="91" t="s">
        <v>104</v>
      </c>
      <c r="J40" s="82"/>
      <c r="K40" s="82"/>
      <c r="L40" s="82"/>
    </row>
    <row r="41">
      <c r="A41" s="82"/>
      <c r="B41" s="107" t="s">
        <v>105</v>
      </c>
      <c r="C41" s="92" t="s">
        <v>42</v>
      </c>
      <c r="D41" s="92" t="s">
        <v>42</v>
      </c>
      <c r="E41" s="92" t="s">
        <v>42</v>
      </c>
      <c r="F41" s="92" t="s">
        <v>42</v>
      </c>
      <c r="G41" s="92" t="s">
        <v>42</v>
      </c>
      <c r="H41" s="102" t="s">
        <v>42</v>
      </c>
      <c r="I41" s="91" t="s">
        <v>106</v>
      </c>
      <c r="J41" s="82"/>
      <c r="K41" s="82"/>
      <c r="L41" s="82"/>
    </row>
    <row r="42">
      <c r="A42" s="82"/>
      <c r="B42" s="107" t="s">
        <v>107</v>
      </c>
      <c r="C42" s="92" t="s">
        <v>42</v>
      </c>
      <c r="D42" s="92" t="s">
        <v>42</v>
      </c>
      <c r="E42" s="92" t="s">
        <v>42</v>
      </c>
      <c r="F42" s="92" t="s">
        <v>42</v>
      </c>
      <c r="G42" s="92" t="s">
        <v>42</v>
      </c>
      <c r="H42" s="102" t="s">
        <v>42</v>
      </c>
      <c r="I42" s="91" t="s">
        <v>108</v>
      </c>
      <c r="J42" s="82"/>
      <c r="K42" s="82"/>
      <c r="L42" s="82"/>
    </row>
    <row r="43">
      <c r="A43" s="82"/>
      <c r="B43" s="89" t="s">
        <v>111</v>
      </c>
      <c r="C43" s="97">
        <f>SUM(C10,C21,C32)</f>
        <v>2818</v>
      </c>
      <c r="D43" s="97">
        <f>SUM(D10,D21,D32)</f>
        <v>3017</v>
      </c>
      <c r="E43" s="97">
        <f>SUM(E10,E21,E32)</f>
        <v>3337</v>
      </c>
      <c r="F43" s="97">
        <f>SUM(F10,F21,F32)</f>
        <v>3747</v>
      </c>
      <c r="G43" s="97">
        <f>SUM(G10,G21,G32)</f>
        <v>12919</v>
      </c>
      <c r="H43" s="114">
        <f>SUM(H10,H21,H32)</f>
        <v>4176.8</v>
      </c>
      <c r="I43" s="82"/>
      <c r="J43" s="82"/>
      <c r="K43" s="82"/>
      <c r="L43" s="82"/>
    </row>
    <row r="44">
      <c r="A44" s="82"/>
      <c r="B44" s="99" t="s">
        <v>95</v>
      </c>
      <c r="C44" s="92">
        <f>C43/C111-1</f>
        <v>0.2739602169981916</v>
      </c>
      <c r="D44" s="92">
        <f>D43/D111-1</f>
        <v>0.25238688252386887</v>
      </c>
      <c r="E44" s="92">
        <f>E43/E111-1</f>
        <v>0.45466434176111603</v>
      </c>
      <c r="F44" s="92">
        <f>F43/F111-1</f>
        <v>0.4383877159309022</v>
      </c>
      <c r="G44" s="92">
        <f>G43/G111-1</f>
        <v>0.3570378151260505</v>
      </c>
      <c r="H44" s="102">
        <f>H43/H111-1</f>
        <v>0.4821859474804826</v>
      </c>
      <c r="I44" s="82"/>
      <c r="J44" s="82"/>
      <c r="K44" s="82"/>
      <c r="L44" s="82"/>
    </row>
    <row r="45">
      <c r="A45" s="82"/>
      <c r="B45" s="99" t="s">
        <v>96</v>
      </c>
      <c r="C45" s="92">
        <f>C43/F111-1</f>
        <v>0.08176583493282141</v>
      </c>
      <c r="D45" s="92">
        <f>D43/C43-1</f>
        <v>0.07061745919091544</v>
      </c>
      <c r="E45" s="92">
        <f>E43/D43-1</f>
        <v>0.10606562810739151</v>
      </c>
      <c r="F45" s="92">
        <f>F43/E43-1</f>
        <v>0.12286484866646696</v>
      </c>
      <c r="G45" s="92" t="s">
        <v>42</v>
      </c>
      <c r="H45" s="102">
        <f>H43/F43-1</f>
        <v>0.11470509741126245</v>
      </c>
      <c r="I45" s="82"/>
      <c r="J45" s="82"/>
      <c r="K45" s="82"/>
      <c r="L45" s="82"/>
    </row>
    <row r="46">
      <c r="A46" s="82"/>
      <c r="B46" s="112" t="s">
        <v>97</v>
      </c>
      <c r="C46" s="98">
        <f>C43-F111</f>
        <v>213</v>
      </c>
      <c r="D46" s="98">
        <f>D43-C43</f>
        <v>199</v>
      </c>
      <c r="E46" s="98">
        <f>E43-D43</f>
        <v>320</v>
      </c>
      <c r="F46" s="98">
        <f>F43-E43</f>
        <v>410</v>
      </c>
      <c r="G46" s="98" t="s">
        <v>42</v>
      </c>
      <c r="H46" s="111">
        <f>H43-F43</f>
        <v>429.8000000000002</v>
      </c>
      <c r="I46" s="82"/>
      <c r="J46" s="82"/>
      <c r="K46" s="82"/>
      <c r="L46" s="82"/>
    </row>
    <row r="47">
      <c r="A47" s="82"/>
      <c r="B47" s="107" t="s">
        <v>101</v>
      </c>
      <c r="C47" s="92">
        <f>(C43/C$7)/(C111/C115)-1</f>
        <v>0.1829630586411779</v>
      </c>
      <c r="D47" s="92">
        <f>(D43/D$7)/(D111/D115)-1</f>
        <v>0.25238688252386887</v>
      </c>
      <c r="E47" s="92">
        <f>(E43/E$7)/(E111/E115)-1</f>
        <v>0.45466434176111603</v>
      </c>
      <c r="F47" s="92">
        <f>(F43/F$7)/(F111/F115)-1</f>
        <v>0.438387715930902</v>
      </c>
      <c r="G47" s="92">
        <f>(G43/G$7)/(G111/G115)-1</f>
        <v>0.33143332804820047</v>
      </c>
      <c r="H47" s="102">
        <f>(H43/H$7)/(H111/H115)-1</f>
        <v>0.5962002511328275</v>
      </c>
      <c r="I47" s="82"/>
      <c r="J47" s="82"/>
      <c r="K47" s="82"/>
      <c r="L47" s="82"/>
    </row>
    <row r="48">
      <c r="A48" s="82"/>
      <c r="B48" s="107" t="s">
        <v>103</v>
      </c>
      <c r="C48" s="92" t="s">
        <v>42</v>
      </c>
      <c r="D48" s="92" t="s">
        <v>42</v>
      </c>
      <c r="E48" s="92" t="s">
        <v>42</v>
      </c>
      <c r="F48" s="92" t="s">
        <v>42</v>
      </c>
      <c r="G48" s="92" t="s">
        <v>42</v>
      </c>
      <c r="H48" s="102" t="s">
        <v>42</v>
      </c>
      <c r="I48" s="91" t="s">
        <v>104</v>
      </c>
      <c r="J48" s="82"/>
      <c r="K48" s="82"/>
      <c r="L48" s="82"/>
    </row>
    <row r="49">
      <c r="A49" s="82"/>
      <c r="B49" s="107" t="s">
        <v>105</v>
      </c>
      <c r="C49" s="92" t="s">
        <v>42</v>
      </c>
      <c r="D49" s="92" t="s">
        <v>42</v>
      </c>
      <c r="E49" s="92" t="s">
        <v>42</v>
      </c>
      <c r="F49" s="92" t="s">
        <v>42</v>
      </c>
      <c r="G49" s="92" t="s">
        <v>42</v>
      </c>
      <c r="H49" s="102" t="s">
        <v>42</v>
      </c>
      <c r="I49" s="91" t="s">
        <v>106</v>
      </c>
      <c r="J49" s="82"/>
      <c r="K49" s="82"/>
      <c r="L49" s="82"/>
    </row>
    <row r="50">
      <c r="A50" s="82"/>
      <c r="B50" s="107" t="s">
        <v>107</v>
      </c>
      <c r="C50" s="92" t="s">
        <v>42</v>
      </c>
      <c r="D50" s="92" t="s">
        <v>42</v>
      </c>
      <c r="E50" s="92" t="s">
        <v>42</v>
      </c>
      <c r="F50" s="92" t="s">
        <v>42</v>
      </c>
      <c r="G50" s="92" t="s">
        <v>42</v>
      </c>
      <c r="H50" s="102" t="s">
        <v>42</v>
      </c>
      <c r="I50" s="91" t="s">
        <v>108</v>
      </c>
      <c r="J50" s="82"/>
      <c r="K50" s="82"/>
      <c r="L50" s="82"/>
    </row>
    <row r="51">
      <c r="A51" s="82"/>
      <c r="B51" s="87" t="s">
        <v>112</v>
      </c>
      <c r="C51" s="82"/>
      <c r="D51" s="82"/>
      <c r="E51" s="82"/>
      <c r="F51" s="82"/>
      <c r="G51" s="82"/>
      <c r="H51" s="136"/>
      <c r="I51" s="82"/>
      <c r="J51" s="82"/>
      <c r="K51" s="82"/>
      <c r="L51" s="82"/>
    </row>
    <row r="52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</row>
    <row r="53">
      <c r="A53" s="82"/>
      <c r="B53" s="89" t="s">
        <v>113</v>
      </c>
      <c r="C53" s="82"/>
      <c r="D53" s="82"/>
      <c r="E53" s="82"/>
      <c r="F53" s="82"/>
      <c r="G53" s="82"/>
      <c r="H53" s="82"/>
      <c r="I53" s="91" t="s">
        <v>114</v>
      </c>
      <c r="J53" s="82"/>
      <c r="K53" s="82"/>
      <c r="L53" s="82"/>
    </row>
    <row r="54">
      <c r="A54" s="82"/>
      <c r="B54" s="87" t="s">
        <v>115</v>
      </c>
      <c r="C54" s="90">
        <f>Inputs!I108</f>
        <v>2818</v>
      </c>
      <c r="D54" s="90">
        <f>Inputs!I109</f>
        <v>3017</v>
      </c>
      <c r="E54" s="90">
        <f>Inputs!I110</f>
        <v>3337</v>
      </c>
      <c r="F54" s="90">
        <f>Inputs!I111</f>
        <v>3747</v>
      </c>
      <c r="G54" s="96">
        <v>12919</v>
      </c>
      <c r="H54" s="111">
        <f>H93</f>
        <v>4176.8</v>
      </c>
      <c r="I54" s="91" t="s">
        <v>116</v>
      </c>
      <c r="J54" s="82"/>
      <c r="K54" s="82"/>
      <c r="L54" s="82"/>
    </row>
    <row r="55">
      <c r="A55" s="82"/>
      <c r="B55" s="89" t="s">
        <v>117</v>
      </c>
      <c r="C55" s="100">
        <f>C43-C54</f>
        <v>0</v>
      </c>
      <c r="D55" s="100">
        <f>D43-D54</f>
        <v>0</v>
      </c>
      <c r="E55" s="100">
        <f>E43-E54</f>
        <v>0</v>
      </c>
      <c r="F55" s="100">
        <f>F43-F54</f>
        <v>0</v>
      </c>
      <c r="G55" s="100">
        <f>G43-G54</f>
        <v>0</v>
      </c>
      <c r="H55" s="149">
        <f>H43-H54</f>
        <v>0</v>
      </c>
      <c r="I55" s="82"/>
      <c r="J55" s="82"/>
      <c r="K55" s="82"/>
      <c r="L55" s="82"/>
    </row>
    <row r="56">
      <c r="A56" s="82"/>
      <c r="B56" s="87" t="s">
        <v>118</v>
      </c>
      <c r="C56" s="82"/>
      <c r="D56" s="82"/>
      <c r="E56" s="82"/>
      <c r="F56" s="82"/>
      <c r="G56" s="96">
        <v>11490</v>
      </c>
      <c r="H56" s="136"/>
      <c r="I56" s="91" t="s">
        <v>119</v>
      </c>
      <c r="J56" s="82"/>
      <c r="K56" s="82"/>
      <c r="L56" s="82"/>
    </row>
    <row r="57">
      <c r="A57" s="82"/>
      <c r="B57" s="87" t="s">
        <v>120</v>
      </c>
      <c r="C57" s="82"/>
      <c r="D57" s="82"/>
      <c r="E57" s="82"/>
      <c r="F57" s="82"/>
      <c r="G57" s="96">
        <v>726</v>
      </c>
      <c r="H57" s="136"/>
      <c r="I57" s="82"/>
      <c r="J57" s="82"/>
      <c r="K57" s="82"/>
      <c r="L57" s="82"/>
    </row>
    <row r="58">
      <c r="A58" s="82"/>
      <c r="B58" s="87" t="s">
        <v>121</v>
      </c>
      <c r="C58" s="82"/>
      <c r="D58" s="82"/>
      <c r="E58" s="82"/>
      <c r="F58" s="82"/>
      <c r="G58" s="96">
        <v>703</v>
      </c>
      <c r="H58" s="136"/>
      <c r="I58" s="82"/>
      <c r="J58" s="82"/>
      <c r="K58" s="82"/>
      <c r="L58" s="82"/>
    </row>
    <row r="59">
      <c r="A59" s="82"/>
      <c r="B59" s="89" t="s">
        <v>122</v>
      </c>
      <c r="C59" s="82"/>
      <c r="D59" s="82"/>
      <c r="E59" s="82"/>
      <c r="F59" s="82"/>
      <c r="G59" s="100">
        <f>(G10-G56)+(G21-G57)+(G32-G58)</f>
        <v>0</v>
      </c>
      <c r="H59" s="136"/>
      <c r="I59" s="180" t="s">
        <v>123</v>
      </c>
      <c r="J59" s="82"/>
      <c r="K59" s="82"/>
      <c r="L59" s="82"/>
    </row>
    <row r="60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</row>
    <row r="61">
      <c r="A61" s="82"/>
      <c r="B61" s="89" t="s">
        <v>124</v>
      </c>
      <c r="C61" s="82"/>
      <c r="D61" s="82"/>
      <c r="E61" s="82"/>
      <c r="F61" s="82"/>
      <c r="G61" s="82"/>
      <c r="H61" s="82"/>
      <c r="I61" s="91" t="s">
        <v>125</v>
      </c>
      <c r="J61" s="82"/>
      <c r="K61" s="82"/>
      <c r="L61" s="82"/>
    </row>
    <row r="62">
      <c r="A62" s="82"/>
      <c r="B62" s="87" t="s">
        <v>126</v>
      </c>
      <c r="C62" s="96">
        <v>183</v>
      </c>
      <c r="D62" s="96">
        <v>192</v>
      </c>
      <c r="E62" s="96">
        <v>199</v>
      </c>
      <c r="F62" s="96">
        <v>209</v>
      </c>
      <c r="G62" s="98">
        <f>SUM(C62:F62)</f>
        <v>783</v>
      </c>
      <c r="H62" s="125">
        <v>216</v>
      </c>
      <c r="I62" s="91" t="s">
        <v>127</v>
      </c>
      <c r="J62" s="82"/>
      <c r="K62" s="82"/>
      <c r="L62" s="82"/>
    </row>
    <row r="63">
      <c r="A63" s="82"/>
      <c r="B63" s="99" t="s">
        <v>95</v>
      </c>
      <c r="C63" s="92">
        <f>C62/C112-1</f>
        <v>0.2978723404255319</v>
      </c>
      <c r="D63" s="92">
        <f>D62/D112-1</f>
        <v>0.24675324675324672</v>
      </c>
      <c r="E63" s="92">
        <f>E62/E112-1</f>
        <v>0.37241379310344835</v>
      </c>
      <c r="F63" s="92">
        <f>F62/F112-1</f>
        <v>0.22941176470588243</v>
      </c>
      <c r="G63" s="92">
        <f>G62/G112-1</f>
        <v>0.2836065573770492</v>
      </c>
      <c r="H63" s="102">
        <f>H62/H112-1</f>
        <v>0.180327868852459</v>
      </c>
      <c r="I63" s="82"/>
      <c r="J63" s="82"/>
      <c r="K63" s="82"/>
      <c r="L63" s="82"/>
    </row>
    <row r="64">
      <c r="A64" s="82"/>
      <c r="B64" s="112" t="s">
        <v>128</v>
      </c>
      <c r="C64" s="98">
        <f>C62-F112</f>
        <v>13</v>
      </c>
      <c r="D64" s="98">
        <f>D62-C62</f>
        <v>9</v>
      </c>
      <c r="E64" s="98">
        <f>E62-D62</f>
        <v>7</v>
      </c>
      <c r="F64" s="98">
        <f>F62-E62</f>
        <v>10</v>
      </c>
      <c r="G64" s="98" t="s">
        <v>42</v>
      </c>
      <c r="H64" s="111">
        <f>H62-F62</f>
        <v>7</v>
      </c>
      <c r="I64" s="82"/>
      <c r="J64" s="82"/>
      <c r="K64" s="82"/>
      <c r="L64" s="82"/>
    </row>
    <row r="65">
      <c r="A65" s="82"/>
      <c r="B65" s="87" t="s">
        <v>129</v>
      </c>
      <c r="C65" s="96">
        <v>21</v>
      </c>
      <c r="D65" s="96">
        <v>23</v>
      </c>
      <c r="E65" s="96">
        <v>23</v>
      </c>
      <c r="F65" s="96">
        <v>22</v>
      </c>
      <c r="G65" s="98">
        <f>SUM(C65:F65)</f>
        <v>89</v>
      </c>
      <c r="H65" s="125">
        <v>22</v>
      </c>
      <c r="I65" s="91" t="s">
        <v>130</v>
      </c>
      <c r="J65" s="82"/>
      <c r="K65" s="82"/>
      <c r="L65" s="82"/>
    </row>
    <row r="66">
      <c r="A66" s="82"/>
      <c r="B66" s="99" t="s">
        <v>95</v>
      </c>
      <c r="C66" s="92">
        <f>C65/C113-1</f>
        <v>-0.125</v>
      </c>
      <c r="D66" s="92">
        <f>D65/D113-1</f>
        <v>0.045454545454545414</v>
      </c>
      <c r="E66" s="92">
        <f>E65/E113-1</f>
        <v>0.09523809523809534</v>
      </c>
      <c r="F66" s="92">
        <f>F65/F113-1</f>
        <v>0.10000000000000009</v>
      </c>
      <c r="G66" s="92">
        <f>G65/G113-1</f>
        <v>0.02298850574712641</v>
      </c>
      <c r="H66" s="102">
        <f>H65/H113-1</f>
        <v>0.04761904761904767</v>
      </c>
      <c r="I66" s="82"/>
      <c r="J66" s="82"/>
      <c r="K66" s="82"/>
      <c r="L66" s="82"/>
    </row>
    <row r="67">
      <c r="A67" s="82"/>
      <c r="B67" s="112" t="s">
        <v>128</v>
      </c>
      <c r="C67" s="98">
        <f>C65-F113</f>
        <v>1</v>
      </c>
      <c r="D67" s="98">
        <f>D65-C65</f>
        <v>2</v>
      </c>
      <c r="E67" s="98">
        <f>E65-D65</f>
        <v>0</v>
      </c>
      <c r="F67" s="98">
        <f>F65-E65</f>
        <v>-1</v>
      </c>
      <c r="G67" s="98" t="s">
        <v>42</v>
      </c>
      <c r="H67" s="111">
        <f>H65-F65</f>
        <v>0</v>
      </c>
      <c r="I67" s="82"/>
      <c r="J67" s="82"/>
      <c r="K67" s="82"/>
      <c r="L67" s="82"/>
    </row>
    <row r="68">
      <c r="A68" s="82"/>
      <c r="B68" s="89" t="s">
        <v>131</v>
      </c>
      <c r="C68" s="97">
        <f>C62+C65</f>
        <v>204</v>
      </c>
      <c r="D68" s="97">
        <f>D62+D65</f>
        <v>215</v>
      </c>
      <c r="E68" s="97">
        <f>E62+E65</f>
        <v>222</v>
      </c>
      <c r="F68" s="97">
        <f>F62+F65</f>
        <v>231</v>
      </c>
      <c r="G68" s="97">
        <f>G62+G65</f>
        <v>872</v>
      </c>
      <c r="H68" s="114">
        <f>H62+H65</f>
        <v>238</v>
      </c>
      <c r="I68" s="82"/>
      <c r="J68" s="82"/>
      <c r="K68" s="82"/>
      <c r="L68" s="82"/>
    </row>
    <row r="69">
      <c r="A69" s="82"/>
      <c r="B69" s="99" t="s">
        <v>95</v>
      </c>
      <c r="C69" s="92">
        <f>C68/C114-1</f>
        <v>0.23636363636363633</v>
      </c>
      <c r="D69" s="92">
        <f>D68/D114-1</f>
        <v>0.22159090909090917</v>
      </c>
      <c r="E69" s="92">
        <f>E68/E114-1</f>
        <v>0.3373493975903614</v>
      </c>
      <c r="F69" s="92">
        <f>F68/F114-1</f>
        <v>0.21578947368421053</v>
      </c>
      <c r="G69" s="92">
        <f>G68/G114-1</f>
        <v>0.25107604017216634</v>
      </c>
      <c r="H69" s="102">
        <f>H68/H114-1</f>
        <v>0.16666666666666674</v>
      </c>
      <c r="I69" s="82"/>
      <c r="J69" s="82"/>
      <c r="K69" s="82"/>
      <c r="L69" s="82"/>
    </row>
    <row r="70">
      <c r="A70" s="82"/>
      <c r="B70" s="112" t="s">
        <v>128</v>
      </c>
      <c r="C70" s="98">
        <f>C68-F114</f>
        <v>14</v>
      </c>
      <c r="D70" s="98">
        <f>D68-C68</f>
        <v>11</v>
      </c>
      <c r="E70" s="98">
        <f>E68-D68</f>
        <v>7</v>
      </c>
      <c r="F70" s="98">
        <f>F68-E68</f>
        <v>9</v>
      </c>
      <c r="G70" s="98" t="s">
        <v>42</v>
      </c>
      <c r="H70" s="111">
        <f>H68-F68</f>
        <v>7</v>
      </c>
      <c r="I70" s="82"/>
      <c r="J70" s="82"/>
      <c r="K70" s="82"/>
      <c r="L70" s="82"/>
    </row>
    <row r="71">
      <c r="A71" s="82"/>
      <c r="B71" s="103" t="s">
        <v>132</v>
      </c>
      <c r="C71" s="92">
        <f>C62/C68</f>
        <v>0.8970588235294118</v>
      </c>
      <c r="D71" s="92">
        <f>D62/D68</f>
        <v>0.8930232558139535</v>
      </c>
      <c r="E71" s="92">
        <f>E62/E68</f>
        <v>0.8963963963963963</v>
      </c>
      <c r="F71" s="92">
        <f>F62/F68</f>
        <v>0.9047619047619048</v>
      </c>
      <c r="G71" s="92">
        <f>G62/G68</f>
        <v>0.8979357798165137</v>
      </c>
      <c r="H71" s="102">
        <f>H62/H68</f>
        <v>0.907563025210084</v>
      </c>
      <c r="I71" s="82"/>
      <c r="J71" s="82"/>
      <c r="K71" s="82"/>
      <c r="L71" s="82"/>
    </row>
    <row r="72">
      <c r="A72" s="82"/>
      <c r="B72" s="99" t="s">
        <v>133</v>
      </c>
      <c r="C72" s="94">
        <f>(C62/C68-C112/C114)*10000</f>
        <v>425.133689839573</v>
      </c>
      <c r="D72" s="94">
        <f>(D62/D68-D112/D114)*10000</f>
        <v>180.23255813953477</v>
      </c>
      <c r="E72" s="94">
        <f>(E62/E68-E112/E114)*10000</f>
        <v>229.02420492781906</v>
      </c>
      <c r="F72" s="94">
        <f>(F62/F68-F112/F114)*10000</f>
        <v>100.25062656641603</v>
      </c>
      <c r="G72" s="94">
        <f>(G62/G68-G112/G114)*10000</f>
        <v>227.56439787819383</v>
      </c>
      <c r="H72" s="135">
        <f>(H62/H68-H112/H114)*10000</f>
        <v>105.04201680672232</v>
      </c>
      <c r="I72" s="82"/>
      <c r="J72" s="82"/>
      <c r="K72" s="82"/>
      <c r="L72" s="82"/>
    </row>
    <row r="73">
      <c r="A73" s="82"/>
      <c r="B73" s="99" t="s">
        <v>134</v>
      </c>
      <c r="C73" s="94">
        <f>(C62/C68-F112/F114)*10000</f>
        <v>23.219814241486336</v>
      </c>
      <c r="D73" s="94">
        <f>(D62/D68-C62/C68)*10000</f>
        <v>-40.35567715458321</v>
      </c>
      <c r="E73" s="94">
        <f>(E62/E68-D62/D68)*10000</f>
        <v>33.731405824428684</v>
      </c>
      <c r="F73" s="94">
        <f>(F62/F68-E62/E68)*10000</f>
        <v>83.65508365508423</v>
      </c>
      <c r="G73" s="94" t="s">
        <v>42</v>
      </c>
      <c r="H73" s="135">
        <f>(H62/H68-F62/F68)*10000</f>
        <v>28.011204481792618</v>
      </c>
      <c r="I73" s="82"/>
      <c r="J73" s="82"/>
      <c r="K73" s="82"/>
      <c r="L73" s="82"/>
    </row>
    <row r="74">
      <c r="A74" s="82"/>
      <c r="B74" s="87" t="s">
        <v>135</v>
      </c>
      <c r="C74" s="154">
        <f>C68/C$7</f>
        <v>2.0816326530612246</v>
      </c>
      <c r="D74" s="154">
        <f>D68/D$7</f>
        <v>2.3626373626373627</v>
      </c>
      <c r="E74" s="154">
        <f>E68/E$7</f>
        <v>2.4395604395604398</v>
      </c>
      <c r="F74" s="154">
        <f>F68/F$7</f>
        <v>2.5384615384615383</v>
      </c>
      <c r="G74" s="154">
        <f>G68/G$7</f>
        <v>2.3504043126684637</v>
      </c>
      <c r="H74" s="157">
        <f>H68/H$7</f>
        <v>2.6153846153846154</v>
      </c>
      <c r="I74" s="82"/>
      <c r="J74" s="82"/>
      <c r="K74" s="82"/>
      <c r="L74" s="82"/>
    </row>
    <row r="75">
      <c r="A75" s="82"/>
      <c r="B75" s="99" t="s">
        <v>136</v>
      </c>
      <c r="C75" s="92">
        <f>C74/(C114/C115)-1</f>
        <v>0.1480519480519482</v>
      </c>
      <c r="D75" s="92">
        <f>D74/(D114/D115)-1</f>
        <v>0.22159090909090917</v>
      </c>
      <c r="E75" s="92">
        <f>E74/(E114/E115)-1</f>
        <v>0.33734939759036164</v>
      </c>
      <c r="F75" s="92">
        <f>F74/(F114/F115)-1</f>
        <v>0.2157894736842103</v>
      </c>
      <c r="G75" s="92">
        <f>G74/(G114/G115)-1</f>
        <v>0.22747083186703132</v>
      </c>
      <c r="H75" s="102">
        <f>H74/(H114/H115)-1</f>
        <v>0.2564102564102564</v>
      </c>
      <c r="I75" s="82"/>
      <c r="J75" s="82"/>
      <c r="K75" s="82"/>
      <c r="L75" s="82"/>
    </row>
    <row r="76">
      <c r="A76" s="82"/>
      <c r="B76" s="112" t="s">
        <v>137</v>
      </c>
      <c r="C76" s="154">
        <f>C74-F114/F115</f>
        <v>-0.006279434850863463</v>
      </c>
      <c r="D76" s="154">
        <f>D74-C74</f>
        <v>0.2810047095761381</v>
      </c>
      <c r="E76" s="154">
        <f>E74-D74</f>
        <v>0.0769230769230771</v>
      </c>
      <c r="F76" s="154">
        <f>F74-E74</f>
        <v>0.09890109890109855</v>
      </c>
      <c r="G76" s="154" t="s">
        <v>42</v>
      </c>
      <c r="H76" s="157">
        <f>H74-F74</f>
        <v>0.0769230769230771</v>
      </c>
      <c r="I76" s="82"/>
      <c r="J76" s="82"/>
      <c r="K76" s="82"/>
      <c r="L76" s="82"/>
    </row>
    <row r="77">
      <c r="A77" s="82"/>
      <c r="B77" s="87" t="s">
        <v>138</v>
      </c>
      <c r="C77" s="105">
        <f>C43/C68</f>
        <v>13.813725490196079</v>
      </c>
      <c r="D77" s="105">
        <f>D43/D68</f>
        <v>14.032558139534883</v>
      </c>
      <c r="E77" s="105">
        <f>E43/E68</f>
        <v>15.031531531531531</v>
      </c>
      <c r="F77" s="105">
        <f>F43/F68</f>
        <v>16.22077922077922</v>
      </c>
      <c r="G77" s="105">
        <f>G43/G68</f>
        <v>14.815366972477063</v>
      </c>
      <c r="H77" s="119">
        <f>H43/H68</f>
        <v>17.549579831932775</v>
      </c>
      <c r="I77" s="82"/>
      <c r="J77" s="82"/>
      <c r="K77" s="82"/>
      <c r="L77" s="82"/>
    </row>
    <row r="78">
      <c r="A78" s="82"/>
      <c r="B78" s="99" t="s">
        <v>95</v>
      </c>
      <c r="C78" s="92">
        <f>C77/(C111/C114)-1</f>
        <v>0.03040899904265504</v>
      </c>
      <c r="D78" s="92">
        <f>D77/(D111/D114)-1</f>
        <v>0.025209727089306577</v>
      </c>
      <c r="E78" s="92">
        <f>E77/(E111/E114)-1</f>
        <v>0.08772198528083441</v>
      </c>
      <c r="F78" s="92">
        <f>F77/(F111/F114)-1</f>
        <v>0.18308946331978948</v>
      </c>
      <c r="G78" s="92">
        <f>G77/(G111/G114)-1</f>
        <v>0.08469651048492777</v>
      </c>
      <c r="H78" s="102">
        <f>H77/(H111/H114)-1</f>
        <v>0.2704450978404138</v>
      </c>
      <c r="I78" s="82"/>
      <c r="J78" s="82"/>
      <c r="K78" s="82"/>
      <c r="L78" s="82"/>
    </row>
    <row r="79">
      <c r="A79" s="82"/>
      <c r="B79" s="112" t="s">
        <v>139</v>
      </c>
      <c r="C79" s="105">
        <f>C77-F111/F114</f>
        <v>0.10319917440660475</v>
      </c>
      <c r="D79" s="105">
        <f>D77-C77</f>
        <v>0.21883264933880398</v>
      </c>
      <c r="E79" s="105">
        <f>E77-D77</f>
        <v>0.9989733919966479</v>
      </c>
      <c r="F79" s="105">
        <f>F77-E77</f>
        <v>1.18924768924769</v>
      </c>
      <c r="G79" s="105" t="s">
        <v>42</v>
      </c>
      <c r="H79" s="119">
        <f>H77-F77</f>
        <v>1.3288006111535537</v>
      </c>
      <c r="I79" s="82"/>
      <c r="J79" s="82"/>
      <c r="K79" s="82"/>
      <c r="L79" s="82"/>
    </row>
    <row r="80">
      <c r="A80" s="82"/>
      <c r="B80" s="87" t="s">
        <v>140</v>
      </c>
      <c r="C80" s="105">
        <f>C10/C62</f>
        <v>13.71584699453552</v>
      </c>
      <c r="D80" s="105">
        <f>D10/D62</f>
        <v>13.921875</v>
      </c>
      <c r="E80" s="105">
        <f>E10/E62</f>
        <v>14.93467336683417</v>
      </c>
      <c r="F80" s="105">
        <f>F10/F62</f>
        <v>15.956937799043063</v>
      </c>
      <c r="G80" s="105">
        <f>G10/G62</f>
        <v>14.67432950191571</v>
      </c>
      <c r="H80" s="127">
        <v>17.3</v>
      </c>
      <c r="I80" s="91" t="s">
        <v>141</v>
      </c>
      <c r="J80" s="82"/>
      <c r="K80" s="82"/>
      <c r="L80" s="82"/>
    </row>
    <row r="81">
      <c r="A81" s="82"/>
      <c r="B81" s="99" t="s">
        <v>95</v>
      </c>
      <c r="C81" s="92">
        <f>C80/(C108/C112)-1</f>
        <v>0.013061511906499845</v>
      </c>
      <c r="D81" s="92">
        <f>D80/(D108/D112)-1</f>
        <v>0.022885854007633544</v>
      </c>
      <c r="E81" s="92">
        <f>E80/(E108/E112)-1</f>
        <v>0.07898736332384404</v>
      </c>
      <c r="F81" s="92">
        <f>F80/(F108/F112)-1</f>
        <v>0.1647399853316105</v>
      </c>
      <c r="G81" s="92">
        <f>G80/(G108/G112)-1</f>
        <v>0.07317359982838778</v>
      </c>
      <c r="H81" s="102">
        <f>H80/(H108/H112)-1</f>
        <v>0.2613147410358565</v>
      </c>
      <c r="I81" s="82"/>
      <c r="J81" s="82"/>
      <c r="K81" s="82"/>
      <c r="L81" s="82"/>
    </row>
    <row r="82">
      <c r="A82" s="82"/>
      <c r="B82" s="112" t="s">
        <v>139</v>
      </c>
      <c r="C82" s="105">
        <f>C80-F108/F112</f>
        <v>0.01584699453552041</v>
      </c>
      <c r="D82" s="105">
        <f>D80-C80</f>
        <v>0.2060280054644803</v>
      </c>
      <c r="E82" s="105">
        <f>E80-D80</f>
        <v>1.0127983668341702</v>
      </c>
      <c r="F82" s="105">
        <f>F80-E80</f>
        <v>1.0222644322088925</v>
      </c>
      <c r="G82" s="105" t="s">
        <v>42</v>
      </c>
      <c r="H82" s="119">
        <f>H80-F80</f>
        <v>1.343062200956938</v>
      </c>
      <c r="I82" s="82"/>
      <c r="J82" s="82"/>
      <c r="K82" s="82"/>
      <c r="L82" s="82"/>
    </row>
    <row r="83">
      <c r="A83" s="82"/>
      <c r="B83" s="87" t="s">
        <v>142</v>
      </c>
      <c r="C83" s="105">
        <f>(C21+C32)/C65</f>
        <v>14.666666666666666</v>
      </c>
      <c r="D83" s="105">
        <f>(D21+D32)/D65</f>
        <v>14.956521739130435</v>
      </c>
      <c r="E83" s="105">
        <f>(E21+E32)/E65</f>
        <v>15.869565217391305</v>
      </c>
      <c r="F83" s="105">
        <f>(F21+F32)/F65</f>
        <v>18.727272727272727</v>
      </c>
      <c r="G83" s="105">
        <f>(G21+G32)/G65</f>
        <v>16.0561797752809</v>
      </c>
      <c r="H83" s="127">
        <v>20</v>
      </c>
      <c r="I83" s="91" t="s">
        <v>143</v>
      </c>
      <c r="J83" s="82"/>
      <c r="K83" s="82"/>
      <c r="L83" s="82"/>
    </row>
    <row r="84">
      <c r="A84" s="82"/>
      <c r="B84" s="99" t="s">
        <v>95</v>
      </c>
      <c r="C84" s="92">
        <f>C83/((C109+C110)/C113)-1</f>
        <v>0.16171617161716156</v>
      </c>
      <c r="D84" s="92">
        <f>D83/((D109+D110)/D113)-1</f>
        <v>0.05125711904431185</v>
      </c>
      <c r="E84" s="92">
        <f>E83/((E109+E110)/E113)-1</f>
        <v>0.16118769883351014</v>
      </c>
      <c r="F84" s="92">
        <f>F83/((F109+F110)/F113)-1</f>
        <v>0.35704874835309597</v>
      </c>
      <c r="G84" s="92">
        <f>G83/((G109+G110)/G113)-1</f>
        <v>0.18480715899019362</v>
      </c>
      <c r="H84" s="102">
        <f>H83/((H109+H110)/H113)-1</f>
        <v>0.36363636363636376</v>
      </c>
      <c r="I84" s="82"/>
      <c r="J84" s="82"/>
      <c r="K84" s="82"/>
      <c r="L84" s="82"/>
    </row>
    <row r="85">
      <c r="A85" s="82"/>
      <c r="B85" s="112" t="s">
        <v>139</v>
      </c>
      <c r="C85" s="105">
        <f>C83-(F109+F110)/F113</f>
        <v>0.8666666666666654</v>
      </c>
      <c r="D85" s="105">
        <f>D83-C83</f>
        <v>0.2898550724637694</v>
      </c>
      <c r="E85" s="105">
        <f>E83-D83</f>
        <v>0.9130434782608692</v>
      </c>
      <c r="F85" s="105">
        <f>F83-E83</f>
        <v>2.857707509881422</v>
      </c>
      <c r="G85" s="105" t="s">
        <v>42</v>
      </c>
      <c r="H85" s="119">
        <f>H83-F83</f>
        <v>1.2727272727272734</v>
      </c>
      <c r="I85" s="82"/>
      <c r="J85" s="82"/>
      <c r="K85" s="82"/>
      <c r="L85" s="82"/>
    </row>
    <row r="86">
      <c r="A86" s="82"/>
      <c r="B86" s="87" t="s">
        <v>144</v>
      </c>
      <c r="C86" s="98">
        <f>C62*C80</f>
        <v>2510</v>
      </c>
      <c r="D86" s="98">
        <f>D62*D80</f>
        <v>2673</v>
      </c>
      <c r="E86" s="98">
        <f>E62*E80</f>
        <v>2972</v>
      </c>
      <c r="F86" s="98">
        <f>F62*F80</f>
        <v>3335</v>
      </c>
      <c r="G86" s="98">
        <f>G62*G80</f>
        <v>11490</v>
      </c>
      <c r="H86" s="111">
        <f>H62*H80</f>
        <v>3736.8</v>
      </c>
      <c r="I86" s="82"/>
      <c r="J86" s="82"/>
      <c r="K86" s="82"/>
      <c r="L86" s="82"/>
    </row>
    <row r="87">
      <c r="A87" s="82"/>
      <c r="B87" s="87" t="s">
        <v>145</v>
      </c>
      <c r="C87" s="98">
        <f>C65*C83</f>
        <v>308</v>
      </c>
      <c r="D87" s="98">
        <f>D65*D83</f>
        <v>344</v>
      </c>
      <c r="E87" s="98">
        <f>E65*E83</f>
        <v>365</v>
      </c>
      <c r="F87" s="98">
        <f>F65*F83</f>
        <v>412</v>
      </c>
      <c r="G87" s="98">
        <f>G65*G83</f>
        <v>1429</v>
      </c>
      <c r="H87" s="111">
        <f>H65*H83</f>
        <v>440</v>
      </c>
      <c r="I87" s="82"/>
      <c r="J87" s="82"/>
      <c r="K87" s="82"/>
      <c r="L87" s="82"/>
    </row>
    <row r="88">
      <c r="A88" s="82"/>
      <c r="B88" s="103" t="s">
        <v>146</v>
      </c>
      <c r="C88" s="92">
        <f>C21/(C21+C32)</f>
        <v>0.474025974025974</v>
      </c>
      <c r="D88" s="92">
        <f>D21/(D21+D32)</f>
        <v>0.5116279069767442</v>
      </c>
      <c r="E88" s="92">
        <f>E21/(E21+E32)</f>
        <v>0.4904109589041096</v>
      </c>
      <c r="F88" s="92">
        <f>F21/(F21+F32)</f>
        <v>0.5461165048543689</v>
      </c>
      <c r="G88" s="92">
        <f>G21/(G21+G32)</f>
        <v>0.5080475857242828</v>
      </c>
      <c r="H88" s="142">
        <v>0.54</v>
      </c>
      <c r="I88" s="91" t="s">
        <v>147</v>
      </c>
      <c r="J88" s="82"/>
      <c r="K88" s="82"/>
      <c r="L88" s="82"/>
    </row>
    <row r="89">
      <c r="A89" s="82"/>
      <c r="B89" s="99" t="s">
        <v>133</v>
      </c>
      <c r="C89" s="94">
        <f>(C88-C109/(C109+C110))*10000</f>
        <v>152.8009943851527</v>
      </c>
      <c r="D89" s="94">
        <f>(D88-D109/(D109+D110))*10000</f>
        <v>643.4356192882091</v>
      </c>
      <c r="E89" s="94">
        <f>(E88-E109/(E109+E110))*10000</f>
        <v>130.59042527802933</v>
      </c>
      <c r="F89" s="94">
        <f>(F88-F109/(F109+F110))*10000</f>
        <v>388.7012804277468</v>
      </c>
      <c r="G89" s="94">
        <f>(G88-G109/(G109+G110))*10000</f>
        <v>364.6149581758218</v>
      </c>
      <c r="H89" s="135">
        <f>(H88-H109/(H109+H110))*10000</f>
        <v>659.7402597402602</v>
      </c>
      <c r="I89" s="82"/>
      <c r="J89" s="82"/>
      <c r="K89" s="82"/>
      <c r="L89" s="82"/>
    </row>
    <row r="90">
      <c r="A90" s="82"/>
      <c r="B90" s="99" t="s">
        <v>134</v>
      </c>
      <c r="C90" s="94">
        <f>(C88-F109/(F109+F110))*10000</f>
        <v>-332.2040278562022</v>
      </c>
      <c r="D90" s="94">
        <f>(D88-C88)*10000</f>
        <v>376.0193295077019</v>
      </c>
      <c r="E90" s="94">
        <f>(E88-D88)*10000</f>
        <v>-212.16948072634634</v>
      </c>
      <c r="F90" s="94">
        <f>(F88-E88)*10000</f>
        <v>557.0554595025934</v>
      </c>
      <c r="G90" s="94" t="s">
        <v>42</v>
      </c>
      <c r="H90" s="135">
        <f>(H88-F88)*10000</f>
        <v>-61.16504854368876</v>
      </c>
      <c r="I90" s="82"/>
      <c r="J90" s="82"/>
      <c r="K90" s="82"/>
      <c r="L90" s="82"/>
    </row>
    <row r="91">
      <c r="A91" s="82"/>
      <c r="B91" s="112" t="s">
        <v>148</v>
      </c>
      <c r="C91" s="98">
        <f>C87*C88</f>
        <v>146</v>
      </c>
      <c r="D91" s="98">
        <f>D87*D88</f>
        <v>176</v>
      </c>
      <c r="E91" s="98">
        <f>E87*E88</f>
        <v>179</v>
      </c>
      <c r="F91" s="98">
        <f>F87*F88</f>
        <v>225</v>
      </c>
      <c r="G91" s="98">
        <f>G87*G88</f>
        <v>726.0000000000001</v>
      </c>
      <c r="H91" s="111">
        <f>H87*H88</f>
        <v>237.60000000000002</v>
      </c>
      <c r="I91" s="82"/>
      <c r="J91" s="82"/>
      <c r="K91" s="82"/>
      <c r="L91" s="82"/>
    </row>
    <row r="92">
      <c r="A92" s="82"/>
      <c r="B92" s="112" t="s">
        <v>149</v>
      </c>
      <c r="C92" s="98">
        <f>C87-C91</f>
        <v>162</v>
      </c>
      <c r="D92" s="98">
        <f>D87-D91</f>
        <v>168</v>
      </c>
      <c r="E92" s="98">
        <f>E87-E91</f>
        <v>186</v>
      </c>
      <c r="F92" s="98">
        <f>F87-F91</f>
        <v>187</v>
      </c>
      <c r="G92" s="98">
        <f>G87-G91</f>
        <v>702.9999999999999</v>
      </c>
      <c r="H92" s="111">
        <f>H87-H91</f>
        <v>202.39999999999998</v>
      </c>
      <c r="I92" s="82"/>
      <c r="J92" s="82"/>
      <c r="K92" s="82"/>
      <c r="L92" s="82"/>
    </row>
    <row r="93">
      <c r="A93" s="82"/>
      <c r="B93" s="89" t="s">
        <v>150</v>
      </c>
      <c r="C93" s="97">
        <f>C86+C91+C92</f>
        <v>2818</v>
      </c>
      <c r="D93" s="97">
        <f>D86+D91+D92</f>
        <v>3017</v>
      </c>
      <c r="E93" s="97">
        <f>E86+E91+E92</f>
        <v>3337</v>
      </c>
      <c r="F93" s="97">
        <f>F86+F91+F92</f>
        <v>3747</v>
      </c>
      <c r="G93" s="97">
        <f>G86+G91+G92</f>
        <v>12919</v>
      </c>
      <c r="H93" s="114">
        <f>H86+H91+H92</f>
        <v>4176.8</v>
      </c>
      <c r="I93" s="82"/>
      <c r="J93" s="82"/>
      <c r="K93" s="82"/>
      <c r="L93" s="82"/>
    </row>
    <row r="94">
      <c r="A94" s="82"/>
      <c r="B94" s="89" t="s">
        <v>151</v>
      </c>
      <c r="C94" s="100">
        <f>C93-C43</f>
        <v>0</v>
      </c>
      <c r="D94" s="100">
        <f>D93-D43</f>
        <v>0</v>
      </c>
      <c r="E94" s="100">
        <f>E93-E43</f>
        <v>0</v>
      </c>
      <c r="F94" s="100">
        <f>F93-F43</f>
        <v>0</v>
      </c>
      <c r="G94" s="100">
        <f>G93-G43</f>
        <v>0</v>
      </c>
      <c r="H94" s="149">
        <f>H93-H43</f>
        <v>0</v>
      </c>
      <c r="I94" s="82"/>
      <c r="J94" s="82"/>
      <c r="K94" s="82"/>
      <c r="L94" s="82"/>
    </row>
    <row r="95">
      <c r="A95" s="82"/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</row>
    <row r="96">
      <c r="A96" s="82"/>
      <c r="B96" s="89" t="s">
        <v>152</v>
      </c>
      <c r="C96" s="82"/>
      <c r="D96" s="82"/>
      <c r="E96" s="82"/>
      <c r="F96" s="82"/>
      <c r="G96" s="82"/>
      <c r="H96" s="82"/>
      <c r="I96" s="91" t="s">
        <v>153</v>
      </c>
      <c r="J96" s="82"/>
      <c r="K96" s="82"/>
      <c r="L96" s="82"/>
    </row>
    <row r="97">
      <c r="A97" s="82"/>
      <c r="B97" s="103" t="s">
        <v>154</v>
      </c>
      <c r="C97" s="92" t="s">
        <v>42</v>
      </c>
      <c r="D97" s="92" t="s">
        <v>42</v>
      </c>
      <c r="E97" s="92" t="s">
        <v>42</v>
      </c>
      <c r="F97" s="92" t="s">
        <v>42</v>
      </c>
      <c r="G97" s="83">
        <v>0.73</v>
      </c>
      <c r="H97" s="102" t="s">
        <v>42</v>
      </c>
      <c r="I97" s="82"/>
      <c r="J97" s="82"/>
      <c r="K97" s="82"/>
      <c r="L97" s="82"/>
    </row>
    <row r="98">
      <c r="A98" s="82"/>
      <c r="B98" s="99" t="s">
        <v>133</v>
      </c>
      <c r="C98" s="94" t="s">
        <v>42</v>
      </c>
      <c r="D98" s="94" t="s">
        <v>42</v>
      </c>
      <c r="E98" s="94" t="s">
        <v>42</v>
      </c>
      <c r="F98" s="94" t="s">
        <v>42</v>
      </c>
      <c r="G98" s="94">
        <f>(G97-G116)*10000</f>
        <v>499.9999999999993</v>
      </c>
      <c r="H98" s="135" t="s">
        <v>42</v>
      </c>
      <c r="I98" s="82"/>
      <c r="J98" s="82"/>
      <c r="K98" s="82"/>
      <c r="L98" s="82"/>
    </row>
    <row r="99">
      <c r="A99" s="82"/>
      <c r="B99" s="103" t="s">
        <v>155</v>
      </c>
      <c r="C99" s="92" t="s">
        <v>42</v>
      </c>
      <c r="D99" s="92" t="s">
        <v>42</v>
      </c>
      <c r="E99" s="92" t="s">
        <v>42</v>
      </c>
      <c r="F99" s="92" t="s">
        <v>42</v>
      </c>
      <c r="G99" s="83">
        <v>0.16</v>
      </c>
      <c r="H99" s="102" t="s">
        <v>42</v>
      </c>
      <c r="I99" s="82"/>
      <c r="J99" s="82"/>
      <c r="K99" s="82"/>
      <c r="L99" s="82"/>
    </row>
    <row r="100">
      <c r="A100" s="82"/>
      <c r="B100" s="99" t="s">
        <v>133</v>
      </c>
      <c r="C100" s="94" t="s">
        <v>42</v>
      </c>
      <c r="D100" s="94" t="s">
        <v>42</v>
      </c>
      <c r="E100" s="94" t="s">
        <v>42</v>
      </c>
      <c r="F100" s="94" t="s">
        <v>42</v>
      </c>
      <c r="G100" s="94">
        <f>(G99-G117)*10000</f>
        <v>-100.00000000000009</v>
      </c>
      <c r="H100" s="135" t="s">
        <v>42</v>
      </c>
      <c r="I100" s="82"/>
      <c r="J100" s="82"/>
      <c r="K100" s="82"/>
      <c r="L100" s="82"/>
    </row>
    <row r="101">
      <c r="A101" s="82"/>
      <c r="B101" s="103" t="s">
        <v>156</v>
      </c>
      <c r="C101" s="92" t="s">
        <v>42</v>
      </c>
      <c r="D101" s="92" t="s">
        <v>42</v>
      </c>
      <c r="E101" s="92" t="s">
        <v>42</v>
      </c>
      <c r="F101" s="92" t="s">
        <v>42</v>
      </c>
      <c r="G101" s="83">
        <v>0.6</v>
      </c>
      <c r="H101" s="102" t="s">
        <v>42</v>
      </c>
      <c r="I101" s="82"/>
      <c r="J101" s="82"/>
      <c r="K101" s="82"/>
      <c r="L101" s="82"/>
    </row>
    <row r="102">
      <c r="A102" s="82"/>
      <c r="B102" s="99" t="s">
        <v>133</v>
      </c>
      <c r="C102" s="94" t="s">
        <v>42</v>
      </c>
      <c r="D102" s="94" t="s">
        <v>42</v>
      </c>
      <c r="E102" s="94" t="s">
        <v>42</v>
      </c>
      <c r="F102" s="94" t="s">
        <v>42</v>
      </c>
      <c r="G102" s="94">
        <f>(G101-G118)*10000</f>
        <v>499.9999999999993</v>
      </c>
      <c r="H102" s="135" t="s">
        <v>42</v>
      </c>
      <c r="I102" s="82"/>
      <c r="J102" s="82"/>
      <c r="K102" s="82"/>
      <c r="L102" s="82"/>
    </row>
    <row r="103">
      <c r="A103" s="82"/>
      <c r="B103" s="103" t="s">
        <v>157</v>
      </c>
      <c r="C103" s="92" t="s">
        <v>42</v>
      </c>
      <c r="D103" s="92" t="s">
        <v>42</v>
      </c>
      <c r="E103" s="92" t="s">
        <v>42</v>
      </c>
      <c r="F103" s="92" t="s">
        <v>42</v>
      </c>
      <c r="G103" s="83">
        <v>0.09</v>
      </c>
      <c r="H103" s="102" t="s">
        <v>42</v>
      </c>
      <c r="I103" s="82"/>
      <c r="J103" s="82"/>
      <c r="K103" s="82"/>
      <c r="L103" s="82"/>
    </row>
    <row r="104">
      <c r="A104" s="82"/>
      <c r="B104" s="99" t="s">
        <v>133</v>
      </c>
      <c r="C104" s="94" t="s">
        <v>42</v>
      </c>
      <c r="D104" s="94" t="s">
        <v>42</v>
      </c>
      <c r="E104" s="94" t="s">
        <v>42</v>
      </c>
      <c r="F104" s="94" t="s">
        <v>42</v>
      </c>
      <c r="G104" s="94">
        <f>(G103-G119)*10000</f>
        <v>-100.00000000000009</v>
      </c>
      <c r="H104" s="135" t="s">
        <v>42</v>
      </c>
      <c r="I104" s="82"/>
      <c r="J104" s="82"/>
      <c r="K104" s="82"/>
      <c r="L104" s="82"/>
    </row>
    <row r="105">
      <c r="A105" s="82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</row>
    <row r="106">
      <c r="A106" s="82"/>
      <c r="B106" s="89" t="s">
        <v>158</v>
      </c>
      <c r="C106" s="82"/>
      <c r="D106" s="82"/>
      <c r="E106" s="82"/>
      <c r="F106" s="82"/>
      <c r="G106" s="82"/>
      <c r="H106" s="82"/>
      <c r="I106" s="91" t="s">
        <v>159</v>
      </c>
      <c r="J106" s="82"/>
      <c r="K106" s="82"/>
      <c r="L106" s="82"/>
    </row>
    <row r="107">
      <c r="A107" s="82"/>
      <c r="B107" s="87" t="s">
        <v>160</v>
      </c>
      <c r="C107" s="104" t="s">
        <v>161</v>
      </c>
      <c r="D107" s="104" t="s">
        <v>162</v>
      </c>
      <c r="E107" s="104" t="s">
        <v>163</v>
      </c>
      <c r="F107" s="104" t="s">
        <v>164</v>
      </c>
      <c r="G107" s="104" t="s">
        <v>165</v>
      </c>
      <c r="H107" s="131" t="s">
        <v>83</v>
      </c>
      <c r="I107" s="82"/>
      <c r="J107" s="82"/>
      <c r="K107" s="82"/>
      <c r="L107" s="82"/>
    </row>
    <row r="108">
      <c r="A108" s="82"/>
      <c r="B108" s="87" t="s">
        <v>166</v>
      </c>
      <c r="C108" s="96">
        <v>1909</v>
      </c>
      <c r="D108" s="96">
        <v>2096</v>
      </c>
      <c r="E108" s="96">
        <v>2007</v>
      </c>
      <c r="F108" s="96">
        <v>2329</v>
      </c>
      <c r="G108" s="98">
        <f>SUM(C108:F108)</f>
        <v>8341</v>
      </c>
      <c r="H108" s="111">
        <f>C10</f>
        <v>2510</v>
      </c>
      <c r="I108" s="91" t="s">
        <v>167</v>
      </c>
      <c r="J108" s="82"/>
      <c r="K108" s="82"/>
      <c r="L108" s="82"/>
    </row>
    <row r="109">
      <c r="A109" s="82"/>
      <c r="B109" s="87" t="s">
        <v>168</v>
      </c>
      <c r="C109" s="96">
        <v>139</v>
      </c>
      <c r="D109" s="96">
        <v>140</v>
      </c>
      <c r="E109" s="96">
        <v>137</v>
      </c>
      <c r="F109" s="96">
        <v>140</v>
      </c>
      <c r="G109" s="98">
        <f>SUM(C109:F109)</f>
        <v>556</v>
      </c>
      <c r="H109" s="111">
        <f>C21</f>
        <v>146</v>
      </c>
      <c r="I109" s="91" t="s">
        <v>169</v>
      </c>
      <c r="J109" s="82"/>
      <c r="K109" s="87"/>
      <c r="L109" s="87"/>
    </row>
    <row r="110">
      <c r="A110" s="82"/>
      <c r="B110" s="87" t="s">
        <v>170</v>
      </c>
      <c r="C110" s="96">
        <v>164</v>
      </c>
      <c r="D110" s="96">
        <v>173</v>
      </c>
      <c r="E110" s="96">
        <v>150</v>
      </c>
      <c r="F110" s="96">
        <v>136</v>
      </c>
      <c r="G110" s="98">
        <f>SUM(C110:F110)</f>
        <v>623</v>
      </c>
      <c r="H110" s="111">
        <f>C32</f>
        <v>162</v>
      </c>
      <c r="I110" s="91" t="s">
        <v>171</v>
      </c>
      <c r="J110" s="82"/>
      <c r="K110" s="87"/>
      <c r="L110" s="87"/>
    </row>
    <row r="111">
      <c r="A111" s="82"/>
      <c r="B111" s="89" t="s">
        <v>111</v>
      </c>
      <c r="C111" s="97">
        <f>C108+C109+C110</f>
        <v>2212</v>
      </c>
      <c r="D111" s="97">
        <f>D108+D109+D110</f>
        <v>2409</v>
      </c>
      <c r="E111" s="97">
        <f>E108+E109+E110</f>
        <v>2294</v>
      </c>
      <c r="F111" s="97">
        <f>F108+F109+F110</f>
        <v>2605</v>
      </c>
      <c r="G111" s="97">
        <f>G108+G109+G110</f>
        <v>9520</v>
      </c>
      <c r="H111" s="114">
        <f>H108+H109+H110</f>
        <v>2818</v>
      </c>
      <c r="I111" s="82"/>
      <c r="J111" s="82"/>
      <c r="K111" s="82"/>
      <c r="L111" s="82"/>
    </row>
    <row r="112">
      <c r="A112" s="82"/>
      <c r="B112" s="87" t="s">
        <v>172</v>
      </c>
      <c r="C112" s="96">
        <v>141</v>
      </c>
      <c r="D112" s="96">
        <v>154</v>
      </c>
      <c r="E112" s="96">
        <v>145</v>
      </c>
      <c r="F112" s="96">
        <v>170</v>
      </c>
      <c r="G112" s="98">
        <f>SUM(C112:F112)</f>
        <v>610</v>
      </c>
      <c r="H112" s="111">
        <f>C62</f>
        <v>183</v>
      </c>
      <c r="I112" s="82"/>
      <c r="J112" s="82"/>
      <c r="K112" s="82"/>
      <c r="L112" s="82"/>
    </row>
    <row r="113">
      <c r="A113" s="82"/>
      <c r="B113" s="87" t="s">
        <v>173</v>
      </c>
      <c r="C113" s="96">
        <v>24</v>
      </c>
      <c r="D113" s="96">
        <v>22</v>
      </c>
      <c r="E113" s="96">
        <v>21</v>
      </c>
      <c r="F113" s="96">
        <v>20</v>
      </c>
      <c r="G113" s="98">
        <f>SUM(C113:F113)</f>
        <v>87</v>
      </c>
      <c r="H113" s="111">
        <f>C65</f>
        <v>21</v>
      </c>
      <c r="I113" s="82"/>
      <c r="J113" s="82"/>
      <c r="K113" s="82"/>
      <c r="L113" s="82"/>
    </row>
    <row r="114">
      <c r="A114" s="82"/>
      <c r="B114" s="89" t="s">
        <v>174</v>
      </c>
      <c r="C114" s="97">
        <f>C112+C113</f>
        <v>165</v>
      </c>
      <c r="D114" s="97">
        <f>D112+D113</f>
        <v>176</v>
      </c>
      <c r="E114" s="97">
        <f>E112+E113</f>
        <v>166</v>
      </c>
      <c r="F114" s="97">
        <f>F112+F113</f>
        <v>190</v>
      </c>
      <c r="G114" s="97">
        <f>G112+G113</f>
        <v>697</v>
      </c>
      <c r="H114" s="114">
        <f>H112+H113</f>
        <v>204</v>
      </c>
      <c r="I114" s="82"/>
      <c r="J114" s="82"/>
      <c r="K114" s="82"/>
      <c r="L114" s="82"/>
    </row>
    <row r="115">
      <c r="A115" s="82"/>
      <c r="B115" s="87" t="s">
        <v>175</v>
      </c>
      <c r="C115" s="95">
        <v>91</v>
      </c>
      <c r="D115" s="95">
        <v>91</v>
      </c>
      <c r="E115" s="95">
        <v>91</v>
      </c>
      <c r="F115" s="95">
        <v>91</v>
      </c>
      <c r="G115" s="95">
        <v>364</v>
      </c>
      <c r="H115" s="156">
        <f>C7</f>
        <v>98</v>
      </c>
      <c r="I115" s="82"/>
      <c r="J115" s="82"/>
      <c r="K115" s="82"/>
      <c r="L115" s="82"/>
    </row>
    <row r="116">
      <c r="A116" s="82"/>
      <c r="B116" s="103" t="s">
        <v>176</v>
      </c>
      <c r="C116" s="82"/>
      <c r="D116" s="82"/>
      <c r="E116" s="82"/>
      <c r="F116" s="82"/>
      <c r="G116" s="83">
        <v>0.68</v>
      </c>
      <c r="H116" s="136"/>
      <c r="I116" s="82"/>
      <c r="J116" s="82"/>
      <c r="K116" s="82"/>
      <c r="L116" s="82"/>
    </row>
    <row r="117">
      <c r="A117" s="82"/>
      <c r="B117" s="103" t="s">
        <v>177</v>
      </c>
      <c r="C117" s="82"/>
      <c r="D117" s="82"/>
      <c r="E117" s="82"/>
      <c r="F117" s="82"/>
      <c r="G117" s="83">
        <v>0.17</v>
      </c>
      <c r="H117" s="136"/>
      <c r="I117" s="82"/>
      <c r="J117" s="82"/>
      <c r="K117" s="82"/>
      <c r="L117" s="82"/>
    </row>
    <row r="118">
      <c r="A118" s="82"/>
      <c r="B118" s="103" t="s">
        <v>178</v>
      </c>
      <c r="C118" s="82"/>
      <c r="D118" s="82"/>
      <c r="E118" s="82"/>
      <c r="F118" s="82"/>
      <c r="G118" s="83">
        <v>0.55</v>
      </c>
      <c r="H118" s="136"/>
      <c r="I118" s="82"/>
      <c r="J118" s="82"/>
      <c r="K118" s="82"/>
      <c r="L118" s="82"/>
    </row>
    <row r="119">
      <c r="A119" s="82"/>
      <c r="B119" s="103" t="s">
        <v>179</v>
      </c>
      <c r="C119" s="82"/>
      <c r="D119" s="82"/>
      <c r="E119" s="82"/>
      <c r="F119" s="82"/>
      <c r="G119" s="83">
        <v>0.1</v>
      </c>
      <c r="H119" s="136"/>
      <c r="I119" s="82"/>
      <c r="J119" s="82"/>
      <c r="K119" s="82"/>
      <c r="L119" s="82"/>
    </row>
    <row r="120">
      <c r="A120" s="82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</row>
    <row r="121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</row>
    <row r="122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L16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>
      <c r="A2" s="82"/>
      <c r="B2" s="109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</row>
    <row r="3">
      <c r="A3" s="82"/>
      <c r="B3" s="89" t="s">
        <v>180</v>
      </c>
      <c r="C3" s="82"/>
      <c r="D3" s="82"/>
      <c r="E3" s="82"/>
      <c r="F3" s="82"/>
      <c r="G3" s="82"/>
      <c r="H3" s="82"/>
      <c r="I3" s="82"/>
      <c r="J3" s="82"/>
      <c r="K3" s="82"/>
      <c r="L3" s="82"/>
    </row>
    <row r="4">
      <c r="A4" s="82"/>
      <c r="B4" s="103" t="s">
        <v>2</v>
      </c>
      <c r="C4" s="82"/>
      <c r="D4" s="82"/>
      <c r="E4" s="82"/>
      <c r="F4" s="82"/>
      <c r="G4" s="82"/>
      <c r="H4" s="82"/>
      <c r="I4" s="82"/>
      <c r="J4" s="82"/>
      <c r="K4" s="82"/>
      <c r="L4" s="82"/>
    </row>
    <row r="5">
      <c r="A5" s="82"/>
      <c r="B5" s="116" t="s">
        <v>82</v>
      </c>
      <c r="C5" s="88" t="s">
        <v>83</v>
      </c>
      <c r="D5" s="88" t="s">
        <v>84</v>
      </c>
      <c r="E5" s="88" t="s">
        <v>85</v>
      </c>
      <c r="F5" s="88" t="s">
        <v>86</v>
      </c>
      <c r="G5" s="88" t="s">
        <v>87</v>
      </c>
      <c r="H5" s="134" t="s">
        <v>88</v>
      </c>
      <c r="I5" s="116" t="s">
        <v>4</v>
      </c>
      <c r="J5" s="82"/>
      <c r="K5" s="82"/>
      <c r="L5" s="82"/>
    </row>
    <row r="6">
      <c r="A6" s="82"/>
      <c r="B6" s="113" t="s">
        <v>89</v>
      </c>
      <c r="C6" s="106">
        <v>45933</v>
      </c>
      <c r="D6" s="106">
        <v>46024</v>
      </c>
      <c r="E6" s="106">
        <v>46115</v>
      </c>
      <c r="F6" s="106">
        <v>46206</v>
      </c>
      <c r="G6" s="106">
        <v>46206</v>
      </c>
      <c r="H6" s="126">
        <v>46297</v>
      </c>
      <c r="I6" s="86"/>
      <c r="J6" s="82"/>
      <c r="K6" s="82"/>
      <c r="L6" s="82"/>
    </row>
    <row r="7">
      <c r="A7" s="82"/>
      <c r="B7" s="122" t="s">
        <v>90</v>
      </c>
      <c r="C7" s="93">
        <v>98</v>
      </c>
      <c r="D7" s="93">
        <v>91</v>
      </c>
      <c r="E7" s="93">
        <v>91</v>
      </c>
      <c r="F7" s="93">
        <v>91</v>
      </c>
      <c r="G7" s="93">
        <v>371</v>
      </c>
      <c r="H7" s="130">
        <v>91</v>
      </c>
      <c r="I7" s="143"/>
      <c r="J7" s="82"/>
      <c r="K7" s="82"/>
      <c r="L7" s="82"/>
    </row>
    <row r="8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</row>
    <row r="9">
      <c r="A9" s="82"/>
      <c r="B9" s="89" t="s">
        <v>181</v>
      </c>
      <c r="C9" s="82"/>
      <c r="D9" s="82"/>
      <c r="E9" s="82"/>
      <c r="F9" s="82"/>
      <c r="G9" s="82"/>
      <c r="H9" s="82"/>
      <c r="I9" s="91" t="s">
        <v>182</v>
      </c>
      <c r="J9" s="82"/>
      <c r="K9" s="82"/>
      <c r="L9" s="82"/>
    </row>
    <row r="10">
      <c r="A10" s="82"/>
      <c r="B10" s="89" t="s">
        <v>183</v>
      </c>
      <c r="C10" s="162">
        <f>'Revenue summary'!C43</f>
        <v>2818</v>
      </c>
      <c r="D10" s="162">
        <f>'Revenue summary'!D43</f>
        <v>3017</v>
      </c>
      <c r="E10" s="162">
        <f>'Revenue summary'!E43</f>
        <v>3337</v>
      </c>
      <c r="F10" s="162">
        <f>'Revenue summary'!F43</f>
        <v>3747</v>
      </c>
      <c r="G10" s="162">
        <f>'Revenue summary'!G43</f>
        <v>12919</v>
      </c>
      <c r="H10" s="159">
        <f>'Revenue summary'!H43</f>
        <v>4176.8</v>
      </c>
      <c r="I10" s="82"/>
      <c r="J10" s="82"/>
      <c r="K10" s="82"/>
      <c r="L10" s="82"/>
    </row>
    <row r="11">
      <c r="A11" s="82"/>
      <c r="B11" s="99" t="s">
        <v>95</v>
      </c>
      <c r="C11" s="92">
        <f>C10/C146-1</f>
        <v>0.2739602169981916</v>
      </c>
      <c r="D11" s="92">
        <f>D10/D146-1</f>
        <v>0.25238688252386887</v>
      </c>
      <c r="E11" s="92">
        <f>E10/E146-1</f>
        <v>0.45466434176111603</v>
      </c>
      <c r="F11" s="92">
        <f>F10/F146-1</f>
        <v>0.4383877159309022</v>
      </c>
      <c r="G11" s="92">
        <f>G10/G146-1</f>
        <v>0.3570378151260505</v>
      </c>
      <c r="H11" s="102">
        <f>H10/H146-1</f>
        <v>0.4821859474804826</v>
      </c>
      <c r="I11" s="82"/>
      <c r="J11" s="82"/>
      <c r="K11" s="82"/>
      <c r="L11" s="82"/>
    </row>
    <row r="12">
      <c r="A12" s="82"/>
      <c r="B12" s="99" t="s">
        <v>96</v>
      </c>
      <c r="C12" s="92">
        <f>C10/F146-1</f>
        <v>0.08176583493282141</v>
      </c>
      <c r="D12" s="92">
        <f>D10/C10-1</f>
        <v>0.07061745919091544</v>
      </c>
      <c r="E12" s="92">
        <f>E10/D10-1</f>
        <v>0.10606562810739151</v>
      </c>
      <c r="F12" s="92">
        <f>F10/E10-1</f>
        <v>0.12286484866646696</v>
      </c>
      <c r="G12" s="92" t="s">
        <v>42</v>
      </c>
      <c r="H12" s="102">
        <f>H10/F10-1</f>
        <v>0.11470509741126245</v>
      </c>
      <c r="I12" s="82"/>
      <c r="J12" s="82"/>
      <c r="K12" s="82"/>
      <c r="L12" s="82"/>
    </row>
    <row r="13">
      <c r="A13" s="82"/>
      <c r="B13" s="87" t="s">
        <v>184</v>
      </c>
      <c r="C13" s="96">
        <v>1591</v>
      </c>
      <c r="D13" s="96">
        <v>1637</v>
      </c>
      <c r="E13" s="96">
        <v>1661</v>
      </c>
      <c r="F13" s="96">
        <v>1719</v>
      </c>
      <c r="G13" s="98">
        <f>SUM(C13:F13)</f>
        <v>6608</v>
      </c>
      <c r="H13" s="111">
        <f>H10-H14</f>
        <v>1835.2616000000003</v>
      </c>
      <c r="I13" s="82"/>
      <c r="J13" s="82"/>
      <c r="K13" s="82"/>
      <c r="L13" s="82"/>
    </row>
    <row r="14">
      <c r="A14" s="82"/>
      <c r="B14" s="89" t="s">
        <v>185</v>
      </c>
      <c r="C14" s="97">
        <f>C10-C13</f>
        <v>1227</v>
      </c>
      <c r="D14" s="97">
        <f>D10-D13</f>
        <v>1380</v>
      </c>
      <c r="E14" s="97">
        <f>E10-E13</f>
        <v>1676</v>
      </c>
      <c r="F14" s="97">
        <f>F10-F13</f>
        <v>2028</v>
      </c>
      <c r="G14" s="97">
        <f>G10-G13</f>
        <v>6311</v>
      </c>
      <c r="H14" s="114">
        <f>H10*H116-H128</f>
        <v>2341.5384</v>
      </c>
      <c r="I14" s="91" t="s">
        <v>186</v>
      </c>
      <c r="J14" s="82"/>
      <c r="K14" s="82"/>
      <c r="L14" s="82"/>
    </row>
    <row r="15">
      <c r="A15" s="82"/>
      <c r="B15" s="99" t="s">
        <v>187</v>
      </c>
      <c r="C15" s="92">
        <f>C14/C10</f>
        <v>0.4354151880766501</v>
      </c>
      <c r="D15" s="92">
        <f>D14/D10</f>
        <v>0.4574080212131256</v>
      </c>
      <c r="E15" s="92">
        <f>E14/E10</f>
        <v>0.5022475277195085</v>
      </c>
      <c r="F15" s="92">
        <f>F14/F10</f>
        <v>0.5412329863891113</v>
      </c>
      <c r="G15" s="92">
        <f>G14/G10</f>
        <v>0.4885053022679774</v>
      </c>
      <c r="H15" s="102">
        <f>H14/H10</f>
        <v>0.5606058226393411</v>
      </c>
      <c r="I15" s="82"/>
      <c r="J15" s="82"/>
      <c r="K15" s="82"/>
      <c r="L15" s="82"/>
    </row>
    <row r="16">
      <c r="A16" s="82"/>
      <c r="B16" s="107" t="s">
        <v>133</v>
      </c>
      <c r="C16" s="94">
        <f>(C14/C10-C147/C146)*10000</f>
        <v>710.3905787773507</v>
      </c>
      <c r="D16" s="94">
        <f>(D14/D10-D147/D146)*10000</f>
        <v>809.0324744807787</v>
      </c>
      <c r="E16" s="94">
        <f>(E14/E10-E147/E146)*10000</f>
        <v>1046.8867854775615</v>
      </c>
      <c r="F16" s="94">
        <f>(F14/F10-F147/F146)*10000</f>
        <v>1316.360574063858</v>
      </c>
      <c r="G16" s="94">
        <f>(G14/G10-G147/G146)*10000</f>
        <v>1006.9017621755721</v>
      </c>
      <c r="H16" s="135">
        <f>(H14/H10-H147/H146)*10000</f>
        <v>1251.9063456269103</v>
      </c>
      <c r="I16" s="82"/>
      <c r="J16" s="82"/>
      <c r="K16" s="82"/>
      <c r="L16" s="82"/>
    </row>
    <row r="17">
      <c r="A17" s="82"/>
      <c r="B17" s="107" t="s">
        <v>134</v>
      </c>
      <c r="C17" s="94">
        <f>(C14/C10-F147/F146)*10000</f>
        <v>258.1825909392455</v>
      </c>
      <c r="D17" s="94">
        <f>(D14/D10-C14/C10)*10000</f>
        <v>219.92833136475542</v>
      </c>
      <c r="E17" s="94">
        <f>(E14/E10-D14/D10)*10000</f>
        <v>448.39506506382907</v>
      </c>
      <c r="F17" s="94">
        <f>(F14/F10-E14/E10)*10000</f>
        <v>389.8545866960279</v>
      </c>
      <c r="G17" s="94" t="s">
        <v>42</v>
      </c>
      <c r="H17" s="135">
        <f>(H14/H10-F14/F10)*10000</f>
        <v>193.72836250229787</v>
      </c>
      <c r="I17" s="82"/>
      <c r="J17" s="82"/>
      <c r="K17" s="82"/>
      <c r="L17" s="82"/>
    </row>
    <row r="18">
      <c r="A18" s="82"/>
      <c r="B18" s="99" t="s">
        <v>188</v>
      </c>
      <c r="C18" s="92">
        <f>C14/C147-1</f>
        <v>0.522332506203474</v>
      </c>
      <c r="D18" s="92">
        <f>D14/D147-1</f>
        <v>0.5214994487320839</v>
      </c>
      <c r="E18" s="92">
        <f>E14/E147-1</f>
        <v>0.8377192982456141</v>
      </c>
      <c r="F18" s="92">
        <f>F14/F147-1</f>
        <v>0.900656044985942</v>
      </c>
      <c r="G18" s="92">
        <f>G14/G147-1</f>
        <v>0.7093716143011917</v>
      </c>
      <c r="H18" s="102">
        <f>H14/H147-1</f>
        <v>0.9083442542787286</v>
      </c>
      <c r="I18" s="82"/>
      <c r="J18" s="82"/>
      <c r="K18" s="82"/>
      <c r="L18" s="82"/>
    </row>
    <row r="19">
      <c r="A19" s="82"/>
      <c r="B19" s="112" t="s">
        <v>189</v>
      </c>
      <c r="C19" s="96">
        <v>294</v>
      </c>
      <c r="D19" s="96">
        <v>289</v>
      </c>
      <c r="E19" s="96">
        <v>294</v>
      </c>
      <c r="F19" s="96">
        <v>284</v>
      </c>
      <c r="G19" s="98">
        <f>SUM(C19:F19)</f>
        <v>1161</v>
      </c>
      <c r="H19" s="111">
        <f>(H119+H131)*H140</f>
        <v>306.19</v>
      </c>
      <c r="I19" s="82"/>
      <c r="J19" s="82"/>
      <c r="K19" s="82"/>
      <c r="L19" s="82"/>
    </row>
    <row r="20">
      <c r="A20" s="82"/>
      <c r="B20" s="112" t="s">
        <v>190</v>
      </c>
      <c r="C20" s="96">
        <v>138</v>
      </c>
      <c r="D20" s="96">
        <v>128</v>
      </c>
      <c r="E20" s="96">
        <v>147</v>
      </c>
      <c r="F20" s="96">
        <v>138</v>
      </c>
      <c r="G20" s="98">
        <f>SUM(C20:F20)</f>
        <v>551</v>
      </c>
      <c r="H20" s="111">
        <f>(H119+H131)*(1-H140)</f>
        <v>150.80999999999997</v>
      </c>
      <c r="I20" s="82"/>
      <c r="J20" s="82"/>
      <c r="K20" s="82"/>
      <c r="L20" s="82"/>
    </row>
    <row r="21">
      <c r="A21" s="82"/>
      <c r="B21" s="112" t="s">
        <v>191</v>
      </c>
      <c r="C21" s="96">
        <v>0</v>
      </c>
      <c r="D21" s="96">
        <v>0</v>
      </c>
      <c r="E21" s="96">
        <v>0</v>
      </c>
      <c r="F21" s="96">
        <v>0</v>
      </c>
      <c r="G21" s="98">
        <f>SUM(C21:F21)</f>
        <v>0</v>
      </c>
      <c r="H21" s="125">
        <v>0</v>
      </c>
      <c r="I21" s="91" t="s">
        <v>192</v>
      </c>
      <c r="J21" s="82"/>
      <c r="K21" s="82"/>
      <c r="L21" s="82"/>
    </row>
    <row r="22">
      <c r="A22" s="82"/>
      <c r="B22" s="112" t="s">
        <v>193</v>
      </c>
      <c r="C22" s="96">
        <v>3</v>
      </c>
      <c r="D22" s="96">
        <v>55</v>
      </c>
      <c r="E22" s="96">
        <v>45</v>
      </c>
      <c r="F22" s="96">
        <v>43</v>
      </c>
      <c r="G22" s="98">
        <f>SUM(C22:F22)</f>
        <v>146</v>
      </c>
      <c r="H22" s="111">
        <f>H134</f>
        <v>0</v>
      </c>
      <c r="I22" s="82"/>
      <c r="J22" s="82"/>
      <c r="K22" s="82"/>
      <c r="L22" s="82"/>
    </row>
    <row r="23">
      <c r="A23" s="82"/>
      <c r="B23" s="89" t="s">
        <v>194</v>
      </c>
      <c r="C23" s="97">
        <f>SUM(C19:C22)</f>
        <v>435</v>
      </c>
      <c r="D23" s="97">
        <f>SUM(D19:D22)</f>
        <v>472</v>
      </c>
      <c r="E23" s="97">
        <f>SUM(E19:E22)</f>
        <v>486</v>
      </c>
      <c r="F23" s="97">
        <f>SUM(F19:F22)</f>
        <v>465</v>
      </c>
      <c r="G23" s="97">
        <f>SUM(G19:G22)</f>
        <v>1858</v>
      </c>
      <c r="H23" s="114">
        <f>SUM(H19:H22)</f>
        <v>457</v>
      </c>
      <c r="I23" s="82"/>
      <c r="J23" s="82"/>
      <c r="K23" s="82"/>
      <c r="L23" s="82"/>
    </row>
    <row r="24">
      <c r="A24" s="82"/>
      <c r="B24" s="99" t="s">
        <v>195</v>
      </c>
      <c r="C24" s="92">
        <f>C23/C10</f>
        <v>0.15436479772888573</v>
      </c>
      <c r="D24" s="92">
        <f>D23/D10</f>
        <v>0.1564468014584024</v>
      </c>
      <c r="E24" s="92">
        <f>E23/E10</f>
        <v>0.14563979622415343</v>
      </c>
      <c r="F24" s="92">
        <f>F23/F10</f>
        <v>0.12409927942353884</v>
      </c>
      <c r="G24" s="92">
        <f>G23/G10</f>
        <v>0.14381918105116495</v>
      </c>
      <c r="H24" s="102">
        <f>H23/H10</f>
        <v>0.1094139053821107</v>
      </c>
      <c r="I24" s="82"/>
      <c r="J24" s="82"/>
      <c r="K24" s="82"/>
      <c r="L24" s="82"/>
    </row>
    <row r="25">
      <c r="A25" s="82"/>
      <c r="B25" s="107" t="s">
        <v>133</v>
      </c>
      <c r="C25" s="94">
        <f>(C23/C10-C156/C146)*10000</f>
        <v>-590.1675742482132</v>
      </c>
      <c r="D25" s="94">
        <f>(D23/D10-D156/D146)*10000</f>
        <v>124.0363001797068</v>
      </c>
      <c r="E25" s="94">
        <f>(E23/E10-E156/E146)*10000</f>
        <v>793.7998802886137</v>
      </c>
      <c r="F25" s="94">
        <f>(F23/F10-F156/F146)*10000</f>
        <v>-244.61181229052346</v>
      </c>
      <c r="G25" s="94">
        <f>(G23/G10-G156/G146)*10000</f>
        <v>11.72122227635547</v>
      </c>
      <c r="H25" s="135">
        <f>(H23/H10-H156/H146)*10000</f>
        <v>-449.5089234677503</v>
      </c>
      <c r="I25" s="82"/>
      <c r="J25" s="82"/>
      <c r="K25" s="82"/>
      <c r="L25" s="82"/>
    </row>
    <row r="26">
      <c r="A26" s="82"/>
      <c r="B26" s="107" t="s">
        <v>134</v>
      </c>
      <c r="C26" s="94">
        <f>(C23/C10-F156/F146)*10000</f>
        <v>58.043370762945464</v>
      </c>
      <c r="D26" s="94">
        <f>(D23/D10-C23/C10)*10000</f>
        <v>20.82003729516668</v>
      </c>
      <c r="E26" s="94">
        <f>(E23/E10-D23/D10)*10000</f>
        <v>-108.07005234248962</v>
      </c>
      <c r="F26" s="94">
        <f>(F23/F10-E23/E10)*10000</f>
        <v>-215.40516800614597</v>
      </c>
      <c r="G26" s="94" t="s">
        <v>42</v>
      </c>
      <c r="H26" s="135">
        <f>(H23/H10-F23/F10)*10000</f>
        <v>-146.8537404142814</v>
      </c>
      <c r="I26" s="82"/>
      <c r="J26" s="82"/>
      <c r="K26" s="82"/>
      <c r="L26" s="82"/>
    </row>
    <row r="27">
      <c r="A27" s="82"/>
      <c r="B27" s="89" t="s">
        <v>196</v>
      </c>
      <c r="C27" s="97">
        <f>C14-C23</f>
        <v>792</v>
      </c>
      <c r="D27" s="97">
        <f>D14-D23</f>
        <v>908</v>
      </c>
      <c r="E27" s="97">
        <f>E14-E23</f>
        <v>1190</v>
      </c>
      <c r="F27" s="97">
        <f>F14-F23</f>
        <v>1563</v>
      </c>
      <c r="G27" s="97">
        <f>G14-G23</f>
        <v>4453</v>
      </c>
      <c r="H27" s="114">
        <f>H14-H23</f>
        <v>1884.5384</v>
      </c>
      <c r="I27" s="82"/>
      <c r="J27" s="82"/>
      <c r="K27" s="82"/>
      <c r="L27" s="82"/>
    </row>
    <row r="28">
      <c r="A28" s="82"/>
      <c r="B28" s="99" t="s">
        <v>197</v>
      </c>
      <c r="C28" s="92">
        <f>C27/C10</f>
        <v>0.28105039034776436</v>
      </c>
      <c r="D28" s="92">
        <f>D27/D10</f>
        <v>0.30096121975472323</v>
      </c>
      <c r="E28" s="92">
        <f>E27/E10</f>
        <v>0.35660773149535513</v>
      </c>
      <c r="F28" s="92">
        <f>F27/F10</f>
        <v>0.41713370696557245</v>
      </c>
      <c r="G28" s="92">
        <f>G27/G10</f>
        <v>0.34468612121681247</v>
      </c>
      <c r="H28" s="102">
        <f>H27/H10</f>
        <v>0.4511919172572304</v>
      </c>
      <c r="I28" s="82"/>
      <c r="J28" s="82"/>
      <c r="K28" s="82"/>
      <c r="L28" s="82"/>
    </row>
    <row r="29">
      <c r="A29" s="82"/>
      <c r="B29" s="107" t="s">
        <v>133</v>
      </c>
      <c r="C29" s="94">
        <f>(C27/C10-C148/C146)*10000</f>
        <v>1300.5581530255638</v>
      </c>
      <c r="D29" s="94">
        <f>(D27/D10-D148/D146)*10000</f>
        <v>684.9961743010721</v>
      </c>
      <c r="E29" s="94">
        <f>(E27/E10-E148/E146)*10000</f>
        <v>253.08690518894784</v>
      </c>
      <c r="F29" s="94">
        <f>(F27/F10-F148/F146)*10000</f>
        <v>1560.9723863543811</v>
      </c>
      <c r="G29" s="94">
        <f>(G27/G10-G148/G146)*10000</f>
        <v>995.1805398992173</v>
      </c>
      <c r="H29" s="135">
        <f>(H27/H10-H148/H146)*10000</f>
        <v>1701.4152690946605</v>
      </c>
      <c r="I29" s="82"/>
      <c r="J29" s="82"/>
      <c r="K29" s="82"/>
      <c r="L29" s="82"/>
    </row>
    <row r="30">
      <c r="A30" s="82"/>
      <c r="B30" s="107" t="s">
        <v>134</v>
      </c>
      <c r="C30" s="94">
        <f>(C27/C10-F148/F146)*10000</f>
        <v>200.13922017630026</v>
      </c>
      <c r="D30" s="94">
        <f>(D27/D10-C27/C10)*10000</f>
        <v>199.10829406958874</v>
      </c>
      <c r="E30" s="94">
        <f>(E27/E10-D27/D10)*10000</f>
        <v>556.465117406319</v>
      </c>
      <c r="F30" s="94">
        <f>(F27/F10-E27/E10)*10000</f>
        <v>605.2597547021732</v>
      </c>
      <c r="G30" s="94" t="s">
        <v>42</v>
      </c>
      <c r="H30" s="135">
        <f>(H27/H10-F27/F10)*10000</f>
        <v>340.5821029165795</v>
      </c>
      <c r="I30" s="82"/>
      <c r="J30" s="82"/>
      <c r="K30" s="82"/>
      <c r="L30" s="82"/>
    </row>
    <row r="31">
      <c r="A31" s="82"/>
      <c r="B31" s="99" t="s">
        <v>198</v>
      </c>
      <c r="C31" s="92">
        <f>C27/C148-1</f>
        <v>1.3712574850299402</v>
      </c>
      <c r="D31" s="92">
        <f>D27/D148-1</f>
        <v>0.6214285714285714</v>
      </c>
      <c r="E31" s="92">
        <f>E27/E148-1</f>
        <v>0.5657894736842106</v>
      </c>
      <c r="F31" s="92">
        <f>F27/F148-1</f>
        <v>1.2985294117647057</v>
      </c>
      <c r="G31" s="92">
        <f>G27/G148-1</f>
        <v>0.9078834618680378</v>
      </c>
      <c r="H31" s="102">
        <f>H27/H148-1</f>
        <v>1.3794676767676766</v>
      </c>
      <c r="I31" s="82"/>
      <c r="J31" s="82"/>
      <c r="K31" s="82"/>
      <c r="L31" s="82"/>
    </row>
    <row r="32">
      <c r="A32" s="82"/>
      <c r="B32" s="87" t="s">
        <v>199</v>
      </c>
      <c r="C32" s="82"/>
      <c r="D32" s="82"/>
      <c r="E32" s="82"/>
      <c r="F32" s="82"/>
      <c r="G32" s="82"/>
      <c r="H32" s="136"/>
      <c r="I32" s="82"/>
      <c r="J32" s="82"/>
      <c r="K32" s="82"/>
      <c r="L32" s="82"/>
    </row>
    <row r="33">
      <c r="A33" s="82"/>
      <c r="B33" s="112" t="s">
        <v>200</v>
      </c>
      <c r="C33" s="96">
        <v>17</v>
      </c>
      <c r="D33" s="96">
        <v>12</v>
      </c>
      <c r="E33" s="96">
        <v>12</v>
      </c>
      <c r="F33" s="96">
        <v>10</v>
      </c>
      <c r="G33" s="98">
        <f>SUM(C33:F33)</f>
        <v>51</v>
      </c>
      <c r="H33" s="111">
        <f>F33</f>
        <v>10</v>
      </c>
      <c r="I33" s="91" t="s">
        <v>201</v>
      </c>
      <c r="J33" s="82"/>
      <c r="K33" s="82"/>
      <c r="L33" s="82"/>
    </row>
    <row r="34">
      <c r="A34" s="82"/>
      <c r="B34" s="112" t="s">
        <v>202</v>
      </c>
      <c r="C34" s="96">
        <v>-59</v>
      </c>
      <c r="D34" s="96">
        <v>-54</v>
      </c>
      <c r="E34" s="96">
        <v>-38</v>
      </c>
      <c r="F34" s="96">
        <v>-14</v>
      </c>
      <c r="G34" s="98">
        <f>SUM(C34:F34)</f>
        <v>-165</v>
      </c>
      <c r="H34" s="111">
        <f>F34</f>
        <v>-14</v>
      </c>
      <c r="I34" s="91" t="s">
        <v>203</v>
      </c>
      <c r="J34" s="82"/>
      <c r="K34" s="82"/>
      <c r="L34" s="82"/>
    </row>
    <row r="35">
      <c r="A35" s="82"/>
      <c r="B35" s="112" t="s">
        <v>204</v>
      </c>
      <c r="C35" s="96">
        <v>611</v>
      </c>
      <c r="D35" s="96">
        <v>1103</v>
      </c>
      <c r="E35" s="96">
        <v>2734</v>
      </c>
      <c r="F35" s="96">
        <v>2050</v>
      </c>
      <c r="G35" s="98">
        <f>SUM(C35:F35)</f>
        <v>6498</v>
      </c>
      <c r="H35" s="125">
        <v>0</v>
      </c>
      <c r="I35" s="91" t="s">
        <v>205</v>
      </c>
      <c r="J35" s="82"/>
      <c r="K35" s="82"/>
      <c r="L35" s="82"/>
    </row>
    <row r="36">
      <c r="A36" s="82"/>
      <c r="B36" s="112" t="s">
        <v>206</v>
      </c>
      <c r="C36" s="96">
        <v>0</v>
      </c>
      <c r="D36" s="96">
        <v>0</v>
      </c>
      <c r="E36" s="96">
        <v>-545</v>
      </c>
      <c r="F36" s="96">
        <v>0</v>
      </c>
      <c r="G36" s="98">
        <f>SUM(C36:F36)</f>
        <v>-545</v>
      </c>
      <c r="H36" s="125">
        <v>0</v>
      </c>
      <c r="I36" s="82"/>
      <c r="J36" s="82"/>
      <c r="K36" s="82"/>
      <c r="L36" s="82"/>
    </row>
    <row r="37">
      <c r="A37" s="82"/>
      <c r="B37" s="112" t="s">
        <v>207</v>
      </c>
      <c r="C37" s="96">
        <v>0</v>
      </c>
      <c r="D37" s="96">
        <v>0</v>
      </c>
      <c r="E37" s="96">
        <v>0</v>
      </c>
      <c r="F37" s="96">
        <v>-108</v>
      </c>
      <c r="G37" s="98">
        <f>SUM(C37:F37)</f>
        <v>-108</v>
      </c>
      <c r="H37" s="111">
        <f>-H137</f>
        <v>0</v>
      </c>
      <c r="I37" s="91" t="s">
        <v>208</v>
      </c>
      <c r="J37" s="82"/>
      <c r="K37" s="82"/>
      <c r="L37" s="82"/>
    </row>
    <row r="38">
      <c r="A38" s="82"/>
      <c r="B38" s="112" t="s">
        <v>209</v>
      </c>
      <c r="C38" s="96">
        <v>0</v>
      </c>
      <c r="D38" s="96">
        <v>0</v>
      </c>
      <c r="E38" s="96">
        <v>0</v>
      </c>
      <c r="F38" s="96">
        <v>-254</v>
      </c>
      <c r="G38" s="98">
        <f>SUM(C38:F38)</f>
        <v>-254</v>
      </c>
      <c r="H38" s="125">
        <v>0</v>
      </c>
      <c r="I38" s="82"/>
      <c r="J38" s="82"/>
      <c r="K38" s="82"/>
      <c r="L38" s="82"/>
    </row>
    <row r="39">
      <c r="A39" s="82"/>
      <c r="B39" s="112" t="s">
        <v>210</v>
      </c>
      <c r="C39" s="96">
        <v>-24</v>
      </c>
      <c r="D39" s="96">
        <v>-7</v>
      </c>
      <c r="E39" s="96">
        <v>6</v>
      </c>
      <c r="F39" s="96">
        <v>0</v>
      </c>
      <c r="G39" s="98">
        <f>SUM(C39:F39)</f>
        <v>-25</v>
      </c>
      <c r="H39" s="111">
        <f>H122-H33-H34-H93</f>
        <v>-11</v>
      </c>
      <c r="I39" s="91" t="s">
        <v>211</v>
      </c>
      <c r="J39" s="82"/>
      <c r="K39" s="82"/>
      <c r="L39" s="82"/>
    </row>
    <row r="40">
      <c r="A40" s="82"/>
      <c r="B40" s="89" t="s">
        <v>212</v>
      </c>
      <c r="C40" s="97">
        <f>SUM(C33:C39)</f>
        <v>545</v>
      </c>
      <c r="D40" s="97">
        <f>SUM(D33:D39)</f>
        <v>1054</v>
      </c>
      <c r="E40" s="97">
        <f>SUM(E33:E39)</f>
        <v>2169</v>
      </c>
      <c r="F40" s="97">
        <f>SUM(F33:F39)</f>
        <v>1684</v>
      </c>
      <c r="G40" s="97">
        <f>SUM(G33:G39)</f>
        <v>5452</v>
      </c>
      <c r="H40" s="114">
        <f>SUM(H33:H39)</f>
        <v>-15</v>
      </c>
      <c r="I40" s="82"/>
      <c r="J40" s="82"/>
      <c r="K40" s="82"/>
      <c r="L40" s="82"/>
    </row>
    <row r="41">
      <c r="A41" s="82"/>
      <c r="B41" s="89" t="s">
        <v>213</v>
      </c>
      <c r="C41" s="97">
        <f>C27+C40</f>
        <v>1337</v>
      </c>
      <c r="D41" s="97">
        <f>D27+D40</f>
        <v>1962</v>
      </c>
      <c r="E41" s="97">
        <f>E27+E40</f>
        <v>3359</v>
      </c>
      <c r="F41" s="97">
        <f>F27+F40</f>
        <v>3247</v>
      </c>
      <c r="G41" s="97">
        <f>G27+G40</f>
        <v>9905</v>
      </c>
      <c r="H41" s="114">
        <f>H27+H40</f>
        <v>1869.5384</v>
      </c>
      <c r="I41" s="82"/>
      <c r="J41" s="82"/>
      <c r="K41" s="82"/>
      <c r="L41" s="82"/>
    </row>
    <row r="42">
      <c r="A42" s="82"/>
      <c r="B42" s="87" t="s">
        <v>214</v>
      </c>
      <c r="C42" s="96">
        <v>155</v>
      </c>
      <c r="D42" s="96">
        <v>120</v>
      </c>
      <c r="E42" s="96">
        <v>154</v>
      </c>
      <c r="F42" s="96">
        <v>52</v>
      </c>
      <c r="G42" s="98">
        <f>SUM(C42:F42)</f>
        <v>481</v>
      </c>
      <c r="H42" s="111">
        <f>H98-H97</f>
        <v>317.82152800000006</v>
      </c>
      <c r="I42" s="91" t="s">
        <v>215</v>
      </c>
      <c r="J42" s="82"/>
      <c r="K42" s="82"/>
      <c r="L42" s="82"/>
    </row>
    <row r="43">
      <c r="A43" s="82"/>
      <c r="B43" s="99" t="s">
        <v>216</v>
      </c>
      <c r="C43" s="92">
        <f>C42/C41</f>
        <v>0.11593118922961855</v>
      </c>
      <c r="D43" s="92">
        <f>D42/D41</f>
        <v>0.06116207951070336</v>
      </c>
      <c r="E43" s="92">
        <f>E42/E41</f>
        <v>0.04584697826734147</v>
      </c>
      <c r="F43" s="92">
        <f>F42/F41</f>
        <v>0.016014782876501387</v>
      </c>
      <c r="G43" s="92">
        <f>G42/G41</f>
        <v>0.04856133266027259</v>
      </c>
      <c r="H43" s="102">
        <f>H42/H41</f>
        <v>0.17000000000000004</v>
      </c>
      <c r="I43" s="82"/>
      <c r="J43" s="82"/>
      <c r="K43" s="82"/>
      <c r="L43" s="82"/>
    </row>
    <row r="44">
      <c r="A44" s="82"/>
      <c r="B44" s="107" t="s">
        <v>133</v>
      </c>
      <c r="C44" s="94">
        <f>IF(OR(C160/C159&lt;0,C160/C159&gt;1),"n.m.",(C42/C41-C160/C159)*10000)</f>
        <v>-2544.391811407518</v>
      </c>
      <c r="D44" s="94">
        <f>IF(OR(D160/D159&lt;0,D160/D159&gt;1),"n.m.",(D42/D41-D160/D159)*10000)</f>
        <v>611.6207951070336</v>
      </c>
      <c r="E44" s="94" t="str">
        <f>IF(OR(E160/E159&lt;0,E160/E159&gt;1),"n.m.",(E42/E41-E160/E159)*10000)</f>
        <v>n.m.</v>
      </c>
      <c r="F44" s="94">
        <f>IF(OR(F160/F159&lt;0,F160/F159&gt;1),"n.m.",(F42/F41-F160/F159)*10000)</f>
        <v>-2577.604332618271</v>
      </c>
      <c r="G44" s="94" t="str">
        <f>IF(OR(G160/G159&lt;0,G160/G159&gt;1),"n.m.",(G42/G41-G160/G159)*10000)</f>
        <v>n.m.</v>
      </c>
      <c r="H44" s="135">
        <f>IF(OR(H160/H159&lt;0,H160/H159&gt;1),"n.m.",(H42/H41-H160/H159)*10000)</f>
        <v>540.6881077038149</v>
      </c>
      <c r="I44" s="169" t="s">
        <v>217</v>
      </c>
      <c r="J44" s="82"/>
      <c r="K44" s="82"/>
      <c r="L44" s="82"/>
    </row>
    <row r="45">
      <c r="A45" s="82"/>
      <c r="B45" s="107" t="s">
        <v>134</v>
      </c>
      <c r="C45" s="94">
        <f>(C42/C41-F160/F159)*10000</f>
        <v>-1578.4402690870998</v>
      </c>
      <c r="D45" s="94">
        <f>(D42/D41-C42/C41)*10000</f>
        <v>-547.6910971891518</v>
      </c>
      <c r="E45" s="94">
        <f>(E42/E41-D42/D41)*10000</f>
        <v>-153.15101243361892</v>
      </c>
      <c r="F45" s="94">
        <f>(F42/F41-E42/E41)*10000</f>
        <v>-298.32195390840087</v>
      </c>
      <c r="G45" s="94" t="s">
        <v>42</v>
      </c>
      <c r="H45" s="135">
        <f>(H42/H41-F42/F41)*10000</f>
        <v>1539.8521712349866</v>
      </c>
      <c r="I45" s="82"/>
      <c r="J45" s="82"/>
      <c r="K45" s="82"/>
      <c r="L45" s="82"/>
    </row>
    <row r="46">
      <c r="A46" s="82"/>
      <c r="B46" s="89" t="s">
        <v>218</v>
      </c>
      <c r="C46" s="97">
        <f>C41-C42</f>
        <v>1182</v>
      </c>
      <c r="D46" s="97">
        <f>D41-D42</f>
        <v>1842</v>
      </c>
      <c r="E46" s="97">
        <f>E41-E42</f>
        <v>3205</v>
      </c>
      <c r="F46" s="97">
        <f>F41-F42</f>
        <v>3195</v>
      </c>
      <c r="G46" s="97">
        <f>G41-G42</f>
        <v>9424</v>
      </c>
      <c r="H46" s="114">
        <f>H41-H42</f>
        <v>1551.716872</v>
      </c>
      <c r="I46" s="82"/>
      <c r="J46" s="82"/>
      <c r="K46" s="82"/>
      <c r="L46" s="82"/>
    </row>
    <row r="47">
      <c r="A47" s="82"/>
      <c r="B47" s="99" t="s">
        <v>95</v>
      </c>
      <c r="C47" s="92">
        <f>C46/C149-1</f>
        <v>6.7254901960784315</v>
      </c>
      <c r="D47" s="92">
        <f>D46/D149-1</f>
        <v>2.9527896995708156</v>
      </c>
      <c r="E47" s="92">
        <f>E46/E149-1</f>
        <v>3.1515544041450774</v>
      </c>
      <c r="F47" s="92">
        <f>F46/F149-1</f>
        <v>11.678571428571429</v>
      </c>
      <c r="G47" s="92">
        <f>G46/G149-1</f>
        <v>4.735849056603773</v>
      </c>
      <c r="H47" s="102">
        <f>H46/H149-1</f>
        <v>0.31278923181049056</v>
      </c>
      <c r="I47" s="82"/>
      <c r="J47" s="82"/>
      <c r="K47" s="82"/>
      <c r="L47" s="82"/>
    </row>
    <row r="48">
      <c r="A48" s="82"/>
      <c r="B48" s="87" t="s">
        <v>219</v>
      </c>
      <c r="C48" s="96">
        <v>0</v>
      </c>
      <c r="D48" s="96">
        <v>0</v>
      </c>
      <c r="E48" s="96">
        <v>0</v>
      </c>
      <c r="F48" s="96">
        <v>0</v>
      </c>
      <c r="G48" s="98">
        <f>SUM(C48:F48)</f>
        <v>0</v>
      </c>
      <c r="H48" s="125">
        <v>0</v>
      </c>
      <c r="I48" s="82"/>
      <c r="J48" s="82"/>
      <c r="K48" s="82"/>
      <c r="L48" s="82"/>
    </row>
    <row r="49">
      <c r="A49" s="82"/>
      <c r="B49" s="89" t="s">
        <v>220</v>
      </c>
      <c r="C49" s="97">
        <f>C46+C48</f>
        <v>1182</v>
      </c>
      <c r="D49" s="97">
        <f>D46+D48</f>
        <v>1842</v>
      </c>
      <c r="E49" s="97">
        <f>E46+E48</f>
        <v>3205</v>
      </c>
      <c r="F49" s="97">
        <f>F46+F48</f>
        <v>3195</v>
      </c>
      <c r="G49" s="97">
        <f>G46+G48</f>
        <v>9424</v>
      </c>
      <c r="H49" s="114">
        <f>H46+H48</f>
        <v>1551.716872</v>
      </c>
      <c r="I49" s="82"/>
      <c r="J49" s="82"/>
      <c r="K49" s="82"/>
      <c r="L49" s="82"/>
    </row>
    <row r="50">
      <c r="A50" s="82"/>
      <c r="B50" s="99" t="s">
        <v>221</v>
      </c>
      <c r="C50" s="92">
        <f>C49/C10</f>
        <v>0.41944641589779985</v>
      </c>
      <c r="D50" s="92">
        <f>D49/D10</f>
        <v>0.610540271793172</v>
      </c>
      <c r="E50" s="92">
        <f>E49/E10</f>
        <v>0.9604435121366497</v>
      </c>
      <c r="F50" s="92">
        <f>F49/F10</f>
        <v>0.8526821457165733</v>
      </c>
      <c r="G50" s="92">
        <f>G49/G10</f>
        <v>0.7294682250948216</v>
      </c>
      <c r="H50" s="102">
        <f>H49/H10</f>
        <v>0.3715085405094809</v>
      </c>
      <c r="I50" s="82"/>
      <c r="J50" s="82"/>
      <c r="K50" s="82"/>
      <c r="L50" s="82"/>
    </row>
    <row r="51">
      <c r="A51" s="82"/>
      <c r="B51" s="107" t="s">
        <v>133</v>
      </c>
      <c r="C51" s="94">
        <f>(C49/C10-C149/C146)*10000</f>
        <v>3502.7824229924654</v>
      </c>
      <c r="D51" s="94">
        <f>(D49/D10-D149/D146)*10000</f>
        <v>4170.990098587595</v>
      </c>
      <c r="E51" s="94">
        <f>(E49/E10-E149/E146)*10000</f>
        <v>6239.134336710874</v>
      </c>
      <c r="F51" s="94">
        <f>(F49/F10-F149/F146)*10000</f>
        <v>7559.451015706999</v>
      </c>
      <c r="G51" s="94">
        <f>(G49/G10-G149/G146)*10000</f>
        <v>5568.841914813763</v>
      </c>
      <c r="H51" s="135">
        <f>(H49/H10-H149/H146)*10000</f>
        <v>-479.3787538831895</v>
      </c>
      <c r="I51" s="82"/>
      <c r="J51" s="82"/>
      <c r="K51" s="82"/>
      <c r="L51" s="82"/>
    </row>
    <row r="52">
      <c r="A52" s="82"/>
      <c r="B52" s="107" t="s">
        <v>134</v>
      </c>
      <c r="C52" s="94">
        <f>(C49/C10-F149/F146)*10000</f>
        <v>3227.0937175192653</v>
      </c>
      <c r="D52" s="94">
        <f>(D49/D10-C49/C10)*10000</f>
        <v>1910.938558953722</v>
      </c>
      <c r="E52" s="94">
        <f>(E49/E10-D49/D10)*10000</f>
        <v>3499.0324034347764</v>
      </c>
      <c r="F52" s="94">
        <f>(F49/F10-E49/E10)*10000</f>
        <v>-1077.6136642007639</v>
      </c>
      <c r="G52" s="94" t="s">
        <v>42</v>
      </c>
      <c r="H52" s="135">
        <f>(H49/H10-F49/F10)*10000</f>
        <v>-4811.736052070924</v>
      </c>
      <c r="I52" s="82"/>
      <c r="J52" s="82"/>
      <c r="K52" s="82"/>
      <c r="L52" s="82"/>
    </row>
    <row r="53">
      <c r="A53" s="82"/>
      <c r="B53" s="87" t="s">
        <v>222</v>
      </c>
      <c r="C53" s="96">
        <v>-30</v>
      </c>
      <c r="D53" s="96">
        <v>-44</v>
      </c>
      <c r="E53" s="96">
        <v>-37</v>
      </c>
      <c r="F53" s="96">
        <v>0</v>
      </c>
      <c r="G53" s="96">
        <v>-138</v>
      </c>
      <c r="H53" s="125">
        <v>0</v>
      </c>
      <c r="I53" s="91" t="s">
        <v>223</v>
      </c>
      <c r="J53" s="82"/>
      <c r="K53" s="82"/>
      <c r="L53" s="82"/>
    </row>
    <row r="54">
      <c r="A54" s="82"/>
      <c r="B54" s="89" t="s">
        <v>224</v>
      </c>
      <c r="C54" s="97">
        <f>C46+C53</f>
        <v>1152</v>
      </c>
      <c r="D54" s="97">
        <f>D46+D53</f>
        <v>1798</v>
      </c>
      <c r="E54" s="97">
        <f>E46+E53</f>
        <v>3168</v>
      </c>
      <c r="F54" s="97">
        <f>F46+F53</f>
        <v>3195</v>
      </c>
      <c r="G54" s="97">
        <f>G46+G53</f>
        <v>9286</v>
      </c>
      <c r="H54" s="114">
        <f>H46+H53</f>
        <v>1551.716872</v>
      </c>
      <c r="I54" s="82"/>
      <c r="J54" s="82"/>
      <c r="K54" s="82"/>
      <c r="L54" s="82"/>
    </row>
    <row r="55">
      <c r="A55" s="82"/>
      <c r="B55" s="87" t="s">
        <v>225</v>
      </c>
      <c r="C55" s="96">
        <v>2</v>
      </c>
      <c r="D55" s="96">
        <v>4</v>
      </c>
      <c r="E55" s="96">
        <v>4</v>
      </c>
      <c r="F55" s="96">
        <v>0</v>
      </c>
      <c r="G55" s="96">
        <v>12</v>
      </c>
      <c r="H55" s="125">
        <v>0</v>
      </c>
      <c r="I55" s="91" t="s">
        <v>226</v>
      </c>
      <c r="J55" s="82"/>
      <c r="K55" s="82"/>
      <c r="L55" s="82"/>
    </row>
    <row r="56">
      <c r="A56" s="82"/>
      <c r="B56" s="89" t="s">
        <v>227</v>
      </c>
      <c r="C56" s="97">
        <f>C54+C55</f>
        <v>1154</v>
      </c>
      <c r="D56" s="97">
        <f>D54+D55</f>
        <v>1802</v>
      </c>
      <c r="E56" s="97">
        <f>E54+E55</f>
        <v>3172</v>
      </c>
      <c r="F56" s="97">
        <f>F54+F55</f>
        <v>3195</v>
      </c>
      <c r="G56" s="97">
        <f>G54+G55</f>
        <v>9298</v>
      </c>
      <c r="H56" s="114">
        <f>H54+H55</f>
        <v>1551.716872</v>
      </c>
      <c r="I56" s="82"/>
      <c r="J56" s="82"/>
      <c r="K56" s="82"/>
      <c r="L56" s="82"/>
    </row>
    <row r="57">
      <c r="A57" s="82"/>
      <c r="B57" s="87" t="s">
        <v>228</v>
      </c>
      <c r="C57" s="82"/>
      <c r="D57" s="82"/>
      <c r="E57" s="82"/>
      <c r="F57" s="82"/>
      <c r="G57" s="98">
        <f>G53-SUM(C53:F53)</f>
        <v>-27</v>
      </c>
      <c r="H57" s="136"/>
      <c r="I57" s="91" t="s">
        <v>229</v>
      </c>
      <c r="J57" s="82"/>
      <c r="K57" s="82"/>
      <c r="L57" s="82"/>
    </row>
    <row r="58">
      <c r="A58" s="82"/>
      <c r="B58" s="87" t="s">
        <v>230</v>
      </c>
      <c r="C58" s="90">
        <f>'Share Count'!C10</f>
        <v>345</v>
      </c>
      <c r="D58" s="90">
        <f>'Share Count'!D10</f>
        <v>341</v>
      </c>
      <c r="E58" s="90">
        <f>'Share Count'!E10</f>
        <v>342</v>
      </c>
      <c r="F58" s="90">
        <f>'Share Count'!F10</f>
        <v>350</v>
      </c>
      <c r="G58" s="90">
        <f>'Share Count'!G10</f>
        <v>345</v>
      </c>
      <c r="H58" s="120">
        <f>'Share Count'!H10</f>
        <v>359.6898801702128</v>
      </c>
      <c r="I58" s="82"/>
      <c r="J58" s="82"/>
      <c r="K58" s="82"/>
      <c r="L58" s="82"/>
    </row>
    <row r="59">
      <c r="A59" s="82"/>
      <c r="B59" s="87" t="s">
        <v>231</v>
      </c>
      <c r="C59" s="90">
        <f>'Share Count'!C14</f>
        <v>376</v>
      </c>
      <c r="D59" s="90">
        <f>'Share Count'!D14</f>
        <v>381</v>
      </c>
      <c r="E59" s="90">
        <f>'Share Count'!E14</f>
        <v>387</v>
      </c>
      <c r="F59" s="90">
        <f>'Share Count'!F14</f>
        <v>389</v>
      </c>
      <c r="G59" s="90">
        <f>'Share Count'!G14</f>
        <v>383</v>
      </c>
      <c r="H59" s="120">
        <f>'Share Count'!H14</f>
        <v>388</v>
      </c>
      <c r="I59" s="82"/>
      <c r="J59" s="82"/>
      <c r="K59" s="82"/>
      <c r="L59" s="82"/>
    </row>
    <row r="60">
      <c r="A60" s="82"/>
      <c r="B60" s="87" t="s">
        <v>232</v>
      </c>
      <c r="C60" s="105">
        <f>C54/C58</f>
        <v>3.3391304347826085</v>
      </c>
      <c r="D60" s="105">
        <f>D54/D58</f>
        <v>5.2727272727272725</v>
      </c>
      <c r="E60" s="105">
        <f>E54/E58</f>
        <v>9.263157894736842</v>
      </c>
      <c r="F60" s="105">
        <f>F54/F58</f>
        <v>9.128571428571428</v>
      </c>
      <c r="G60" s="105">
        <f>G54/G58</f>
        <v>26.91594202898551</v>
      </c>
      <c r="H60" s="119">
        <f>H54/H58</f>
        <v>4.314040949013342</v>
      </c>
      <c r="I60" s="82"/>
      <c r="J60" s="82"/>
      <c r="K60" s="82"/>
      <c r="L60" s="82"/>
    </row>
    <row r="61">
      <c r="A61" s="82"/>
      <c r="B61" s="89" t="s">
        <v>233</v>
      </c>
      <c r="C61" s="121">
        <f>C56/C59</f>
        <v>3.0691489361702127</v>
      </c>
      <c r="D61" s="121">
        <f>D56/D59</f>
        <v>4.729658792650919</v>
      </c>
      <c r="E61" s="121">
        <f>E56/E59</f>
        <v>8.196382428940568</v>
      </c>
      <c r="F61" s="121">
        <f>F56/F59</f>
        <v>8.2133676092545</v>
      </c>
      <c r="G61" s="121">
        <f>G56/G59</f>
        <v>24.276762402088774</v>
      </c>
      <c r="H61" s="160">
        <f>H56/H59</f>
        <v>3.999270288659794</v>
      </c>
      <c r="I61" s="82"/>
      <c r="J61" s="82"/>
      <c r="K61" s="82"/>
      <c r="L61" s="82"/>
    </row>
    <row r="62">
      <c r="A62" s="82"/>
      <c r="B62" s="99" t="s">
        <v>95</v>
      </c>
      <c r="C62" s="92">
        <f>C61/C150-1</f>
        <v>6.3074974670719355</v>
      </c>
      <c r="D62" s="92">
        <f>D61/D150-1</f>
        <v>2.7241407816148966</v>
      </c>
      <c r="E62" s="92">
        <f>E61/E150-1</f>
        <v>2.8845414355168573</v>
      </c>
      <c r="F62" s="92">
        <f>F61/F150-1</f>
        <v>11.258757625752983</v>
      </c>
      <c r="G62" s="92">
        <f>G61/G150-1</f>
        <v>4.4554522251884885</v>
      </c>
      <c r="H62" s="102">
        <f>H61/H150-1</f>
        <v>0.30305513737962086</v>
      </c>
      <c r="I62" s="82"/>
      <c r="J62" s="82"/>
      <c r="K62" s="82"/>
      <c r="L62" s="82"/>
    </row>
    <row r="63">
      <c r="A63" s="82"/>
      <c r="B63" s="87" t="s">
        <v>234</v>
      </c>
      <c r="C63" s="128">
        <f>Inputs!G108</f>
        <v>3.07</v>
      </c>
      <c r="D63" s="128">
        <f>Inputs!G109</f>
        <v>4.73</v>
      </c>
      <c r="E63" s="128">
        <f>Inputs!G110</f>
        <v>8.2</v>
      </c>
      <c r="F63" s="128">
        <f>Inputs!G111</f>
        <v>8.21</v>
      </c>
      <c r="G63" s="118">
        <v>24.28</v>
      </c>
      <c r="H63" s="136"/>
      <c r="I63" s="91" t="s">
        <v>235</v>
      </c>
      <c r="J63" s="82"/>
      <c r="K63" s="82"/>
      <c r="L63" s="82"/>
    </row>
    <row r="64">
      <c r="A64" s="82"/>
      <c r="B64" s="89" t="s">
        <v>236</v>
      </c>
      <c r="C64" s="115" t="b">
        <f>ROUND(C61,2)=C63</f>
        <v>1</v>
      </c>
      <c r="D64" s="115" t="b">
        <f>ROUND(D61,2)=D63</f>
        <v>1</v>
      </c>
      <c r="E64" s="115" t="b">
        <f>ROUND(E61,2)=E63</f>
        <v>1</v>
      </c>
      <c r="F64" s="115" t="b">
        <f>ROUND(F61,2)=F63</f>
        <v>1</v>
      </c>
      <c r="G64" s="115" t="b">
        <f>ROUND(G61,2)=G63</f>
        <v>1</v>
      </c>
      <c r="H64" s="163" t="b">
        <f>ABS(H61-H56/H59)&lt;0.000001</f>
        <v>1</v>
      </c>
      <c r="I64" s="82"/>
      <c r="J64" s="82"/>
      <c r="K64" s="82"/>
      <c r="L64" s="82"/>
    </row>
    <row r="65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</row>
    <row r="66">
      <c r="A66" s="82"/>
      <c r="B66" s="89" t="s">
        <v>237</v>
      </c>
      <c r="C66" s="82"/>
      <c r="D66" s="82"/>
      <c r="E66" s="82"/>
      <c r="F66" s="82"/>
      <c r="G66" s="82"/>
      <c r="H66" s="82"/>
      <c r="I66" s="91" t="s">
        <v>238</v>
      </c>
      <c r="J66" s="82"/>
      <c r="K66" s="82"/>
      <c r="L66" s="82"/>
    </row>
    <row r="67">
      <c r="A67" s="82"/>
      <c r="B67" s="87" t="s">
        <v>239</v>
      </c>
      <c r="C67" s="98">
        <f>C14</f>
        <v>1227</v>
      </c>
      <c r="D67" s="98">
        <f>D14</f>
        <v>1380</v>
      </c>
      <c r="E67" s="98">
        <f>E14</f>
        <v>1676</v>
      </c>
      <c r="F67" s="98">
        <f>F14</f>
        <v>2028</v>
      </c>
      <c r="G67" s="98">
        <f>G14</f>
        <v>6311</v>
      </c>
      <c r="H67" s="111">
        <f>H14</f>
        <v>2341.5384</v>
      </c>
      <c r="I67" s="82"/>
      <c r="J67" s="82"/>
      <c r="K67" s="82"/>
      <c r="L67" s="82"/>
    </row>
    <row r="68">
      <c r="A68" s="82"/>
      <c r="B68" s="112" t="s">
        <v>240</v>
      </c>
      <c r="C68" s="96">
        <v>9</v>
      </c>
      <c r="D68" s="96">
        <v>8</v>
      </c>
      <c r="E68" s="96">
        <v>9</v>
      </c>
      <c r="F68" s="96">
        <v>7</v>
      </c>
      <c r="G68" s="98">
        <f>SUM(C68:F68)</f>
        <v>33</v>
      </c>
      <c r="H68" s="111">
        <f>H128</f>
        <v>10</v>
      </c>
      <c r="I68" s="91" t="s">
        <v>241</v>
      </c>
      <c r="J68" s="82"/>
      <c r="K68" s="82"/>
      <c r="L68" s="82"/>
    </row>
    <row r="69">
      <c r="A69" s="82"/>
      <c r="B69" s="112" t="s">
        <v>242</v>
      </c>
      <c r="C69" s="96">
        <v>0</v>
      </c>
      <c r="D69" s="96">
        <v>0</v>
      </c>
      <c r="E69" s="96">
        <v>0</v>
      </c>
      <c r="F69" s="96">
        <v>0</v>
      </c>
      <c r="G69" s="98">
        <f>SUM(C69:F69)</f>
        <v>0</v>
      </c>
      <c r="H69" s="125">
        <v>0</v>
      </c>
      <c r="I69" s="82"/>
      <c r="J69" s="82"/>
      <c r="K69" s="82"/>
      <c r="L69" s="82"/>
    </row>
    <row r="70">
      <c r="A70" s="82"/>
      <c r="B70" s="112" t="s">
        <v>243</v>
      </c>
      <c r="C70" s="96">
        <v>1</v>
      </c>
      <c r="D70" s="96">
        <v>3</v>
      </c>
      <c r="E70" s="96">
        <v>-1</v>
      </c>
      <c r="F70" s="96">
        <v>2</v>
      </c>
      <c r="G70" s="98">
        <f>SUM(C70:F70)</f>
        <v>5</v>
      </c>
      <c r="H70" s="125">
        <v>0</v>
      </c>
      <c r="I70" s="82"/>
      <c r="J70" s="82"/>
      <c r="K70" s="82"/>
      <c r="L70" s="82"/>
    </row>
    <row r="71">
      <c r="A71" s="82"/>
      <c r="B71" s="89" t="s">
        <v>244</v>
      </c>
      <c r="C71" s="97">
        <f>SUM(C67:C70)</f>
        <v>1237</v>
      </c>
      <c r="D71" s="97">
        <f>SUM(D67:D70)</f>
        <v>1391</v>
      </c>
      <c r="E71" s="97">
        <f>SUM(E67:E70)</f>
        <v>1684</v>
      </c>
      <c r="F71" s="97">
        <f>SUM(F67:F70)</f>
        <v>2037</v>
      </c>
      <c r="G71" s="97">
        <f>SUM(G67:G70)</f>
        <v>6349</v>
      </c>
      <c r="H71" s="114">
        <f>SUM(H67:H70)</f>
        <v>2351.5384</v>
      </c>
      <c r="I71" s="82"/>
      <c r="J71" s="82"/>
      <c r="K71" s="82"/>
      <c r="L71" s="82"/>
    </row>
    <row r="72">
      <c r="A72" s="82"/>
      <c r="B72" s="99" t="s">
        <v>245</v>
      </c>
      <c r="C72" s="92">
        <f>C71/C10</f>
        <v>0.43896380411639463</v>
      </c>
      <c r="D72" s="92">
        <f>D71/D10</f>
        <v>0.4610540271793172</v>
      </c>
      <c r="E72" s="92">
        <f>E71/E10</f>
        <v>0.5046448906203177</v>
      </c>
      <c r="F72" s="92">
        <f>F71/F10</f>
        <v>0.5436349079263411</v>
      </c>
      <c r="G72" s="92">
        <f>G71/G10</f>
        <v>0.49144670640142424</v>
      </c>
      <c r="H72" s="102">
        <f>H71/H10</f>
        <v>0.563</v>
      </c>
      <c r="I72" s="82"/>
      <c r="J72" s="82"/>
      <c r="K72" s="82"/>
      <c r="L72" s="82"/>
    </row>
    <row r="73">
      <c r="A73" s="82"/>
      <c r="B73" s="107" t="s">
        <v>133</v>
      </c>
      <c r="C73" s="94">
        <f>(C71/C10-C151/C146)*10000</f>
        <v>655.4608259740729</v>
      </c>
      <c r="D73" s="94">
        <f>(D71/D10-D151/D146)*10000</f>
        <v>766.6216333539854</v>
      </c>
      <c r="E73" s="94">
        <f>(E71/E10-E151/E146)*10000</f>
        <v>1035.9868312249732</v>
      </c>
      <c r="F73" s="94">
        <f>(F71/F10-F151/F146)*10000</f>
        <v>1301.992073505253</v>
      </c>
      <c r="G73" s="94">
        <f>(G71/G10-G151/G146)*10000</f>
        <v>976.4418539302089</v>
      </c>
      <c r="H73" s="135">
        <f>(H71/H10-H151/H146)*10000</f>
        <v>1240.3619588360532</v>
      </c>
      <c r="I73" s="82"/>
      <c r="J73" s="82"/>
      <c r="K73" s="82"/>
      <c r="L73" s="82"/>
    </row>
    <row r="74">
      <c r="A74" s="82"/>
      <c r="B74" s="107" t="s">
        <v>134</v>
      </c>
      <c r="C74" s="94">
        <f>(C72-F151/F146)*10000</f>
        <v>255.28103540578883</v>
      </c>
      <c r="D74" s="94">
        <f>(D72-C72)*10000</f>
        <v>220.90223062922576</v>
      </c>
      <c r="E74" s="94">
        <f>(E72-D72)*10000</f>
        <v>435.90863441000494</v>
      </c>
      <c r="F74" s="94">
        <f>(F72-E72)*10000</f>
        <v>389.9001730602336</v>
      </c>
      <c r="G74" s="94" t="s">
        <v>42</v>
      </c>
      <c r="H74" s="135">
        <f>(H72-F72)*10000</f>
        <v>193.65092073658886</v>
      </c>
      <c r="I74" s="82"/>
      <c r="J74" s="82"/>
      <c r="K74" s="82"/>
      <c r="L74" s="82"/>
    </row>
    <row r="75">
      <c r="A75" s="82"/>
      <c r="B75" s="87" t="s">
        <v>246</v>
      </c>
      <c r="C75" s="98">
        <f>C23</f>
        <v>435</v>
      </c>
      <c r="D75" s="98">
        <f>D23</f>
        <v>472</v>
      </c>
      <c r="E75" s="98">
        <f>E23</f>
        <v>486</v>
      </c>
      <c r="F75" s="98">
        <f>F23</f>
        <v>465</v>
      </c>
      <c r="G75" s="98">
        <f>G23</f>
        <v>1858</v>
      </c>
      <c r="H75" s="111">
        <f>H23</f>
        <v>457</v>
      </c>
      <c r="I75" s="82"/>
      <c r="J75" s="82"/>
      <c r="K75" s="82"/>
      <c r="L75" s="82"/>
    </row>
    <row r="76">
      <c r="A76" s="82"/>
      <c r="B76" s="112" t="s">
        <v>247</v>
      </c>
      <c r="C76" s="96">
        <v>-44</v>
      </c>
      <c r="D76" s="96">
        <v>-45</v>
      </c>
      <c r="E76" s="96">
        <v>-44</v>
      </c>
      <c r="F76" s="96">
        <v>-38</v>
      </c>
      <c r="G76" s="98">
        <f>SUM(C76:F76)</f>
        <v>-171</v>
      </c>
      <c r="H76" s="111">
        <f>-H131</f>
        <v>-60</v>
      </c>
      <c r="I76" s="91" t="s">
        <v>248</v>
      </c>
      <c r="J76" s="82"/>
      <c r="K76" s="82"/>
      <c r="L76" s="82"/>
    </row>
    <row r="77">
      <c r="A77" s="82"/>
      <c r="B77" s="112" t="s">
        <v>249</v>
      </c>
      <c r="C77" s="96">
        <v>0</v>
      </c>
      <c r="D77" s="96">
        <v>0</v>
      </c>
      <c r="E77" s="96">
        <v>0</v>
      </c>
      <c r="F77" s="96">
        <v>0</v>
      </c>
      <c r="G77" s="98">
        <f>SUM(C77:F77)</f>
        <v>0</v>
      </c>
      <c r="H77" s="125">
        <v>0</v>
      </c>
      <c r="I77" s="82"/>
      <c r="J77" s="82"/>
      <c r="K77" s="82"/>
      <c r="L77" s="82"/>
    </row>
    <row r="78">
      <c r="A78" s="82"/>
      <c r="B78" s="112" t="s">
        <v>250</v>
      </c>
      <c r="C78" s="96">
        <v>-3</v>
      </c>
      <c r="D78" s="96">
        <v>-52</v>
      </c>
      <c r="E78" s="96">
        <v>-40</v>
      </c>
      <c r="F78" s="96">
        <v>-42</v>
      </c>
      <c r="G78" s="98">
        <f>SUM(C78:F78)</f>
        <v>-137</v>
      </c>
      <c r="H78" s="111">
        <f>-H134</f>
        <v>0</v>
      </c>
      <c r="I78" s="82"/>
      <c r="J78" s="82"/>
      <c r="K78" s="82"/>
      <c r="L78" s="82"/>
    </row>
    <row r="79">
      <c r="A79" s="82"/>
      <c r="B79" s="112" t="s">
        <v>251</v>
      </c>
      <c r="C79" s="96">
        <v>-7</v>
      </c>
      <c r="D79" s="96">
        <v>-3</v>
      </c>
      <c r="E79" s="96">
        <v>-5</v>
      </c>
      <c r="F79" s="96">
        <v>-3</v>
      </c>
      <c r="G79" s="98">
        <f>SUM(C79:F79)</f>
        <v>-18</v>
      </c>
      <c r="H79" s="125">
        <v>0</v>
      </c>
      <c r="I79" s="91" t="s">
        <v>252</v>
      </c>
      <c r="J79" s="82"/>
      <c r="K79" s="82"/>
      <c r="L79" s="82"/>
    </row>
    <row r="80">
      <c r="A80" s="82"/>
      <c r="B80" s="89" t="s">
        <v>253</v>
      </c>
      <c r="C80" s="97">
        <f>SUM(C75:C79)</f>
        <v>381</v>
      </c>
      <c r="D80" s="97">
        <f>SUM(D75:D79)</f>
        <v>372</v>
      </c>
      <c r="E80" s="97">
        <f>SUM(E75:E79)</f>
        <v>397</v>
      </c>
      <c r="F80" s="97">
        <f>SUM(F75:F79)</f>
        <v>382</v>
      </c>
      <c r="G80" s="97">
        <f>SUM(G75:G79)</f>
        <v>1532</v>
      </c>
      <c r="H80" s="114">
        <f>SUM(H75:H79)</f>
        <v>397</v>
      </c>
      <c r="I80" s="82"/>
      <c r="J80" s="82"/>
      <c r="K80" s="82"/>
      <c r="L80" s="82"/>
    </row>
    <row r="81">
      <c r="A81" s="82"/>
      <c r="B81" s="99" t="s">
        <v>254</v>
      </c>
      <c r="C81" s="92">
        <f>C80/C10</f>
        <v>0.13520227111426544</v>
      </c>
      <c r="D81" s="92">
        <f>D80/D10</f>
        <v>0.12330129267484256</v>
      </c>
      <c r="E81" s="92">
        <f>E80/E10</f>
        <v>0.11896913395265209</v>
      </c>
      <c r="F81" s="92">
        <f>F80/F10</f>
        <v>0.10194822524686416</v>
      </c>
      <c r="G81" s="92">
        <f>G80/G10</f>
        <v>0.11858502980106819</v>
      </c>
      <c r="H81" s="102">
        <f>H80/H10</f>
        <v>0.09504884121815743</v>
      </c>
      <c r="I81" s="82"/>
      <c r="J81" s="82"/>
      <c r="K81" s="82"/>
      <c r="L81" s="82"/>
    </row>
    <row r="82">
      <c r="A82" s="82"/>
      <c r="B82" s="107" t="s">
        <v>133</v>
      </c>
      <c r="C82" s="94">
        <f>(C80/C10-C152/C146)*10000</f>
        <v>-542.1906704124993</v>
      </c>
      <c r="D82" s="94">
        <f>(D80/D10-D152/D146)*10000</f>
        <v>-157.6055871577596</v>
      </c>
      <c r="E82" s="94">
        <f>(E80/E10-E152/E146)*10000</f>
        <v>-222.68878253102045</v>
      </c>
      <c r="F82" s="94">
        <f>(F80/F10-F152/F146)*10000</f>
        <v>-304.8939471474814</v>
      </c>
      <c r="G82" s="94">
        <f>(G80/G10-G152/G146)*10000</f>
        <v>-308.8976011489819</v>
      </c>
      <c r="H82" s="135">
        <f>(H80/H10-H152/H146)*10000</f>
        <v>-401.53429896108014</v>
      </c>
      <c r="I82" s="82"/>
      <c r="J82" s="82"/>
      <c r="K82" s="82"/>
      <c r="L82" s="82"/>
    </row>
    <row r="83">
      <c r="A83" s="82"/>
      <c r="B83" s="107" t="s">
        <v>134</v>
      </c>
      <c r="C83" s="94">
        <f>(C80/C10-F152/F146)*10000</f>
        <v>27.64651152653147</v>
      </c>
      <c r="D83" s="94">
        <f>(D80/D10-C80/C10)*10000</f>
        <v>-119.0097843942288</v>
      </c>
      <c r="E83" s="94">
        <f>(E80/E10-D80/D10)*10000</f>
        <v>-43.321587221904764</v>
      </c>
      <c r="F83" s="94">
        <f>(F80/F10-E80/E10)*10000</f>
        <v>-170.2090870578793</v>
      </c>
      <c r="G83" s="94" t="s">
        <v>42</v>
      </c>
      <c r="H83" s="135">
        <f>(H80/H10-F80/F10)*10000</f>
        <v>-68.99384028706726</v>
      </c>
      <c r="I83" s="82"/>
      <c r="J83" s="82"/>
      <c r="K83" s="82"/>
      <c r="L83" s="82"/>
    </row>
    <row r="84">
      <c r="A84" s="82"/>
      <c r="B84" s="99" t="s">
        <v>255</v>
      </c>
      <c r="C84" s="92">
        <f>C80/C152-1</f>
        <v>-0.09069212410501193</v>
      </c>
      <c r="D84" s="92">
        <f>D80/D152-1</f>
        <v>0.11044776119402977</v>
      </c>
      <c r="E84" s="92">
        <f>E80/E152-1</f>
        <v>0.22530864197530853</v>
      </c>
      <c r="F84" s="92">
        <f>F80/F152-1</f>
        <v>0.1072463768115941</v>
      </c>
      <c r="G84" s="92">
        <f>G80/G152-1</f>
        <v>0.07659873506676029</v>
      </c>
      <c r="H84" s="102">
        <f>H80/H152-1</f>
        <v>0.04199475065616798</v>
      </c>
      <c r="I84" s="82"/>
      <c r="J84" s="82"/>
      <c r="K84" s="82"/>
      <c r="L84" s="82"/>
    </row>
    <row r="85">
      <c r="A85" s="82"/>
      <c r="B85" s="89" t="s">
        <v>256</v>
      </c>
      <c r="C85" s="97">
        <f>C71-C80</f>
        <v>856</v>
      </c>
      <c r="D85" s="97">
        <f>D71-D80</f>
        <v>1019</v>
      </c>
      <c r="E85" s="97">
        <f>E71-E80</f>
        <v>1287</v>
      </c>
      <c r="F85" s="97">
        <f>F71-F80</f>
        <v>1655</v>
      </c>
      <c r="G85" s="97">
        <f>G71-G80</f>
        <v>4817</v>
      </c>
      <c r="H85" s="114">
        <f>H71-H80</f>
        <v>1954.5384</v>
      </c>
      <c r="I85" s="82"/>
      <c r="J85" s="82"/>
      <c r="K85" s="82"/>
      <c r="L85" s="82"/>
    </row>
    <row r="86">
      <c r="A86" s="82"/>
      <c r="B86" s="99" t="s">
        <v>257</v>
      </c>
      <c r="C86" s="92">
        <f>C85/C10</f>
        <v>0.30376153300212916</v>
      </c>
      <c r="D86" s="92">
        <f>D85/D10</f>
        <v>0.3377527345044746</v>
      </c>
      <c r="E86" s="92">
        <f>E85/E10</f>
        <v>0.38567575666766557</v>
      </c>
      <c r="F86" s="92">
        <f>F85/F10</f>
        <v>0.4416866826794769</v>
      </c>
      <c r="G86" s="92">
        <f>G85/G10</f>
        <v>0.3728616766003561</v>
      </c>
      <c r="H86" s="102">
        <f>H85/H10</f>
        <v>0.4679511587818425</v>
      </c>
      <c r="I86" s="82"/>
      <c r="J86" s="82"/>
      <c r="K86" s="82"/>
      <c r="L86" s="82"/>
    </row>
    <row r="87">
      <c r="A87" s="82"/>
      <c r="B87" s="107" t="s">
        <v>133</v>
      </c>
      <c r="C87" s="94">
        <f>(C85/C10-C153/C146)*10000</f>
        <v>1197.651496386572</v>
      </c>
      <c r="D87" s="94">
        <f>(D85/D10-D153/D146)*10000</f>
        <v>924.2272205117449</v>
      </c>
      <c r="E87" s="94">
        <f>(E85/E10-E153/E146)*10000</f>
        <v>1258.6756137559928</v>
      </c>
      <c r="F87" s="94">
        <f>(F85/F10-F153/F146)*10000</f>
        <v>1606.8860206527347</v>
      </c>
      <c r="G87" s="94">
        <f>(G85/G10-G153/G146)*10000</f>
        <v>1285.339455079191</v>
      </c>
      <c r="H87" s="135">
        <f>(H85/H10-H153/H146)*10000</f>
        <v>1641.8962577971336</v>
      </c>
      <c r="I87" s="82"/>
      <c r="J87" s="82"/>
      <c r="K87" s="82"/>
      <c r="L87" s="82"/>
    </row>
    <row r="88">
      <c r="A88" s="82"/>
      <c r="B88" s="107" t="s">
        <v>134</v>
      </c>
      <c r="C88" s="94">
        <f>(C85/C10-F153/F146)*10000</f>
        <v>227.6345238792571</v>
      </c>
      <c r="D88" s="94">
        <f>(D85/D10-C85/C10)*10000</f>
        <v>339.91201502345467</v>
      </c>
      <c r="E88" s="94">
        <f>(E85/E10-D85/D10)*10000</f>
        <v>479.23022163190944</v>
      </c>
      <c r="F88" s="94">
        <f>(F85/F10-E85/E10)*10000</f>
        <v>560.1092601181134</v>
      </c>
      <c r="G88" s="94" t="s">
        <v>42</v>
      </c>
      <c r="H88" s="135">
        <f>(H85/H10-F85/F10)*10000</f>
        <v>262.644761023656</v>
      </c>
      <c r="I88" s="82"/>
      <c r="J88" s="82"/>
      <c r="K88" s="82"/>
      <c r="L88" s="82"/>
    </row>
    <row r="89">
      <c r="A89" s="82"/>
      <c r="B89" s="99" t="s">
        <v>258</v>
      </c>
      <c r="C89" s="92">
        <f>C85/C153-1</f>
        <v>1.1031941031941033</v>
      </c>
      <c r="D89" s="92">
        <f>D85/D153-1</f>
        <v>0.72419627749577</v>
      </c>
      <c r="E89" s="92">
        <f>E85/E153-1</f>
        <v>1.1593959731543624</v>
      </c>
      <c r="F89" s="92">
        <f>F85/F153-1</f>
        <v>1.260928961748634</v>
      </c>
      <c r="G89" s="92">
        <f>G85/G153-1</f>
        <v>1.0709372312983665</v>
      </c>
      <c r="H89" s="102">
        <f>H85/H153-1</f>
        <v>1.2833392523364484</v>
      </c>
      <c r="I89" s="82"/>
      <c r="J89" s="82"/>
      <c r="K89" s="82"/>
      <c r="L89" s="82"/>
    </row>
    <row r="90">
      <c r="A90" s="82"/>
      <c r="B90" s="87" t="s">
        <v>259</v>
      </c>
      <c r="C90" s="98">
        <f>C40</f>
        <v>545</v>
      </c>
      <c r="D90" s="98">
        <f>D40</f>
        <v>1054</v>
      </c>
      <c r="E90" s="98">
        <f>E40</f>
        <v>2169</v>
      </c>
      <c r="F90" s="98">
        <f>F40</f>
        <v>1684</v>
      </c>
      <c r="G90" s="98">
        <f>G40</f>
        <v>5452</v>
      </c>
      <c r="H90" s="111">
        <f>H40</f>
        <v>-15</v>
      </c>
      <c r="I90" s="82"/>
      <c r="J90" s="82"/>
      <c r="K90" s="82"/>
      <c r="L90" s="82"/>
    </row>
    <row r="91">
      <c r="A91" s="82"/>
      <c r="B91" s="112" t="s">
        <v>260</v>
      </c>
      <c r="C91" s="98">
        <f>-C35</f>
        <v>-611</v>
      </c>
      <c r="D91" s="98">
        <f>-D35</f>
        <v>-1103</v>
      </c>
      <c r="E91" s="98">
        <f>-E35</f>
        <v>-2734</v>
      </c>
      <c r="F91" s="98">
        <f>-F35</f>
        <v>-2050</v>
      </c>
      <c r="G91" s="98">
        <f>SUM(C91:F91)</f>
        <v>-6498</v>
      </c>
      <c r="H91" s="181">
        <f>-H35</f>
        <v>0</v>
      </c>
      <c r="I91" s="82"/>
      <c r="J91" s="82"/>
      <c r="K91" s="82"/>
      <c r="L91" s="82"/>
    </row>
    <row r="92">
      <c r="A92" s="82"/>
      <c r="B92" s="112" t="s">
        <v>261</v>
      </c>
      <c r="C92" s="98">
        <f>-(C36+C37+C38)</f>
        <v>0</v>
      </c>
      <c r="D92" s="98">
        <f>-(D36+D37+D38)</f>
        <v>0</v>
      </c>
      <c r="E92" s="98">
        <f>-(E36+E37+E38)</f>
        <v>545</v>
      </c>
      <c r="F92" s="98">
        <f>-(F36+F37+F38)</f>
        <v>362</v>
      </c>
      <c r="G92" s="98">
        <f>SUM(C92:F92)</f>
        <v>907</v>
      </c>
      <c r="H92" s="111">
        <f>-(H36+H37+H38)</f>
        <v>0</v>
      </c>
      <c r="I92" s="82"/>
      <c r="J92" s="82"/>
      <c r="K92" s="82"/>
      <c r="L92" s="82"/>
    </row>
    <row r="93">
      <c r="A93" s="82"/>
      <c r="B93" s="112" t="s">
        <v>262</v>
      </c>
      <c r="C93" s="96">
        <v>22</v>
      </c>
      <c r="D93" s="96">
        <v>4</v>
      </c>
      <c r="E93" s="96">
        <v>-4</v>
      </c>
      <c r="F93" s="96">
        <v>-6</v>
      </c>
      <c r="G93" s="98">
        <f>SUM(C93:F93)</f>
        <v>16</v>
      </c>
      <c r="H93" s="125">
        <v>0</v>
      </c>
      <c r="I93" s="82"/>
      <c r="J93" s="82"/>
      <c r="K93" s="82"/>
      <c r="L93" s="82"/>
    </row>
    <row r="94">
      <c r="A94" s="82"/>
      <c r="B94" s="89" t="s">
        <v>263</v>
      </c>
      <c r="C94" s="97">
        <f>SUM(C90:C93)</f>
        <v>-44</v>
      </c>
      <c r="D94" s="97">
        <f>SUM(D90:D93)</f>
        <v>-45</v>
      </c>
      <c r="E94" s="97">
        <f>SUM(E90:E93)</f>
        <v>-24</v>
      </c>
      <c r="F94" s="97">
        <f>SUM(F90:F93)</f>
        <v>-10</v>
      </c>
      <c r="G94" s="97">
        <f>SUM(G90:G93)</f>
        <v>-123</v>
      </c>
      <c r="H94" s="114">
        <f>SUM(H90:H93)</f>
        <v>-15</v>
      </c>
      <c r="I94" s="82"/>
      <c r="J94" s="82"/>
      <c r="K94" s="82"/>
      <c r="L94" s="82"/>
    </row>
    <row r="95">
      <c r="A95" s="82"/>
      <c r="B95" s="89" t="s">
        <v>264</v>
      </c>
      <c r="C95" s="97">
        <f>C85+C94</f>
        <v>812</v>
      </c>
      <c r="D95" s="97">
        <f>D85+D94</f>
        <v>974</v>
      </c>
      <c r="E95" s="97">
        <f>E85+E94</f>
        <v>1263</v>
      </c>
      <c r="F95" s="97">
        <f>F85+F94</f>
        <v>1645</v>
      </c>
      <c r="G95" s="97">
        <f>G85+G94</f>
        <v>4694</v>
      </c>
      <c r="H95" s="114">
        <f>H85+H94</f>
        <v>1939.5384</v>
      </c>
      <c r="I95" s="82"/>
      <c r="J95" s="82"/>
      <c r="K95" s="82"/>
      <c r="L95" s="82"/>
    </row>
    <row r="96">
      <c r="A96" s="82"/>
      <c r="B96" s="87" t="s">
        <v>265</v>
      </c>
      <c r="C96" s="98">
        <f>C42</f>
        <v>155</v>
      </c>
      <c r="D96" s="98">
        <f>D42</f>
        <v>120</v>
      </c>
      <c r="E96" s="98">
        <f>E42</f>
        <v>154</v>
      </c>
      <c r="F96" s="98">
        <f>F42</f>
        <v>52</v>
      </c>
      <c r="G96" s="98">
        <f>G42</f>
        <v>481</v>
      </c>
      <c r="H96" s="111">
        <f>H42</f>
        <v>317.82152800000006</v>
      </c>
      <c r="I96" s="82"/>
      <c r="J96" s="82"/>
      <c r="K96" s="82"/>
      <c r="L96" s="82"/>
    </row>
    <row r="97">
      <c r="A97" s="82"/>
      <c r="B97" s="112" t="s">
        <v>266</v>
      </c>
      <c r="C97" s="96">
        <v>-16</v>
      </c>
      <c r="D97" s="96">
        <v>27</v>
      </c>
      <c r="E97" s="96">
        <v>48</v>
      </c>
      <c r="F97" s="96">
        <v>211</v>
      </c>
      <c r="G97" s="98">
        <f>SUM(C97:F97)</f>
        <v>270</v>
      </c>
      <c r="H97" s="111">
        <f>H125*(H128+H131+H134+H137)</f>
        <v>11.9</v>
      </c>
      <c r="I97" s="91" t="s">
        <v>267</v>
      </c>
      <c r="J97" s="82"/>
      <c r="K97" s="82"/>
      <c r="L97" s="82"/>
    </row>
    <row r="98">
      <c r="A98" s="82"/>
      <c r="B98" s="89" t="s">
        <v>268</v>
      </c>
      <c r="C98" s="97">
        <f>C96+C97</f>
        <v>139</v>
      </c>
      <c r="D98" s="97">
        <f>D96+D97</f>
        <v>147</v>
      </c>
      <c r="E98" s="97">
        <f>E96+E97</f>
        <v>202</v>
      </c>
      <c r="F98" s="97">
        <f>F96+F97</f>
        <v>263</v>
      </c>
      <c r="G98" s="97">
        <f>G96+G97</f>
        <v>751</v>
      </c>
      <c r="H98" s="114">
        <f>H95*H125</f>
        <v>329.72152800000003</v>
      </c>
      <c r="I98" s="91" t="s">
        <v>269</v>
      </c>
      <c r="J98" s="82"/>
      <c r="K98" s="82"/>
      <c r="L98" s="82"/>
    </row>
    <row r="99">
      <c r="A99" s="82"/>
      <c r="B99" s="99" t="s">
        <v>270</v>
      </c>
      <c r="C99" s="92">
        <f>C98/C95</f>
        <v>0.17118226600985223</v>
      </c>
      <c r="D99" s="92">
        <f>D98/D95</f>
        <v>0.15092402464065707</v>
      </c>
      <c r="E99" s="92">
        <f>E98/E95</f>
        <v>0.15993665874901028</v>
      </c>
      <c r="F99" s="92">
        <f>F98/F95</f>
        <v>0.15987841945288753</v>
      </c>
      <c r="G99" s="92">
        <f>G98/G95</f>
        <v>0.15999147848317</v>
      </c>
      <c r="H99" s="102">
        <f>H98/H95</f>
        <v>0.17</v>
      </c>
      <c r="I99" s="82"/>
      <c r="J99" s="82"/>
      <c r="K99" s="82"/>
      <c r="L99" s="82"/>
    </row>
    <row r="100">
      <c r="A100" s="82"/>
      <c r="B100" s="107" t="s">
        <v>133</v>
      </c>
      <c r="C100" s="94">
        <f>(C98/C95-C162/C167)*10000</f>
        <v>113.07657859382009</v>
      </c>
      <c r="D100" s="94">
        <f>(D98/D95-D162/D167)*10000</f>
        <v>112.03465758421544</v>
      </c>
      <c r="E100" s="94">
        <f>(E98/E95-E162/E167)*10000</f>
        <v>1364.9915874901028</v>
      </c>
      <c r="F100" s="94">
        <f>(F98/F95-F162/F167)*10000</f>
        <v>672.3136062935811</v>
      </c>
      <c r="G100" s="94">
        <f>(G98/G95-G162/G167)*10000</f>
        <v>625.7597152491951</v>
      </c>
      <c r="H100" s="135">
        <f>(H98/H95-H162/H167)*10000</f>
        <v>-11.822660098522174</v>
      </c>
      <c r="I100" s="82"/>
      <c r="J100" s="82"/>
      <c r="K100" s="82"/>
      <c r="L100" s="82"/>
    </row>
    <row r="101">
      <c r="A101" s="82"/>
      <c r="B101" s="107" t="s">
        <v>134</v>
      </c>
      <c r="C101" s="94">
        <f>(C98/C95-F162/F167)*10000</f>
        <v>785.3520718632282</v>
      </c>
      <c r="D101" s="94">
        <f>(D98/D95-C98/C95)*10000</f>
        <v>-202.58241369195156</v>
      </c>
      <c r="E101" s="94">
        <f>(E98/E95-D98/D95)*10000</f>
        <v>90.12634108353207</v>
      </c>
      <c r="F101" s="94">
        <f>(F98/F95-E98/E95)*10000</f>
        <v>-0.5823929612275291</v>
      </c>
      <c r="G101" s="94" t="s">
        <v>42</v>
      </c>
      <c r="H101" s="135">
        <f>(H98/H95-F98/F95)*10000</f>
        <v>101.21580547112485</v>
      </c>
      <c r="I101" s="82"/>
      <c r="J101" s="82"/>
      <c r="K101" s="82"/>
      <c r="L101" s="82"/>
    </row>
    <row r="102">
      <c r="A102" s="82"/>
      <c r="B102" s="89" t="s">
        <v>271</v>
      </c>
      <c r="C102" s="97">
        <f>C95-C98</f>
        <v>673</v>
      </c>
      <c r="D102" s="97">
        <f>D95-D98</f>
        <v>827</v>
      </c>
      <c r="E102" s="97">
        <f>E95-E98</f>
        <v>1061</v>
      </c>
      <c r="F102" s="97">
        <f>F95-F98</f>
        <v>1382</v>
      </c>
      <c r="G102" s="97">
        <f>G95-G98</f>
        <v>3943</v>
      </c>
      <c r="H102" s="114">
        <f>H95-H98</f>
        <v>1609.8168719999999</v>
      </c>
      <c r="I102" s="82"/>
      <c r="J102" s="82"/>
      <c r="K102" s="82"/>
      <c r="L102" s="82"/>
    </row>
    <row r="103">
      <c r="A103" s="82"/>
      <c r="B103" s="87" t="s">
        <v>272</v>
      </c>
      <c r="C103" s="96">
        <v>-18</v>
      </c>
      <c r="D103" s="96">
        <v>-20</v>
      </c>
      <c r="E103" s="96">
        <v>-13</v>
      </c>
      <c r="F103" s="96">
        <v>0</v>
      </c>
      <c r="G103" s="96">
        <v>-60</v>
      </c>
      <c r="H103" s="125">
        <v>0</v>
      </c>
      <c r="I103" s="91" t="s">
        <v>273</v>
      </c>
      <c r="J103" s="82"/>
      <c r="K103" s="82"/>
      <c r="L103" s="82"/>
    </row>
    <row r="104">
      <c r="A104" s="82"/>
      <c r="B104" s="89" t="s">
        <v>274</v>
      </c>
      <c r="C104" s="97">
        <f>C102+C103</f>
        <v>655</v>
      </c>
      <c r="D104" s="97">
        <f>D102+D103</f>
        <v>807</v>
      </c>
      <c r="E104" s="97">
        <f>E102+E103</f>
        <v>1048</v>
      </c>
      <c r="F104" s="97">
        <f>F102+F103</f>
        <v>1382</v>
      </c>
      <c r="G104" s="97">
        <f>G102+G103</f>
        <v>3883</v>
      </c>
      <c r="H104" s="114">
        <f>H102+H103</f>
        <v>1609.8168719999999</v>
      </c>
      <c r="I104" s="91" t="s">
        <v>275</v>
      </c>
      <c r="J104" s="82"/>
      <c r="K104" s="82"/>
      <c r="L104" s="82"/>
    </row>
    <row r="105">
      <c r="A105" s="82"/>
      <c r="B105" s="99" t="s">
        <v>95</v>
      </c>
      <c r="C105" s="92">
        <f>C104/C154-1</f>
        <v>1.5</v>
      </c>
      <c r="D105" s="92">
        <f>D104/D154-1</f>
        <v>0.9214285714285715</v>
      </c>
      <c r="E105" s="92">
        <f>E104/E154-1</f>
        <v>1.1519507186858315</v>
      </c>
      <c r="F105" s="92">
        <f>F104/F154-1</f>
        <v>1.3033333333333332</v>
      </c>
      <c r="G105" s="92">
        <f>G104/G154-1</f>
        <v>1.196266968325792</v>
      </c>
      <c r="H105" s="102">
        <f>H104/H154-1</f>
        <v>1.457735682442748</v>
      </c>
      <c r="I105" s="82"/>
      <c r="J105" s="82"/>
      <c r="K105" s="82"/>
      <c r="L105" s="82"/>
    </row>
    <row r="106">
      <c r="A106" s="82"/>
      <c r="B106" s="87" t="s">
        <v>276</v>
      </c>
      <c r="C106" s="90">
        <f>'Share Count'!C20</f>
        <v>369</v>
      </c>
      <c r="D106" s="90">
        <f>'Share Count'!D20</f>
        <v>378</v>
      </c>
      <c r="E106" s="90">
        <f>'Share Count'!E20</f>
        <v>385</v>
      </c>
      <c r="F106" s="90">
        <f>'Share Count'!F20</f>
        <v>388</v>
      </c>
      <c r="G106" s="90">
        <f>'Share Count'!G20</f>
        <v>380</v>
      </c>
      <c r="H106" s="120">
        <f>'Share Count'!H20</f>
        <v>388</v>
      </c>
      <c r="I106" s="82"/>
      <c r="J106" s="82"/>
      <c r="K106" s="82"/>
      <c r="L106" s="82"/>
    </row>
    <row r="107">
      <c r="A107" s="82"/>
      <c r="B107" s="89" t="s">
        <v>277</v>
      </c>
      <c r="C107" s="161">
        <f>C104/C106</f>
        <v>1.7750677506775068</v>
      </c>
      <c r="D107" s="161">
        <f>D104/D106</f>
        <v>2.134920634920635</v>
      </c>
      <c r="E107" s="161">
        <f>E104/E106</f>
        <v>2.722077922077922</v>
      </c>
      <c r="F107" s="161">
        <f>F104/F106</f>
        <v>3.5618556701030926</v>
      </c>
      <c r="G107" s="161">
        <f>G104/G106</f>
        <v>10.218421052631578</v>
      </c>
      <c r="H107" s="164">
        <f>H104/H106</f>
        <v>4.149012556701031</v>
      </c>
      <c r="I107" s="82"/>
      <c r="J107" s="82"/>
      <c r="K107" s="82"/>
      <c r="L107" s="82"/>
    </row>
    <row r="108">
      <c r="A108" s="82"/>
      <c r="B108" s="99" t="s">
        <v>95</v>
      </c>
      <c r="C108" s="92">
        <f>C107/C155-1</f>
        <v>1.3667570009033425</v>
      </c>
      <c r="D108" s="92">
        <f>D107/D155-1</f>
        <v>0.7791005291005291</v>
      </c>
      <c r="E108" s="92">
        <f>E107/E155-1</f>
        <v>0.9725202333897989</v>
      </c>
      <c r="F108" s="92">
        <f>F107/F155-1</f>
        <v>1.0952092177077017</v>
      </c>
      <c r="G108" s="92">
        <f>G107/G155-1</f>
        <v>1.0355420423568882</v>
      </c>
      <c r="H108" s="102">
        <f>H107/H155-1</f>
        <v>1.3373826464468404</v>
      </c>
      <c r="I108" s="82"/>
      <c r="J108" s="82"/>
      <c r="K108" s="82"/>
      <c r="L108" s="82"/>
    </row>
    <row r="109">
      <c r="A109" s="82"/>
      <c r="B109" s="99" t="s">
        <v>96</v>
      </c>
      <c r="C109" s="92">
        <f>C107/F155-1</f>
        <v>0.0441575003985335</v>
      </c>
      <c r="D109" s="92">
        <f>D107/C107-1</f>
        <v>0.20272628135223547</v>
      </c>
      <c r="E109" s="92">
        <f>E107/D107-1</f>
        <v>0.2750253464008112</v>
      </c>
      <c r="F109" s="92">
        <f>F107/E107-1</f>
        <v>0.30850613834894136</v>
      </c>
      <c r="G109" s="92" t="s">
        <v>42</v>
      </c>
      <c r="H109" s="102">
        <f>H107/F107-1</f>
        <v>0.16484578292329966</v>
      </c>
      <c r="I109" s="82"/>
      <c r="J109" s="82"/>
      <c r="K109" s="82"/>
      <c r="L109" s="82"/>
    </row>
    <row r="110">
      <c r="A110" s="82"/>
      <c r="B110" s="87" t="s">
        <v>278</v>
      </c>
      <c r="C110" s="128">
        <f>Inputs!E108</f>
        <v>1.78</v>
      </c>
      <c r="D110" s="128">
        <f>Inputs!E109</f>
        <v>2.13</v>
      </c>
      <c r="E110" s="128">
        <f>Inputs!E110</f>
        <v>2.72</v>
      </c>
      <c r="F110" s="128">
        <f>Inputs!E111</f>
        <v>3.56</v>
      </c>
      <c r="G110" s="118">
        <v>10.22</v>
      </c>
      <c r="H110" s="136"/>
      <c r="I110" s="91" t="s">
        <v>279</v>
      </c>
      <c r="J110" s="82"/>
      <c r="K110" s="82"/>
      <c r="L110" s="82"/>
    </row>
    <row r="111">
      <c r="A111" s="82"/>
      <c r="B111" s="89" t="s">
        <v>280</v>
      </c>
      <c r="C111" s="115" t="b">
        <f>ROUND(C107,2)=C110</f>
        <v>1</v>
      </c>
      <c r="D111" s="182" t="b">
        <f>ROUND(D107,2)=D110</f>
        <v>1</v>
      </c>
      <c r="E111" s="115" t="b">
        <f>ROUND(E107,2)=E110</f>
        <v>1</v>
      </c>
      <c r="F111" s="115" t="b">
        <f>ROUND(F107,2)=F110</f>
        <v>1</v>
      </c>
      <c r="G111" s="115" t="b">
        <f>ROUND(G107,2)=G110</f>
        <v>1</v>
      </c>
      <c r="H111" s="163" t="b">
        <f>ABS(H107*H106-H104)&lt;0.000001</f>
        <v>1</v>
      </c>
      <c r="I111" s="82"/>
      <c r="J111" s="82"/>
      <c r="K111" s="82"/>
      <c r="L111" s="82"/>
    </row>
    <row r="112">
      <c r="A112" s="82"/>
      <c r="B112" s="89" t="s">
        <v>281</v>
      </c>
      <c r="C112" s="100">
        <f>C46+(C68+C69+C70)-(C76+C77+C78+C79)+(C91+C92+C93)-C97-C102</f>
        <v>0</v>
      </c>
      <c r="D112" s="100">
        <f>D46+(D68+D69+D70)-(D76+D77+D78+D79)+(D91+D92+D93)-D97-D102</f>
        <v>0</v>
      </c>
      <c r="E112" s="100">
        <f>E46+(E68+E69+E70)-(E76+E77+E78+E79)+(E91+E92+E93)-E97-E102</f>
        <v>0</v>
      </c>
      <c r="F112" s="100">
        <f>F46+(F68+F69+F70)-(F76+F77+F78+F79)+(F91+F92+F93)-F97-F102</f>
        <v>0</v>
      </c>
      <c r="G112" s="100">
        <f>G46+(G68+G69+G70)-(G76+G77+G78+G79)+(G91+G92+G93)-G97-G102</f>
        <v>0</v>
      </c>
      <c r="H112" s="149">
        <f>H46+(H68+H69+H70)-(H76+H77+H78+H79)+(H91+H92+H93)-H97-H102</f>
        <v>0</v>
      </c>
      <c r="I112" s="82"/>
      <c r="J112" s="82"/>
      <c r="K112" s="82"/>
      <c r="L112" s="82"/>
    </row>
    <row r="113">
      <c r="A113" s="82"/>
      <c r="B113" s="82" t="s">
        <v>282</v>
      </c>
      <c r="C113" s="174" t="s">
        <v>42</v>
      </c>
      <c r="D113" s="174" t="s">
        <v>42</v>
      </c>
      <c r="E113" s="174" t="s">
        <v>42</v>
      </c>
      <c r="F113" s="174" t="s">
        <v>42</v>
      </c>
      <c r="G113" s="174" t="s">
        <v>42</v>
      </c>
      <c r="H113" s="175" t="s">
        <v>42</v>
      </c>
      <c r="I113" s="169" t="s">
        <v>283</v>
      </c>
      <c r="J113" s="82"/>
      <c r="K113" s="82"/>
      <c r="L113" s="82"/>
    </row>
    <row r="114">
      <c r="A114" s="82"/>
      <c r="C114" s="82"/>
      <c r="D114" s="82"/>
      <c r="E114" s="82"/>
      <c r="F114" s="82"/>
      <c r="G114" s="82"/>
      <c r="H114" s="82"/>
      <c r="J114" s="82"/>
      <c r="K114" s="82"/>
      <c r="L114" s="82"/>
    </row>
    <row r="115">
      <c r="A115" s="82"/>
      <c r="B115" s="89" t="s">
        <v>284</v>
      </c>
      <c r="I115" s="91" t="s">
        <v>285</v>
      </c>
      <c r="J115" s="82"/>
      <c r="K115" s="82"/>
      <c r="L115" s="82"/>
    </row>
    <row r="116">
      <c r="A116" s="82"/>
      <c r="B116" s="103" t="s">
        <v>245</v>
      </c>
      <c r="C116" s="92">
        <f>C72</f>
        <v>0.43896380411639463</v>
      </c>
      <c r="D116" s="92">
        <f>D72</f>
        <v>0.4610540271793172</v>
      </c>
      <c r="E116" s="92">
        <f>E72</f>
        <v>0.5046448906203177</v>
      </c>
      <c r="F116" s="92">
        <f>F72</f>
        <v>0.5436349079263411</v>
      </c>
      <c r="G116" s="92">
        <f>G72</f>
        <v>0.49144670640142424</v>
      </c>
      <c r="H116" s="142">
        <v>0.563</v>
      </c>
      <c r="I116" s="91" t="s">
        <v>286</v>
      </c>
      <c r="J116" s="82"/>
      <c r="K116" s="82"/>
      <c r="L116" s="82"/>
    </row>
    <row r="117">
      <c r="A117" s="82"/>
      <c r="B117" s="99" t="s">
        <v>133</v>
      </c>
      <c r="C117" s="94">
        <f>(C116-C151/C146)*10000</f>
        <v>655.4608259740729</v>
      </c>
      <c r="D117" s="94">
        <f>(D116-D151/D146)*10000</f>
        <v>766.6216333539854</v>
      </c>
      <c r="E117" s="94">
        <f>(E116-E151/E146)*10000</f>
        <v>1035.9868312249732</v>
      </c>
      <c r="F117" s="94">
        <f>(F116-F151/F146)*10000</f>
        <v>1301.992073505253</v>
      </c>
      <c r="G117" s="94">
        <f>(G116-G151/G146)*10000</f>
        <v>976.4418539302089</v>
      </c>
      <c r="H117" s="135">
        <f>(H116-H151/H146)*10000</f>
        <v>1240.3619588360532</v>
      </c>
      <c r="I117" s="82"/>
      <c r="J117" s="82"/>
      <c r="K117" s="82"/>
      <c r="L117" s="82"/>
    </row>
    <row r="118">
      <c r="A118" s="82"/>
      <c r="B118" s="99" t="s">
        <v>134</v>
      </c>
      <c r="C118" s="94">
        <f>(C116-F151/F146)*10000</f>
        <v>255.28103540578883</v>
      </c>
      <c r="D118" s="94">
        <f>(D116-C116)*10000</f>
        <v>220.90223062922576</v>
      </c>
      <c r="E118" s="94">
        <f>(E116-D116)*10000</f>
        <v>435.90863441000494</v>
      </c>
      <c r="F118" s="94">
        <f>(F116-E116)*10000</f>
        <v>389.9001730602336</v>
      </c>
      <c r="G118" s="94" t="s">
        <v>42</v>
      </c>
      <c r="H118" s="135">
        <f>(H116-F116)*10000</f>
        <v>193.65092073658886</v>
      </c>
      <c r="J118" s="82"/>
      <c r="K118" s="82"/>
      <c r="L118" s="82"/>
    </row>
    <row r="119">
      <c r="A119" s="82"/>
      <c r="B119" s="87" t="s">
        <v>287</v>
      </c>
      <c r="C119" s="98">
        <f>C80</f>
        <v>381</v>
      </c>
      <c r="D119" s="98">
        <f>D80</f>
        <v>372</v>
      </c>
      <c r="E119" s="98">
        <f>E80</f>
        <v>397</v>
      </c>
      <c r="F119" s="98">
        <f>F80</f>
        <v>382</v>
      </c>
      <c r="G119" s="98">
        <f>G80</f>
        <v>1532</v>
      </c>
      <c r="H119" s="125">
        <v>397</v>
      </c>
      <c r="I119" s="91" t="s">
        <v>288</v>
      </c>
      <c r="J119" s="82"/>
      <c r="K119" s="82"/>
      <c r="L119" s="82"/>
    </row>
    <row r="120">
      <c r="A120" s="82"/>
      <c r="B120" s="99" t="s">
        <v>95</v>
      </c>
      <c r="C120" s="92">
        <f>C119/C152-1</f>
        <v>-0.09069212410501193</v>
      </c>
      <c r="D120" s="92">
        <f>D119/D152-1</f>
        <v>0.11044776119402977</v>
      </c>
      <c r="E120" s="92">
        <f>E119/E152-1</f>
        <v>0.22530864197530853</v>
      </c>
      <c r="F120" s="92">
        <f>F119/F152-1</f>
        <v>0.1072463768115941</v>
      </c>
      <c r="G120" s="92">
        <f>G119/G152-1</f>
        <v>0.07659873506676029</v>
      </c>
      <c r="H120" s="102">
        <f>H119/H152-1</f>
        <v>0.04199475065616798</v>
      </c>
      <c r="I120" s="82"/>
      <c r="J120" s="82"/>
      <c r="K120" s="82"/>
      <c r="L120" s="82"/>
    </row>
    <row r="121">
      <c r="A121" s="82"/>
      <c r="B121" s="112" t="s">
        <v>97</v>
      </c>
      <c r="C121" s="98">
        <f>C119-F152</f>
        <v>36</v>
      </c>
      <c r="D121" s="98">
        <f>D119-C119</f>
        <v>-9</v>
      </c>
      <c r="E121" s="98">
        <f>E119-D119</f>
        <v>25</v>
      </c>
      <c r="F121" s="98">
        <f>F119-E119</f>
        <v>-15</v>
      </c>
      <c r="G121" s="98" t="s">
        <v>42</v>
      </c>
      <c r="H121" s="111">
        <f>H119-F119</f>
        <v>15</v>
      </c>
      <c r="J121" s="82"/>
      <c r="K121" s="82"/>
      <c r="L121" s="82"/>
    </row>
    <row r="122">
      <c r="A122" s="82"/>
      <c r="B122" s="87" t="s">
        <v>289</v>
      </c>
      <c r="C122" s="98">
        <f>C94</f>
        <v>-44</v>
      </c>
      <c r="D122" s="98">
        <f>D94</f>
        <v>-45</v>
      </c>
      <c r="E122" s="98">
        <f>E94</f>
        <v>-24</v>
      </c>
      <c r="F122" s="98">
        <f>F94</f>
        <v>-10</v>
      </c>
      <c r="G122" s="98">
        <f>G94</f>
        <v>-123</v>
      </c>
      <c r="H122" s="120">
        <f>-Guidance!G45</f>
        <v>-15</v>
      </c>
      <c r="I122" s="91" t="s">
        <v>290</v>
      </c>
      <c r="J122" s="82"/>
      <c r="K122" s="82"/>
      <c r="L122" s="82"/>
    </row>
    <row r="123">
      <c r="A123" s="82"/>
      <c r="B123" s="112" t="s">
        <v>291</v>
      </c>
      <c r="C123" s="98">
        <f>C122-C161</f>
        <v>44</v>
      </c>
      <c r="D123" s="98">
        <f>D122-D161</f>
        <v>45</v>
      </c>
      <c r="E123" s="98">
        <f>E122-E161</f>
        <v>60</v>
      </c>
      <c r="F123" s="98">
        <f>F122-F161</f>
        <v>42</v>
      </c>
      <c r="G123" s="98">
        <f>G122-G161</f>
        <v>191</v>
      </c>
      <c r="H123" s="111">
        <f>H122-H161</f>
        <v>29</v>
      </c>
      <c r="I123" s="82"/>
      <c r="J123" s="82"/>
      <c r="K123" s="82"/>
      <c r="L123" s="82"/>
    </row>
    <row r="124">
      <c r="A124" s="82"/>
      <c r="B124" s="112" t="s">
        <v>97</v>
      </c>
      <c r="C124" s="98">
        <f>C122-F161</f>
        <v>8</v>
      </c>
      <c r="D124" s="98">
        <f>D122-C122</f>
        <v>-1</v>
      </c>
      <c r="E124" s="98">
        <f>E122-D122</f>
        <v>21</v>
      </c>
      <c r="F124" s="98">
        <f>F122-E122</f>
        <v>14</v>
      </c>
      <c r="G124" s="98" t="s">
        <v>42</v>
      </c>
      <c r="H124" s="111">
        <f>H122-F122</f>
        <v>-5</v>
      </c>
      <c r="J124" s="82"/>
      <c r="K124" s="82"/>
      <c r="L124" s="82"/>
    </row>
    <row r="125">
      <c r="A125" s="82"/>
      <c r="B125" s="103" t="s">
        <v>270</v>
      </c>
      <c r="C125" s="92">
        <f>C99</f>
        <v>0.17118226600985223</v>
      </c>
      <c r="D125" s="92">
        <f>D99</f>
        <v>0.15092402464065707</v>
      </c>
      <c r="E125" s="92">
        <f>E99</f>
        <v>0.15993665874901028</v>
      </c>
      <c r="F125" s="92">
        <f>F99</f>
        <v>0.15987841945288753</v>
      </c>
      <c r="G125" s="92">
        <f>G99</f>
        <v>0.15999147848317</v>
      </c>
      <c r="H125" s="152">
        <f>Guidance!G46</f>
        <v>0.17</v>
      </c>
      <c r="I125" s="91" t="s">
        <v>292</v>
      </c>
      <c r="J125" s="82"/>
      <c r="K125" s="82"/>
      <c r="L125" s="82"/>
    </row>
    <row r="126">
      <c r="A126" s="82"/>
      <c r="B126" s="99" t="s">
        <v>133</v>
      </c>
      <c r="C126" s="94">
        <f>(C125-C162/C167)*10000</f>
        <v>113.07657859382009</v>
      </c>
      <c r="D126" s="94">
        <f>(D125-D162/D167)*10000</f>
        <v>112.03465758421544</v>
      </c>
      <c r="E126" s="94">
        <f>(E125-E162/E167)*10000</f>
        <v>1364.9915874901028</v>
      </c>
      <c r="F126" s="94">
        <f>(F125-F162/F167)*10000</f>
        <v>672.3136062935811</v>
      </c>
      <c r="G126" s="94">
        <f>(G125-G162/G167)*10000</f>
        <v>625.7597152491951</v>
      </c>
      <c r="H126" s="135">
        <f>(H125-H162/H167)*10000</f>
        <v>-11.822660098522174</v>
      </c>
      <c r="I126" s="82"/>
      <c r="J126" s="82"/>
      <c r="K126" s="82"/>
      <c r="L126" s="82"/>
    </row>
    <row r="127">
      <c r="A127" s="82"/>
      <c r="B127" s="99" t="s">
        <v>134</v>
      </c>
      <c r="C127" s="94">
        <f>(C125-F162/F167)*10000</f>
        <v>785.3520718632282</v>
      </c>
      <c r="D127" s="94">
        <f>(D125-C125)*10000</f>
        <v>-202.58241369195156</v>
      </c>
      <c r="E127" s="94">
        <f>(E125-D125)*10000</f>
        <v>90.12634108353207</v>
      </c>
      <c r="F127" s="94">
        <f>(F125-E125)*10000</f>
        <v>-0.5823929612275291</v>
      </c>
      <c r="G127" s="94" t="s">
        <v>42</v>
      </c>
      <c r="H127" s="135">
        <f>(H125-F125)*10000</f>
        <v>101.21580547112485</v>
      </c>
      <c r="J127" s="82"/>
      <c r="K127" s="82"/>
      <c r="L127" s="82"/>
    </row>
    <row r="128">
      <c r="A128" s="82"/>
      <c r="B128" s="87" t="s">
        <v>293</v>
      </c>
      <c r="C128" s="98">
        <f>C68+C69+C70</f>
        <v>10</v>
      </c>
      <c r="D128" s="98">
        <f>D68+D69+D70</f>
        <v>11</v>
      </c>
      <c r="E128" s="98">
        <f>E68+E69+E70</f>
        <v>8</v>
      </c>
      <c r="F128" s="98">
        <f>F68+F69+F70</f>
        <v>9</v>
      </c>
      <c r="G128" s="98">
        <f>G68+G69+G70</f>
        <v>38</v>
      </c>
      <c r="H128" s="125">
        <v>10</v>
      </c>
      <c r="I128" s="91" t="s">
        <v>294</v>
      </c>
      <c r="J128" s="82"/>
      <c r="K128" s="82"/>
      <c r="L128" s="82"/>
    </row>
    <row r="129">
      <c r="A129" s="82"/>
      <c r="B129" s="112" t="s">
        <v>291</v>
      </c>
      <c r="C129" s="98">
        <f>C128-C163</f>
        <v>-10</v>
      </c>
      <c r="D129" s="98">
        <f>D128-D163</f>
        <v>-8</v>
      </c>
      <c r="E129" s="98">
        <f>E128-E163</f>
        <v>0</v>
      </c>
      <c r="F129" s="98">
        <f>F128-F163</f>
        <v>-1</v>
      </c>
      <c r="G129" s="98">
        <f>G128-G163</f>
        <v>-19</v>
      </c>
      <c r="H129" s="111">
        <f>H128-H163</f>
        <v>0</v>
      </c>
      <c r="I129" s="82"/>
      <c r="J129" s="82"/>
      <c r="K129" s="82"/>
      <c r="L129" s="82"/>
    </row>
    <row r="130">
      <c r="A130" s="82"/>
      <c r="B130" s="112" t="s">
        <v>97</v>
      </c>
      <c r="C130" s="98">
        <f>C128-F163</f>
        <v>0</v>
      </c>
      <c r="D130" s="98">
        <f>D128-C128</f>
        <v>1</v>
      </c>
      <c r="E130" s="98">
        <f>E128-D128</f>
        <v>-3</v>
      </c>
      <c r="F130" s="98">
        <f>F128-E128</f>
        <v>1</v>
      </c>
      <c r="G130" s="98" t="s">
        <v>42</v>
      </c>
      <c r="H130" s="111">
        <f>H128-F128</f>
        <v>1</v>
      </c>
      <c r="J130" s="82"/>
      <c r="K130" s="82"/>
      <c r="L130" s="82"/>
    </row>
    <row r="131">
      <c r="A131" s="82"/>
      <c r="B131" s="87" t="s">
        <v>295</v>
      </c>
      <c r="C131" s="98">
        <f>-(C76+C77+C79)</f>
        <v>51</v>
      </c>
      <c r="D131" s="98">
        <f>-(D76+D77+D79)</f>
        <v>48</v>
      </c>
      <c r="E131" s="98">
        <f>-(E76+E77+E79)</f>
        <v>49</v>
      </c>
      <c r="F131" s="98">
        <f>-(F76+F77+F79)</f>
        <v>41</v>
      </c>
      <c r="G131" s="98">
        <f>-(G76+G77+G79)</f>
        <v>189</v>
      </c>
      <c r="H131" s="125">
        <v>60</v>
      </c>
      <c r="I131" s="91" t="s">
        <v>296</v>
      </c>
      <c r="J131" s="82"/>
      <c r="K131" s="82"/>
      <c r="L131" s="82"/>
    </row>
    <row r="132">
      <c r="A132" s="82"/>
      <c r="B132" s="112" t="s">
        <v>291</v>
      </c>
      <c r="C132" s="98">
        <f>C131-C164</f>
        <v>1</v>
      </c>
      <c r="D132" s="98">
        <f>D131-D164</f>
        <v>26</v>
      </c>
      <c r="E132" s="98" t="s">
        <v>297</v>
      </c>
      <c r="F132" s="98">
        <f>F131-F164</f>
        <v>0</v>
      </c>
      <c r="G132" s="98" t="s">
        <v>297</v>
      </c>
      <c r="H132" s="111">
        <f>H131-H164</f>
        <v>9</v>
      </c>
      <c r="I132" s="180" t="s">
        <v>298</v>
      </c>
      <c r="J132" s="82"/>
      <c r="K132" s="82"/>
      <c r="L132" s="82"/>
    </row>
    <row r="133">
      <c r="A133" s="82"/>
      <c r="B133" s="112" t="s">
        <v>97</v>
      </c>
      <c r="C133" s="98">
        <f>C131-F164</f>
        <v>10</v>
      </c>
      <c r="D133" s="98">
        <f>D131-C131</f>
        <v>-3</v>
      </c>
      <c r="E133" s="98">
        <f>E131-D131</f>
        <v>1</v>
      </c>
      <c r="F133" s="98">
        <f>F131-E131</f>
        <v>-8</v>
      </c>
      <c r="G133" s="98" t="s">
        <v>42</v>
      </c>
      <c r="H133" s="111">
        <f>H131-F131</f>
        <v>19</v>
      </c>
      <c r="J133" s="82"/>
      <c r="K133" s="82"/>
      <c r="L133" s="82"/>
    </row>
    <row r="134">
      <c r="A134" s="82"/>
      <c r="B134" s="87" t="s">
        <v>299</v>
      </c>
      <c r="C134" s="98">
        <f>C22</f>
        <v>3</v>
      </c>
      <c r="D134" s="98">
        <f>D22</f>
        <v>55</v>
      </c>
      <c r="E134" s="98">
        <f>E22</f>
        <v>45</v>
      </c>
      <c r="F134" s="98">
        <f>F22</f>
        <v>43</v>
      </c>
      <c r="G134" s="98">
        <f>G22</f>
        <v>146</v>
      </c>
      <c r="H134" s="125">
        <v>0</v>
      </c>
      <c r="I134" s="91" t="s">
        <v>300</v>
      </c>
      <c r="J134" s="82"/>
      <c r="K134" s="82"/>
      <c r="L134" s="82"/>
    </row>
    <row r="135">
      <c r="A135" s="82"/>
      <c r="B135" s="112" t="s">
        <v>291</v>
      </c>
      <c r="C135" s="98">
        <f>C134-C165</f>
        <v>0</v>
      </c>
      <c r="D135" s="98">
        <f>D134-D165</f>
        <v>65</v>
      </c>
      <c r="E135" s="98">
        <f>E134-E165</f>
        <v>45</v>
      </c>
      <c r="F135" s="98">
        <f>F134-F165</f>
        <v>42</v>
      </c>
      <c r="G135" s="98">
        <f>G134-G165</f>
        <v>152</v>
      </c>
      <c r="H135" s="111">
        <f>H134-H165</f>
        <v>-3</v>
      </c>
      <c r="I135" s="82"/>
      <c r="J135" s="82"/>
      <c r="K135" s="82"/>
      <c r="L135" s="82"/>
    </row>
    <row r="136">
      <c r="A136" s="82"/>
      <c r="B136" s="112" t="s">
        <v>97</v>
      </c>
      <c r="C136" s="98">
        <f>C134-F165</f>
        <v>2</v>
      </c>
      <c r="D136" s="98">
        <f>D134-C134</f>
        <v>52</v>
      </c>
      <c r="E136" s="98">
        <f>E134-D134</f>
        <v>-10</v>
      </c>
      <c r="F136" s="98">
        <f>F134-E134</f>
        <v>-2</v>
      </c>
      <c r="G136" s="98" t="s">
        <v>42</v>
      </c>
      <c r="H136" s="111">
        <f>H134-F134</f>
        <v>-43</v>
      </c>
      <c r="J136" s="82"/>
      <c r="K136" s="82"/>
      <c r="L136" s="82"/>
    </row>
    <row r="137">
      <c r="A137" s="82"/>
      <c r="B137" s="87" t="s">
        <v>301</v>
      </c>
      <c r="C137" s="98">
        <f>C92</f>
        <v>0</v>
      </c>
      <c r="D137" s="98">
        <f>D92</f>
        <v>0</v>
      </c>
      <c r="E137" s="98">
        <f>E92</f>
        <v>545</v>
      </c>
      <c r="F137" s="98">
        <f>F92</f>
        <v>362</v>
      </c>
      <c r="G137" s="98">
        <f>G92</f>
        <v>907</v>
      </c>
      <c r="H137" s="125">
        <v>0</v>
      </c>
      <c r="I137" s="91" t="s">
        <v>302</v>
      </c>
      <c r="J137" s="82"/>
      <c r="K137" s="82"/>
      <c r="L137" s="82"/>
    </row>
    <row r="138">
      <c r="A138" s="82"/>
      <c r="B138" s="112" t="s">
        <v>291</v>
      </c>
      <c r="C138" s="98">
        <f>C137-C166</f>
        <v>0</v>
      </c>
      <c r="D138" s="98">
        <f>D137-D166</f>
        <v>0</v>
      </c>
      <c r="E138" s="98">
        <f>E137-E166</f>
        <v>545</v>
      </c>
      <c r="F138" s="98">
        <f>F137-F166</f>
        <v>262</v>
      </c>
      <c r="G138" s="98">
        <f>G137-G166</f>
        <v>807</v>
      </c>
      <c r="H138" s="111">
        <f>H137-H166</f>
        <v>0</v>
      </c>
      <c r="I138" s="82"/>
      <c r="J138" s="82"/>
      <c r="K138" s="82"/>
      <c r="L138" s="82"/>
    </row>
    <row r="139">
      <c r="A139" s="82"/>
      <c r="B139" s="112" t="s">
        <v>97</v>
      </c>
      <c r="C139" s="98">
        <f>C137-F166</f>
        <v>-100</v>
      </c>
      <c r="D139" s="98">
        <f>D137-C137</f>
        <v>0</v>
      </c>
      <c r="E139" s="98">
        <f>E137-D137</f>
        <v>545</v>
      </c>
      <c r="F139" s="98">
        <f>F137-E137</f>
        <v>-183</v>
      </c>
      <c r="G139" s="98" t="s">
        <v>42</v>
      </c>
      <c r="H139" s="111">
        <f>H137-F137</f>
        <v>-362</v>
      </c>
      <c r="J139" s="82"/>
      <c r="K139" s="82"/>
      <c r="L139" s="82"/>
    </row>
    <row r="140">
      <c r="A140" s="82"/>
      <c r="B140" s="103" t="s">
        <v>303</v>
      </c>
      <c r="C140" s="92">
        <f>C19/(C19+C20)</f>
        <v>0.6805555555555556</v>
      </c>
      <c r="D140" s="92">
        <f>D19/(D19+D20)</f>
        <v>0.6930455635491607</v>
      </c>
      <c r="E140" s="92">
        <f>E19/(E19+E20)</f>
        <v>0.6666666666666666</v>
      </c>
      <c r="F140" s="92">
        <f>F19/(F19+F20)</f>
        <v>0.6729857819905213</v>
      </c>
      <c r="G140" s="92">
        <f>G19/(G19+G20)</f>
        <v>0.6781542056074766</v>
      </c>
      <c r="H140" s="142">
        <v>0.67</v>
      </c>
      <c r="I140" s="91" t="s">
        <v>304</v>
      </c>
      <c r="J140" s="82"/>
      <c r="K140" s="82"/>
      <c r="L140" s="82"/>
    </row>
    <row r="141">
      <c r="A141" s="82"/>
      <c r="B141" s="99" t="s">
        <v>133</v>
      </c>
      <c r="C141" s="94">
        <f>(C140-C157/(C157+C158))*10000</f>
        <v>1183.2379589890318</v>
      </c>
      <c r="D141" s="94">
        <f>(D140-D157/(D157+D158))*10000</f>
        <v>627.9346270882457</v>
      </c>
      <c r="E141" s="94">
        <f>(E140-E157/(E157+E158))*10000</f>
        <v>-273.8432483474984</v>
      </c>
      <c r="F141" s="94">
        <f>(F140-F157/(F157+F158))*10000</f>
        <v>-57.70694693416512</v>
      </c>
      <c r="G141" s="94">
        <f>(G140-G157/(G157+G158))*10000</f>
        <v>417.9056924384028</v>
      </c>
      <c r="H141" s="135">
        <f>(H140-H157/(H157+H158))*10000</f>
        <v>-105.5555555555554</v>
      </c>
      <c r="I141" s="82"/>
      <c r="J141" s="82"/>
      <c r="K141" s="82"/>
      <c r="L141" s="82"/>
    </row>
    <row r="142">
      <c r="A142" s="82"/>
      <c r="B142" s="99" t="s">
        <v>134</v>
      </c>
      <c r="C142" s="94">
        <f>(C140-F157/(F157+F158))*10000</f>
        <v>17.990788716177875</v>
      </c>
      <c r="D142" s="94">
        <f>(D140-C140)*10000</f>
        <v>124.90007993605113</v>
      </c>
      <c r="E142" s="94">
        <f>(E140-D140)*10000</f>
        <v>-263.78896882494064</v>
      </c>
      <c r="F142" s="94">
        <f>(F140-E140)*10000</f>
        <v>63.19115323854652</v>
      </c>
      <c r="G142" s="94" t="s">
        <v>42</v>
      </c>
      <c r="H142" s="135">
        <f>(H140-F140)*10000</f>
        <v>-29.857819905212413</v>
      </c>
      <c r="I142" s="82"/>
      <c r="J142" s="82"/>
      <c r="K142" s="82"/>
      <c r="L142" s="82"/>
    </row>
    <row r="143">
      <c r="A143" s="82"/>
      <c r="C143" s="82"/>
      <c r="D143" s="82"/>
      <c r="E143" s="82"/>
      <c r="F143" s="82"/>
      <c r="G143" s="82"/>
      <c r="H143" s="82"/>
      <c r="J143" s="82"/>
      <c r="K143" s="82"/>
      <c r="L143" s="82"/>
    </row>
    <row r="144">
      <c r="A144" s="82"/>
      <c r="B144" s="89" t="s">
        <v>305</v>
      </c>
      <c r="I144" s="91" t="s">
        <v>306</v>
      </c>
      <c r="J144" s="82"/>
      <c r="K144" s="82"/>
      <c r="L144" s="82"/>
    </row>
    <row r="145">
      <c r="A145" s="82"/>
      <c r="B145" s="87" t="s">
        <v>160</v>
      </c>
      <c r="C145" s="104" t="s">
        <v>161</v>
      </c>
      <c r="D145" s="104" t="s">
        <v>162</v>
      </c>
      <c r="E145" s="104" t="s">
        <v>163</v>
      </c>
      <c r="F145" s="104" t="s">
        <v>164</v>
      </c>
      <c r="G145" s="104" t="s">
        <v>165</v>
      </c>
      <c r="H145" s="131" t="s">
        <v>83</v>
      </c>
      <c r="I145" s="82"/>
      <c r="J145" s="82"/>
      <c r="K145" s="82"/>
      <c r="L145" s="82"/>
    </row>
    <row r="146">
      <c r="A146" s="82"/>
      <c r="B146" s="87" t="s">
        <v>307</v>
      </c>
      <c r="C146" s="90">
        <f>'Revenue summary'!C111</f>
        <v>2212</v>
      </c>
      <c r="D146" s="90">
        <f>'Revenue summary'!D111</f>
        <v>2409</v>
      </c>
      <c r="E146" s="90">
        <f>'Revenue summary'!E111</f>
        <v>2294</v>
      </c>
      <c r="F146" s="90">
        <f>'Revenue summary'!F111</f>
        <v>2605</v>
      </c>
      <c r="G146" s="90">
        <f>'Revenue summary'!G111</f>
        <v>9520</v>
      </c>
      <c r="H146" s="120">
        <f>'Revenue summary'!H111</f>
        <v>2818</v>
      </c>
      <c r="I146" s="82"/>
      <c r="J146" s="82"/>
      <c r="K146" s="82"/>
      <c r="L146" s="82"/>
    </row>
    <row r="147">
      <c r="A147" s="82"/>
      <c r="B147" s="87" t="s">
        <v>239</v>
      </c>
      <c r="C147" s="96">
        <v>806</v>
      </c>
      <c r="D147" s="96">
        <v>907</v>
      </c>
      <c r="E147" s="96">
        <v>912</v>
      </c>
      <c r="F147" s="96">
        <v>1067</v>
      </c>
      <c r="G147" s="98">
        <f>SUM(C147:F147)</f>
        <v>3692</v>
      </c>
      <c r="H147" s="111">
        <f>C14</f>
        <v>1227</v>
      </c>
      <c r="I147" s="82"/>
      <c r="J147" s="82"/>
      <c r="K147" s="82"/>
      <c r="L147" s="82"/>
    </row>
    <row r="148">
      <c r="A148" s="82"/>
      <c r="B148" s="89" t="s">
        <v>308</v>
      </c>
      <c r="C148" s="97">
        <f>C147-C156</f>
        <v>334</v>
      </c>
      <c r="D148" s="97">
        <f>D147-D156</f>
        <v>560</v>
      </c>
      <c r="E148" s="97">
        <f>E147-E156</f>
        <v>760</v>
      </c>
      <c r="F148" s="97">
        <f>F147-F156</f>
        <v>680</v>
      </c>
      <c r="G148" s="97">
        <f>G147-G156</f>
        <v>2334</v>
      </c>
      <c r="H148" s="114">
        <f>C27</f>
        <v>792</v>
      </c>
      <c r="I148" s="82"/>
      <c r="J148" s="82"/>
      <c r="K148" s="82"/>
      <c r="L148" s="82"/>
    </row>
    <row r="149">
      <c r="A149" s="82"/>
      <c r="B149" s="89" t="s">
        <v>309</v>
      </c>
      <c r="C149" s="97">
        <f>C159-C160</f>
        <v>153</v>
      </c>
      <c r="D149" s="97">
        <f>D159-D160</f>
        <v>466</v>
      </c>
      <c r="E149" s="97">
        <f>E159-E160</f>
        <v>772</v>
      </c>
      <c r="F149" s="97">
        <f>F159-F160</f>
        <v>252</v>
      </c>
      <c r="G149" s="97">
        <f>G159-G160</f>
        <v>1643</v>
      </c>
      <c r="H149" s="114">
        <f>C46</f>
        <v>1182</v>
      </c>
      <c r="I149" s="82"/>
      <c r="J149" s="82"/>
      <c r="K149" s="82"/>
      <c r="L149" s="82"/>
    </row>
    <row r="150">
      <c r="A150" s="82"/>
      <c r="B150" s="87" t="s">
        <v>310</v>
      </c>
      <c r="C150" s="118">
        <v>0.42</v>
      </c>
      <c r="D150" s="118">
        <v>1.27</v>
      </c>
      <c r="E150" s="128">
        <f>Inputs!G106</f>
        <v>2.11</v>
      </c>
      <c r="F150" s="118">
        <v>0.67</v>
      </c>
      <c r="G150" s="118">
        <v>4.45</v>
      </c>
      <c r="H150" s="119">
        <f>C61</f>
        <v>3.0691489361702127</v>
      </c>
      <c r="I150" s="169" t="s">
        <v>311</v>
      </c>
      <c r="J150" s="82"/>
      <c r="K150" s="82"/>
      <c r="L150" s="82"/>
    </row>
    <row r="151">
      <c r="A151" s="82"/>
      <c r="B151" s="89" t="s">
        <v>244</v>
      </c>
      <c r="C151" s="97">
        <f>C147+C163</f>
        <v>826</v>
      </c>
      <c r="D151" s="97">
        <f>D147+D163</f>
        <v>926</v>
      </c>
      <c r="E151" s="97">
        <f>E147+E163</f>
        <v>920</v>
      </c>
      <c r="F151" s="97">
        <f>F147+F163</f>
        <v>1077</v>
      </c>
      <c r="G151" s="97">
        <f>G147+G163</f>
        <v>3749</v>
      </c>
      <c r="H151" s="114">
        <f>C71</f>
        <v>1237</v>
      </c>
      <c r="I151" s="82"/>
      <c r="J151" s="82"/>
      <c r="K151" s="82"/>
      <c r="L151" s="82"/>
    </row>
    <row r="152">
      <c r="A152" s="82"/>
      <c r="B152" s="87" t="s">
        <v>253</v>
      </c>
      <c r="C152" s="96">
        <v>419</v>
      </c>
      <c r="D152" s="96">
        <v>335</v>
      </c>
      <c r="E152" s="96">
        <v>324</v>
      </c>
      <c r="F152" s="96">
        <v>345</v>
      </c>
      <c r="G152" s="98">
        <f>SUM(C152:F152)</f>
        <v>1423</v>
      </c>
      <c r="H152" s="111">
        <f>C80</f>
        <v>381</v>
      </c>
      <c r="I152" s="82"/>
      <c r="J152" s="82"/>
      <c r="K152" s="82"/>
      <c r="L152" s="82"/>
    </row>
    <row r="153">
      <c r="A153" s="82"/>
      <c r="B153" s="89" t="s">
        <v>256</v>
      </c>
      <c r="C153" s="97">
        <f>C151-C152</f>
        <v>407</v>
      </c>
      <c r="D153" s="97">
        <f>D151-D152</f>
        <v>591</v>
      </c>
      <c r="E153" s="97">
        <f>E151-E152</f>
        <v>596</v>
      </c>
      <c r="F153" s="97">
        <f>F151-F152</f>
        <v>732</v>
      </c>
      <c r="G153" s="97">
        <f>G151-G152</f>
        <v>2326</v>
      </c>
      <c r="H153" s="114">
        <f>C85</f>
        <v>856</v>
      </c>
      <c r="I153" s="82"/>
      <c r="J153" s="82"/>
      <c r="K153" s="82"/>
      <c r="L153" s="82"/>
    </row>
    <row r="154">
      <c r="A154" s="82"/>
      <c r="B154" s="87" t="s">
        <v>274</v>
      </c>
      <c r="C154" s="96">
        <v>262</v>
      </c>
      <c r="D154" s="96">
        <v>420</v>
      </c>
      <c r="E154" s="96">
        <v>487</v>
      </c>
      <c r="F154" s="96">
        <v>600</v>
      </c>
      <c r="G154" s="96">
        <v>1768</v>
      </c>
      <c r="H154" s="111">
        <f>C104</f>
        <v>655</v>
      </c>
      <c r="I154" s="82"/>
      <c r="J154" s="82"/>
      <c r="K154" s="82"/>
      <c r="L154" s="82"/>
    </row>
    <row r="155">
      <c r="A155" s="82"/>
      <c r="B155" s="87" t="s">
        <v>312</v>
      </c>
      <c r="C155" s="118">
        <v>0.75</v>
      </c>
      <c r="D155" s="118">
        <v>1.2</v>
      </c>
      <c r="E155" s="118">
        <v>1.38</v>
      </c>
      <c r="F155" s="118">
        <v>1.7</v>
      </c>
      <c r="G155" s="118">
        <v>5.02</v>
      </c>
      <c r="H155" s="119">
        <f>C107</f>
        <v>1.7750677506775068</v>
      </c>
      <c r="I155" s="82"/>
      <c r="J155" s="82"/>
      <c r="K155" s="82"/>
      <c r="L155" s="82"/>
    </row>
    <row r="156">
      <c r="A156" s="82"/>
      <c r="B156" s="87" t="s">
        <v>246</v>
      </c>
      <c r="C156" s="96">
        <v>472</v>
      </c>
      <c r="D156" s="96">
        <v>347</v>
      </c>
      <c r="E156" s="96">
        <v>152</v>
      </c>
      <c r="F156" s="96">
        <v>387</v>
      </c>
      <c r="G156" s="98">
        <f>SUM(C156:F156)</f>
        <v>1358</v>
      </c>
      <c r="H156" s="111">
        <f>C23</f>
        <v>435</v>
      </c>
      <c r="I156" s="82"/>
      <c r="J156" s="82"/>
      <c r="K156" s="82"/>
      <c r="L156" s="82"/>
    </row>
    <row r="157">
      <c r="A157" s="82"/>
      <c r="B157" s="87" t="s">
        <v>313</v>
      </c>
      <c r="C157" s="96">
        <v>262</v>
      </c>
      <c r="D157" s="96">
        <v>225</v>
      </c>
      <c r="E157" s="96">
        <v>245</v>
      </c>
      <c r="F157" s="96">
        <v>262</v>
      </c>
      <c r="G157" s="98">
        <f>SUM(C157:F157)</f>
        <v>994</v>
      </c>
      <c r="H157" s="111">
        <f>C19</f>
        <v>294</v>
      </c>
      <c r="I157" s="82"/>
      <c r="J157" s="82"/>
      <c r="K157" s="82"/>
      <c r="L157" s="82"/>
    </row>
    <row r="158">
      <c r="A158" s="82"/>
      <c r="B158" s="87" t="s">
        <v>314</v>
      </c>
      <c r="C158" s="96">
        <v>204</v>
      </c>
      <c r="D158" s="96">
        <v>132</v>
      </c>
      <c r="E158" s="96">
        <v>108</v>
      </c>
      <c r="F158" s="96">
        <v>124</v>
      </c>
      <c r="G158" s="98">
        <f>SUM(C158:F158)</f>
        <v>568</v>
      </c>
      <c r="H158" s="111">
        <f>C20</f>
        <v>138</v>
      </c>
      <c r="I158" s="82"/>
      <c r="J158" s="82"/>
      <c r="K158" s="82"/>
      <c r="L158" s="82"/>
    </row>
    <row r="159">
      <c r="A159" s="82"/>
      <c r="B159" s="87" t="s">
        <v>315</v>
      </c>
      <c r="C159" s="96">
        <v>243</v>
      </c>
      <c r="D159" s="96">
        <v>466</v>
      </c>
      <c r="E159" s="96">
        <v>74</v>
      </c>
      <c r="F159" s="96">
        <v>347</v>
      </c>
      <c r="G159" s="98">
        <f>SUM(C159:F159)</f>
        <v>1130</v>
      </c>
      <c r="H159" s="111">
        <f>C41</f>
        <v>1337</v>
      </c>
      <c r="I159" s="82"/>
      <c r="J159" s="82"/>
      <c r="K159" s="82"/>
      <c r="L159" s="82"/>
    </row>
    <row r="160">
      <c r="A160" s="82"/>
      <c r="B160" s="87" t="s">
        <v>316</v>
      </c>
      <c r="C160" s="96">
        <v>90</v>
      </c>
      <c r="D160" s="96">
        <v>0</v>
      </c>
      <c r="E160" s="96">
        <v>-698</v>
      </c>
      <c r="F160" s="96">
        <v>95</v>
      </c>
      <c r="G160" s="98">
        <f>SUM(C160:F160)</f>
        <v>-513</v>
      </c>
      <c r="H160" s="111">
        <f>C42</f>
        <v>155</v>
      </c>
      <c r="I160" s="82"/>
      <c r="J160" s="82"/>
      <c r="K160" s="82"/>
      <c r="L160" s="82"/>
    </row>
    <row r="161">
      <c r="A161" s="82"/>
      <c r="B161" s="87" t="s">
        <v>263</v>
      </c>
      <c r="C161" s="96">
        <v>-88</v>
      </c>
      <c r="D161" s="96">
        <v>-90</v>
      </c>
      <c r="E161" s="96">
        <v>-84</v>
      </c>
      <c r="F161" s="96">
        <v>-52</v>
      </c>
      <c r="G161" s="98">
        <f>SUM(C161:F161)</f>
        <v>-314</v>
      </c>
      <c r="H161" s="111">
        <f>C94</f>
        <v>-44</v>
      </c>
      <c r="I161" s="82"/>
      <c r="J161" s="82"/>
      <c r="K161" s="82"/>
      <c r="L161" s="82"/>
    </row>
    <row r="162">
      <c r="A162" s="82"/>
      <c r="B162" s="87" t="s">
        <v>268</v>
      </c>
      <c r="C162" s="96">
        <v>51</v>
      </c>
      <c r="D162" s="96">
        <v>70</v>
      </c>
      <c r="E162" s="96">
        <v>12</v>
      </c>
      <c r="F162" s="96">
        <v>63</v>
      </c>
      <c r="G162" s="98">
        <f>SUM(C162:F162)</f>
        <v>196</v>
      </c>
      <c r="H162" s="111">
        <f>C98</f>
        <v>139</v>
      </c>
      <c r="I162" s="82"/>
      <c r="J162" s="82"/>
      <c r="K162" s="82"/>
      <c r="L162" s="82"/>
    </row>
    <row r="163">
      <c r="A163" s="82"/>
      <c r="B163" s="87" t="s">
        <v>317</v>
      </c>
      <c r="C163" s="96">
        <v>20</v>
      </c>
      <c r="D163" s="96">
        <v>19</v>
      </c>
      <c r="E163" s="96">
        <v>8</v>
      </c>
      <c r="F163" s="96">
        <v>10</v>
      </c>
      <c r="G163" s="98">
        <f>SUM(C163:F163)</f>
        <v>57</v>
      </c>
      <c r="H163" s="111">
        <f>C128</f>
        <v>10</v>
      </c>
      <c r="I163" s="82"/>
      <c r="J163" s="82"/>
      <c r="K163" s="82"/>
      <c r="L163" s="82"/>
    </row>
    <row r="164">
      <c r="A164" s="82"/>
      <c r="B164" s="87" t="s">
        <v>318</v>
      </c>
      <c r="C164" s="96">
        <v>50</v>
      </c>
      <c r="D164" s="96">
        <v>22</v>
      </c>
      <c r="E164" s="96">
        <v>-172</v>
      </c>
      <c r="F164" s="96">
        <v>41</v>
      </c>
      <c r="G164" s="98">
        <f>SUM(C164:F164)</f>
        <v>-59</v>
      </c>
      <c r="H164" s="111">
        <f>C131</f>
        <v>51</v>
      </c>
      <c r="I164" s="82"/>
      <c r="J164" s="82"/>
      <c r="K164" s="82"/>
      <c r="L164" s="82"/>
    </row>
    <row r="165">
      <c r="A165" s="82"/>
      <c r="B165" s="87" t="s">
        <v>319</v>
      </c>
      <c r="C165" s="96">
        <v>3</v>
      </c>
      <c r="D165" s="96">
        <v>-10</v>
      </c>
      <c r="E165" s="96">
        <v>0</v>
      </c>
      <c r="F165" s="96">
        <v>1</v>
      </c>
      <c r="G165" s="98">
        <f>SUM(C165:F165)</f>
        <v>-6</v>
      </c>
      <c r="H165" s="111">
        <f>C22</f>
        <v>3</v>
      </c>
      <c r="I165" s="82"/>
      <c r="J165" s="82"/>
      <c r="K165" s="82"/>
      <c r="L165" s="82"/>
    </row>
    <row r="166">
      <c r="A166" s="82"/>
      <c r="B166" s="87" t="s">
        <v>320</v>
      </c>
      <c r="C166" s="96">
        <v>0</v>
      </c>
      <c r="D166" s="96">
        <v>0</v>
      </c>
      <c r="E166" s="96">
        <v>0</v>
      </c>
      <c r="F166" s="96">
        <v>100</v>
      </c>
      <c r="G166" s="98">
        <f>SUM(C166:F166)</f>
        <v>100</v>
      </c>
      <c r="H166" s="111">
        <f>C137</f>
        <v>0</v>
      </c>
      <c r="I166" s="82"/>
      <c r="J166" s="82"/>
      <c r="K166" s="82"/>
      <c r="L166" s="82"/>
    </row>
    <row r="167">
      <c r="A167" s="82"/>
      <c r="B167" s="89" t="s">
        <v>264</v>
      </c>
      <c r="C167" s="97">
        <f>C153+C161</f>
        <v>319</v>
      </c>
      <c r="D167" s="97">
        <f>D153+D161</f>
        <v>501</v>
      </c>
      <c r="E167" s="97">
        <f>E153+E161</f>
        <v>512</v>
      </c>
      <c r="F167" s="97">
        <f>F153+F161</f>
        <v>680</v>
      </c>
      <c r="G167" s="97">
        <f>G153+G161</f>
        <v>2012</v>
      </c>
      <c r="H167" s="114">
        <f>H153+H161</f>
        <v>812</v>
      </c>
      <c r="I167" s="82"/>
      <c r="J167" s="82"/>
      <c r="K167" s="82"/>
      <c r="L167" s="82"/>
    </row>
    <row r="168">
      <c r="A168" s="82"/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</row>
    <row r="169">
      <c r="A169" s="82"/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L5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>
      <c r="A2" s="82"/>
      <c r="B2" s="109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</row>
    <row r="3">
      <c r="A3" s="82"/>
      <c r="B3" s="89" t="s">
        <v>321</v>
      </c>
      <c r="C3" s="82"/>
      <c r="D3" s="82"/>
      <c r="E3" s="82"/>
      <c r="F3" s="82"/>
      <c r="G3" s="82"/>
      <c r="H3" s="82"/>
      <c r="I3" s="82"/>
      <c r="J3" s="82"/>
      <c r="K3" s="82"/>
      <c r="L3" s="82"/>
    </row>
    <row r="4">
      <c r="A4" s="82"/>
      <c r="B4" s="103" t="s">
        <v>2</v>
      </c>
      <c r="C4" s="82"/>
      <c r="D4" s="82"/>
      <c r="E4" s="82"/>
      <c r="F4" s="82"/>
      <c r="G4" s="82"/>
      <c r="H4" s="82"/>
      <c r="I4" s="82"/>
      <c r="J4" s="82"/>
      <c r="K4" s="82"/>
      <c r="L4" s="82"/>
    </row>
    <row r="5">
      <c r="A5" s="82"/>
      <c r="B5" s="116" t="s">
        <v>82</v>
      </c>
      <c r="C5" s="88" t="s">
        <v>83</v>
      </c>
      <c r="D5" s="88" t="s">
        <v>84</v>
      </c>
      <c r="E5" s="88" t="s">
        <v>85</v>
      </c>
      <c r="F5" s="88" t="s">
        <v>86</v>
      </c>
      <c r="G5" s="88" t="s">
        <v>87</v>
      </c>
      <c r="H5" s="134" t="s">
        <v>88</v>
      </c>
      <c r="I5" s="116" t="s">
        <v>4</v>
      </c>
      <c r="J5" s="82"/>
      <c r="K5" s="82"/>
      <c r="L5" s="82"/>
    </row>
    <row r="6">
      <c r="A6" s="82"/>
      <c r="B6" s="113" t="s">
        <v>89</v>
      </c>
      <c r="C6" s="106">
        <v>45933</v>
      </c>
      <c r="D6" s="106">
        <v>46024</v>
      </c>
      <c r="E6" s="106">
        <v>46115</v>
      </c>
      <c r="F6" s="106">
        <v>46206</v>
      </c>
      <c r="G6" s="106">
        <v>46206</v>
      </c>
      <c r="H6" s="126">
        <v>46297</v>
      </c>
      <c r="I6" s="86"/>
      <c r="J6" s="82"/>
      <c r="K6" s="82"/>
      <c r="L6" s="82"/>
    </row>
    <row r="7">
      <c r="A7" s="82"/>
      <c r="B7" s="122" t="s">
        <v>90</v>
      </c>
      <c r="C7" s="93">
        <v>98</v>
      </c>
      <c r="D7" s="93">
        <v>91</v>
      </c>
      <c r="E7" s="93">
        <v>91</v>
      </c>
      <c r="F7" s="93">
        <v>91</v>
      </c>
      <c r="G7" s="93">
        <v>371</v>
      </c>
      <c r="H7" s="130">
        <v>91</v>
      </c>
      <c r="I7" s="143"/>
      <c r="J7" s="82"/>
      <c r="K7" s="82"/>
      <c r="L7" s="82"/>
    </row>
    <row r="8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</row>
    <row r="9">
      <c r="A9" s="82"/>
      <c r="B9" s="89" t="s">
        <v>322</v>
      </c>
      <c r="C9" s="82"/>
      <c r="D9" s="82"/>
      <c r="E9" s="82"/>
      <c r="F9" s="82"/>
      <c r="G9" s="82"/>
      <c r="H9" s="82"/>
      <c r="I9" s="91" t="s">
        <v>323</v>
      </c>
      <c r="J9" s="82"/>
      <c r="K9" s="82"/>
      <c r="L9" s="82"/>
    </row>
    <row r="10">
      <c r="A10" s="82"/>
      <c r="B10" s="112" t="s">
        <v>324</v>
      </c>
      <c r="C10" s="96">
        <v>2048</v>
      </c>
      <c r="D10" s="96">
        <v>1975</v>
      </c>
      <c r="E10" s="96">
        <v>2050</v>
      </c>
      <c r="F10" s="96">
        <v>1579</v>
      </c>
      <c r="G10" s="98">
        <f>F10</f>
        <v>1579</v>
      </c>
      <c r="H10" s="120">
        <f>'Cash Flow Statement'!H53</f>
        <v>1543.030754411856</v>
      </c>
      <c r="I10" s="82"/>
      <c r="J10" s="82"/>
      <c r="K10" s="82"/>
      <c r="L10" s="82"/>
    </row>
    <row r="11">
      <c r="A11" s="82"/>
      <c r="B11" s="112" t="s">
        <v>325</v>
      </c>
      <c r="C11" s="96">
        <v>1355</v>
      </c>
      <c r="D11" s="96">
        <v>1685</v>
      </c>
      <c r="E11" s="96">
        <v>1894</v>
      </c>
      <c r="F11" s="96">
        <v>2026</v>
      </c>
      <c r="G11" s="98">
        <f>F11</f>
        <v>2026</v>
      </c>
      <c r="H11" s="120">
        <f>H35*'Income Statement'!H10/H$7</f>
        <v>2258.3925273552177</v>
      </c>
      <c r="I11" s="82"/>
      <c r="J11" s="82"/>
      <c r="K11" s="82"/>
      <c r="L11" s="82"/>
    </row>
    <row r="12">
      <c r="A12" s="82"/>
      <c r="B12" s="112" t="s">
        <v>326</v>
      </c>
      <c r="C12" s="96">
        <v>1393</v>
      </c>
      <c r="D12" s="96">
        <v>1349</v>
      </c>
      <c r="E12" s="96">
        <v>1357</v>
      </c>
      <c r="F12" s="96">
        <v>1511</v>
      </c>
      <c r="G12" s="98">
        <f>F12</f>
        <v>1511</v>
      </c>
      <c r="H12" s="120">
        <f>H38*'Income Statement'!H13/H$7</f>
        <v>1613.1938787667252</v>
      </c>
      <c r="I12" s="82"/>
      <c r="J12" s="82"/>
      <c r="K12" s="82"/>
      <c r="L12" s="82"/>
    </row>
    <row r="13">
      <c r="A13" s="82"/>
      <c r="B13" s="112" t="s">
        <v>327</v>
      </c>
      <c r="C13" s="96">
        <v>965</v>
      </c>
      <c r="D13" s="96">
        <v>2068</v>
      </c>
      <c r="E13" s="96">
        <v>1187</v>
      </c>
      <c r="F13" s="96">
        <v>0</v>
      </c>
      <c r="G13" s="98">
        <f>F13</f>
        <v>0</v>
      </c>
      <c r="H13" s="125">
        <v>0</v>
      </c>
      <c r="I13" s="91" t="s">
        <v>328</v>
      </c>
      <c r="J13" s="82"/>
      <c r="K13" s="82"/>
      <c r="L13" s="82"/>
    </row>
    <row r="14">
      <c r="A14" s="82"/>
      <c r="B14" s="112" t="s">
        <v>329</v>
      </c>
      <c r="C14" s="96">
        <v>514</v>
      </c>
      <c r="D14" s="96">
        <v>454</v>
      </c>
      <c r="E14" s="96">
        <v>423</v>
      </c>
      <c r="F14" s="96">
        <v>518</v>
      </c>
      <c r="G14" s="98">
        <f>F14</f>
        <v>518</v>
      </c>
      <c r="H14" s="111">
        <f>F14</f>
        <v>518</v>
      </c>
      <c r="I14" s="91" t="s">
        <v>330</v>
      </c>
      <c r="J14" s="82"/>
      <c r="K14" s="82"/>
      <c r="L14" s="82"/>
    </row>
    <row r="15">
      <c r="A15" s="82"/>
      <c r="B15" s="89" t="s">
        <v>331</v>
      </c>
      <c r="C15" s="97">
        <f>SUM(C10:C14)</f>
        <v>6275</v>
      </c>
      <c r="D15" s="97">
        <f>SUM(D10:D14)</f>
        <v>7531</v>
      </c>
      <c r="E15" s="97">
        <f>SUM(E10:E14)</f>
        <v>6911</v>
      </c>
      <c r="F15" s="97">
        <f>SUM(F10:F14)</f>
        <v>5634</v>
      </c>
      <c r="G15" s="97">
        <f>SUM(G10:G14)</f>
        <v>5634</v>
      </c>
      <c r="H15" s="114">
        <f>SUM(H10:H14)</f>
        <v>5932.617160533799</v>
      </c>
      <c r="I15" s="82"/>
      <c r="J15" s="82"/>
      <c r="K15" s="82"/>
      <c r="L15" s="82"/>
    </row>
    <row r="16">
      <c r="A16" s="82"/>
      <c r="B16" s="112" t="s">
        <v>332</v>
      </c>
      <c r="C16" s="96">
        <v>2345</v>
      </c>
      <c r="D16" s="96">
        <v>2352</v>
      </c>
      <c r="E16" s="96">
        <v>2422</v>
      </c>
      <c r="F16" s="96">
        <v>2476</v>
      </c>
      <c r="G16" s="98">
        <f>F16</f>
        <v>2476</v>
      </c>
      <c r="H16" s="120">
        <f>F16-'Cash Flow Statement'!H33-'Cash Flow Statement'!H11</f>
        <v>2499</v>
      </c>
      <c r="I16" s="91" t="s">
        <v>333</v>
      </c>
      <c r="J16" s="82"/>
      <c r="K16" s="82"/>
      <c r="L16" s="82"/>
    </row>
    <row r="17">
      <c r="A17" s="82"/>
      <c r="B17" s="112" t="s">
        <v>334</v>
      </c>
      <c r="C17" s="96">
        <v>4319</v>
      </c>
      <c r="D17" s="96">
        <v>4319</v>
      </c>
      <c r="E17" s="96">
        <v>4321</v>
      </c>
      <c r="F17" s="96">
        <v>4321</v>
      </c>
      <c r="G17" s="98">
        <f>F17</f>
        <v>4321</v>
      </c>
      <c r="H17" s="111">
        <f>F17</f>
        <v>4321</v>
      </c>
      <c r="I17" s="82"/>
      <c r="J17" s="82"/>
      <c r="K17" s="82"/>
      <c r="L17" s="82"/>
    </row>
    <row r="18">
      <c r="A18" s="82"/>
      <c r="B18" s="112" t="s">
        <v>335</v>
      </c>
      <c r="C18" s="96">
        <v>1420</v>
      </c>
      <c r="D18" s="96">
        <v>1409</v>
      </c>
      <c r="E18" s="96">
        <v>1391</v>
      </c>
      <c r="F18" s="96">
        <v>1430</v>
      </c>
      <c r="G18" s="98">
        <f>F18</f>
        <v>1430</v>
      </c>
      <c r="H18" s="111">
        <f>F18</f>
        <v>1430</v>
      </c>
      <c r="I18" s="82"/>
      <c r="J18" s="82"/>
      <c r="K18" s="82"/>
      <c r="L18" s="82"/>
    </row>
    <row r="19">
      <c r="A19" s="82"/>
      <c r="B19" s="89" t="s">
        <v>336</v>
      </c>
      <c r="C19" s="97">
        <f>C15+C16+C17+C18</f>
        <v>14359</v>
      </c>
      <c r="D19" s="97">
        <f>D15+D16+D17+D18</f>
        <v>15611</v>
      </c>
      <c r="E19" s="97">
        <f>E15+E16+E17+E18</f>
        <v>15045</v>
      </c>
      <c r="F19" s="97">
        <f>F15+F16+F17+F18</f>
        <v>13861</v>
      </c>
      <c r="G19" s="97">
        <f>G15+G16+G17+G18</f>
        <v>13861</v>
      </c>
      <c r="H19" s="114">
        <f>H15+H16+H17+H18</f>
        <v>14182.617160533799</v>
      </c>
      <c r="I19" s="82"/>
      <c r="J19" s="82"/>
      <c r="K19" s="82"/>
      <c r="L19" s="82"/>
    </row>
    <row r="20">
      <c r="A20" s="82"/>
      <c r="B20" s="112" t="s">
        <v>337</v>
      </c>
      <c r="C20" s="96">
        <v>1533</v>
      </c>
      <c r="D20" s="96">
        <v>1497</v>
      </c>
      <c r="E20" s="96">
        <v>1587</v>
      </c>
      <c r="F20" s="96">
        <v>1774</v>
      </c>
      <c r="G20" s="98">
        <f>F20</f>
        <v>1774</v>
      </c>
      <c r="H20" s="120">
        <f>H41*'Income Statement'!H13/H$7</f>
        <v>1893.981430133799</v>
      </c>
      <c r="I20" s="82"/>
      <c r="J20" s="82"/>
      <c r="K20" s="82"/>
      <c r="L20" s="82"/>
    </row>
    <row r="21">
      <c r="A21" s="82"/>
      <c r="B21" s="112" t="s">
        <v>338</v>
      </c>
      <c r="C21" s="96">
        <v>703</v>
      </c>
      <c r="D21" s="96">
        <v>771</v>
      </c>
      <c r="E21" s="96">
        <v>766</v>
      </c>
      <c r="F21" s="96">
        <v>690</v>
      </c>
      <c r="G21" s="98">
        <f>F21</f>
        <v>690</v>
      </c>
      <c r="H21" s="111">
        <f>F21</f>
        <v>690</v>
      </c>
      <c r="I21" s="82"/>
      <c r="J21" s="82"/>
      <c r="K21" s="82"/>
      <c r="L21" s="82"/>
    </row>
    <row r="22">
      <c r="A22" s="82"/>
      <c r="B22" s="112" t="s">
        <v>339</v>
      </c>
      <c r="C22" s="96">
        <v>413</v>
      </c>
      <c r="D22" s="96">
        <v>459</v>
      </c>
      <c r="E22" s="96">
        <v>501</v>
      </c>
      <c r="F22" s="96">
        <v>551</v>
      </c>
      <c r="G22" s="98">
        <f>F22</f>
        <v>551</v>
      </c>
      <c r="H22" s="120">
        <f>F22+'Cash Flow Statement'!H25</f>
        <v>251</v>
      </c>
      <c r="I22" s="91" t="s">
        <v>340</v>
      </c>
      <c r="J22" s="82"/>
      <c r="K22" s="82"/>
      <c r="L22" s="82"/>
    </row>
    <row r="23">
      <c r="A23" s="82"/>
      <c r="B23" s="112" t="s">
        <v>341</v>
      </c>
      <c r="C23" s="96">
        <v>298</v>
      </c>
      <c r="D23" s="96">
        <v>223</v>
      </c>
      <c r="E23" s="96">
        <v>202</v>
      </c>
      <c r="F23" s="96">
        <v>173</v>
      </c>
      <c r="G23" s="98">
        <f>F23</f>
        <v>173</v>
      </c>
      <c r="H23" s="111">
        <f>F23</f>
        <v>173</v>
      </c>
      <c r="I23" s="82"/>
      <c r="J23" s="82"/>
      <c r="K23" s="82"/>
      <c r="L23" s="82"/>
    </row>
    <row r="24">
      <c r="A24" s="82"/>
      <c r="B24" s="112" t="s">
        <v>342</v>
      </c>
      <c r="C24" s="96">
        <v>2226</v>
      </c>
      <c r="D24" s="96">
        <v>2226</v>
      </c>
      <c r="E24" s="96">
        <v>1581</v>
      </c>
      <c r="F24" s="96">
        <v>1052</v>
      </c>
      <c r="G24" s="98">
        <f>F24</f>
        <v>1052</v>
      </c>
      <c r="H24" s="120">
        <f>F24+'Cash Flow Statement'!H46+'Cash Flow Statement'!H48</f>
        <v>861</v>
      </c>
      <c r="I24" s="169" t="s">
        <v>343</v>
      </c>
      <c r="J24" s="82"/>
      <c r="K24" s="82"/>
      <c r="L24" s="82"/>
    </row>
    <row r="25">
      <c r="A25" s="82"/>
      <c r="B25" s="89" t="s">
        <v>344</v>
      </c>
      <c r="C25" s="97">
        <f>SUM(C20:C24)</f>
        <v>5173</v>
      </c>
      <c r="D25" s="97">
        <f>SUM(D20:D24)</f>
        <v>5176</v>
      </c>
      <c r="E25" s="97">
        <f>SUM(E20:E24)</f>
        <v>4637</v>
      </c>
      <c r="F25" s="97">
        <f>SUM(F20:F24)</f>
        <v>4240</v>
      </c>
      <c r="G25" s="97">
        <f>SUM(G20:G24)</f>
        <v>4240</v>
      </c>
      <c r="H25" s="114">
        <f>SUM(H20:H24)</f>
        <v>3868.981430133799</v>
      </c>
      <c r="I25" s="82"/>
      <c r="J25" s="82"/>
      <c r="K25" s="82"/>
      <c r="L25" s="82"/>
    </row>
    <row r="26">
      <c r="A26" s="82"/>
      <c r="B26" s="112" t="s">
        <v>345</v>
      </c>
      <c r="C26" s="96">
        <v>2457</v>
      </c>
      <c r="D26" s="96">
        <v>2429</v>
      </c>
      <c r="E26" s="96">
        <v>0</v>
      </c>
      <c r="F26" s="96">
        <v>0</v>
      </c>
      <c r="G26" s="98">
        <f>F26</f>
        <v>0</v>
      </c>
      <c r="H26" s="111">
        <f>F26</f>
        <v>0</v>
      </c>
      <c r="I26" s="82"/>
      <c r="J26" s="82"/>
      <c r="K26" s="82"/>
      <c r="L26" s="82"/>
    </row>
    <row r="27">
      <c r="A27" s="82"/>
      <c r="B27" s="112" t="s">
        <v>346</v>
      </c>
      <c r="C27" s="96">
        <v>612</v>
      </c>
      <c r="D27" s="96">
        <v>666</v>
      </c>
      <c r="E27" s="96">
        <v>728</v>
      </c>
      <c r="F27" s="96">
        <v>757</v>
      </c>
      <c r="G27" s="98">
        <f>F27</f>
        <v>757</v>
      </c>
      <c r="H27" s="111">
        <f>F27</f>
        <v>757</v>
      </c>
      <c r="I27" s="82"/>
      <c r="J27" s="82"/>
      <c r="K27" s="82"/>
      <c r="L27" s="82"/>
    </row>
    <row r="28">
      <c r="A28" s="82"/>
      <c r="B28" s="89" t="s">
        <v>347</v>
      </c>
      <c r="C28" s="97">
        <f>C25+C26+C27</f>
        <v>8242</v>
      </c>
      <c r="D28" s="97">
        <f>D25+D26+D27</f>
        <v>8271</v>
      </c>
      <c r="E28" s="97">
        <f>E25+E26+E27</f>
        <v>5365</v>
      </c>
      <c r="F28" s="97">
        <f>F25+F26+F27</f>
        <v>4997</v>
      </c>
      <c r="G28" s="97">
        <f>G25+G26+G27</f>
        <v>4997</v>
      </c>
      <c r="H28" s="114">
        <f>H25+H26+H27</f>
        <v>4625.981430133799</v>
      </c>
      <c r="I28" s="82"/>
      <c r="J28" s="82"/>
      <c r="K28" s="82"/>
      <c r="L28" s="82"/>
    </row>
    <row r="29">
      <c r="A29" s="82"/>
      <c r="B29" s="112" t="s">
        <v>348</v>
      </c>
      <c r="C29" s="96">
        <v>229</v>
      </c>
      <c r="D29" s="96">
        <v>229</v>
      </c>
      <c r="E29" s="96">
        <v>0</v>
      </c>
      <c r="F29" s="96">
        <v>0</v>
      </c>
      <c r="G29" s="98">
        <f>F29</f>
        <v>0</v>
      </c>
      <c r="H29" s="111">
        <f>F29</f>
        <v>0</v>
      </c>
      <c r="I29" s="82"/>
      <c r="J29" s="82"/>
      <c r="K29" s="82"/>
      <c r="L29" s="82"/>
    </row>
    <row r="30">
      <c r="A30" s="82"/>
      <c r="B30" s="144" t="s">
        <v>349</v>
      </c>
      <c r="C30" s="124">
        <v>5888</v>
      </c>
      <c r="D30" s="124">
        <v>7111</v>
      </c>
      <c r="E30" s="124">
        <v>9680</v>
      </c>
      <c r="F30" s="124">
        <v>8864</v>
      </c>
      <c r="G30" s="97">
        <f>F30</f>
        <v>8864</v>
      </c>
      <c r="H30" s="117">
        <f>F30+'Cash Flow Statement'!H10+'Cash Flow Statement'!H14+'Cash Flow Statement'!H39+'Cash Flow Statement'!H42+'Cash Flow Statement'!H45+'Cash Flow Statement'!H47</f>
        <v>9556.635730400001</v>
      </c>
      <c r="I30" s="91" t="s">
        <v>350</v>
      </c>
      <c r="J30" s="82"/>
      <c r="K30" s="82"/>
      <c r="L30" s="82"/>
    </row>
    <row r="31">
      <c r="A31" s="82"/>
      <c r="B31" s="89" t="s">
        <v>351</v>
      </c>
      <c r="C31" s="97">
        <f>C28+C29+C30</f>
        <v>14359</v>
      </c>
      <c r="D31" s="97">
        <f>D28+D29+D30</f>
        <v>15611</v>
      </c>
      <c r="E31" s="97">
        <f>E28+E29+E30</f>
        <v>15045</v>
      </c>
      <c r="F31" s="97">
        <f>F28+F29+F30</f>
        <v>13861</v>
      </c>
      <c r="G31" s="97">
        <f>G28+G29+G30</f>
        <v>13861</v>
      </c>
      <c r="H31" s="114">
        <f>H28+H29+H30</f>
        <v>14182.6171605338</v>
      </c>
      <c r="I31" s="82"/>
      <c r="J31" s="82"/>
      <c r="K31" s="82"/>
      <c r="L31" s="82"/>
    </row>
    <row r="32">
      <c r="A32" s="82"/>
      <c r="B32" s="89" t="s">
        <v>352</v>
      </c>
      <c r="C32" s="100">
        <f>C19-C31</f>
        <v>0</v>
      </c>
      <c r="D32" s="100">
        <f>D19-D31</f>
        <v>0</v>
      </c>
      <c r="E32" s="100">
        <f>E19-E31</f>
        <v>0</v>
      </c>
      <c r="F32" s="100">
        <f>F19-F31</f>
        <v>0</v>
      </c>
      <c r="G32" s="100">
        <f>G19-G31</f>
        <v>0</v>
      </c>
      <c r="H32" s="179">
        <f>H19-H31</f>
        <v>0</v>
      </c>
      <c r="I32" s="177" t="s">
        <v>353</v>
      </c>
      <c r="J32" s="82"/>
      <c r="K32" s="82"/>
      <c r="L32" s="82"/>
    </row>
    <row r="33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</row>
    <row r="34">
      <c r="A34" s="82"/>
      <c r="B34" s="89" t="s">
        <v>354</v>
      </c>
      <c r="C34" s="82"/>
      <c r="D34" s="82"/>
      <c r="E34" s="82"/>
      <c r="F34" s="82"/>
      <c r="G34" s="82"/>
      <c r="H34" s="82"/>
      <c r="I34" s="91" t="s">
        <v>355</v>
      </c>
      <c r="J34" s="82"/>
      <c r="K34" s="82"/>
      <c r="L34" s="82"/>
    </row>
    <row r="35">
      <c r="A35" s="82"/>
      <c r="B35" s="87" t="s">
        <v>356</v>
      </c>
      <c r="C35" s="90">
        <f>C11/'Income Statement'!C10*C$7</f>
        <v>47.12207239176721</v>
      </c>
      <c r="D35" s="90">
        <f>D11/'Income Statement'!D10*D$7</f>
        <v>50.82366589327147</v>
      </c>
      <c r="E35" s="90">
        <f>E11/'Income Statement'!E10*E$7</f>
        <v>51.64938567575667</v>
      </c>
      <c r="F35" s="90">
        <f>F11/'Income Statement'!F10*F$7</f>
        <v>49.203629570322924</v>
      </c>
      <c r="G35" s="90">
        <f>G11/'Income Statement'!G10*G$7</f>
        <v>58.18143819181051</v>
      </c>
      <c r="H35" s="111">
        <f>F35</f>
        <v>49.203629570322924</v>
      </c>
      <c r="I35" s="91" t="s">
        <v>203</v>
      </c>
      <c r="J35" s="82"/>
      <c r="K35" s="82"/>
      <c r="L35" s="82"/>
    </row>
    <row r="36">
      <c r="A36" s="82"/>
      <c r="B36" s="112" t="s">
        <v>357</v>
      </c>
      <c r="C36" s="98" t="s">
        <v>42</v>
      </c>
      <c r="D36" s="98" t="s">
        <v>42</v>
      </c>
      <c r="E36" s="98" t="s">
        <v>42</v>
      </c>
      <c r="F36" s="90">
        <f>F35-F50/'Income Statement'!F146*'Revenue summary'!F115</f>
        <v>-2.7065431743987673</v>
      </c>
      <c r="G36" s="90">
        <f>G35-G50/'Income Statement'!G146*'Revenue summary'!G115</f>
        <v>1.3637911329869752</v>
      </c>
      <c r="H36" s="111">
        <f>H35-C35</f>
        <v>2.0815571785557125</v>
      </c>
      <c r="I36" s="91" t="s">
        <v>358</v>
      </c>
      <c r="J36" s="82"/>
      <c r="K36" s="82"/>
      <c r="L36" s="82"/>
    </row>
    <row r="37">
      <c r="A37" s="82"/>
      <c r="B37" s="112" t="s">
        <v>359</v>
      </c>
      <c r="C37" s="90">
        <f>C35-F50/'Income Statement'!F146*'Revenue summary'!F115</f>
        <v>-4.78810035295448</v>
      </c>
      <c r="D37" s="98">
        <f>D35-C35</f>
        <v>3.701593501504256</v>
      </c>
      <c r="E37" s="98">
        <f>E35-D35</f>
        <v>0.8257197824852014</v>
      </c>
      <c r="F37" s="98">
        <f>F35-E35</f>
        <v>-2.4457561054337447</v>
      </c>
      <c r="G37" s="98" t="s">
        <v>42</v>
      </c>
      <c r="H37" s="111">
        <f>H35-F35</f>
        <v>0</v>
      </c>
      <c r="I37" s="82"/>
      <c r="J37" s="82"/>
      <c r="K37" s="82"/>
      <c r="L37" s="82"/>
    </row>
    <row r="38">
      <c r="A38" s="82"/>
      <c r="B38" s="87" t="s">
        <v>360</v>
      </c>
      <c r="C38" s="90">
        <f>C12/'Income Statement'!C13*C$7</f>
        <v>85.80389692017599</v>
      </c>
      <c r="D38" s="90">
        <f>D12/'Income Statement'!D13*D$7</f>
        <v>74.9902260232132</v>
      </c>
      <c r="E38" s="90">
        <f>E12/'Income Statement'!E13*E$7</f>
        <v>74.34497290788681</v>
      </c>
      <c r="F38" s="90">
        <f>F12/'Income Statement'!F13*F$7</f>
        <v>79.9889470622455</v>
      </c>
      <c r="G38" s="90">
        <f>G12/'Income Statement'!G13*G$7</f>
        <v>84.83368644067797</v>
      </c>
      <c r="H38" s="111">
        <f>F38</f>
        <v>79.9889470622455</v>
      </c>
      <c r="I38" s="91" t="s">
        <v>203</v>
      </c>
      <c r="J38" s="82"/>
      <c r="K38" s="82"/>
      <c r="L38" s="82"/>
    </row>
    <row r="39">
      <c r="A39" s="82"/>
      <c r="B39" s="112" t="s">
        <v>357</v>
      </c>
      <c r="C39" s="98" t="s">
        <v>42</v>
      </c>
      <c r="D39" s="98" t="s">
        <v>42</v>
      </c>
      <c r="E39" s="98" t="s">
        <v>42</v>
      </c>
      <c r="F39" s="90">
        <f>F38-F51/('Income Statement'!F146-'Income Statement'!F147)*'Revenue summary'!F115</f>
        <v>3.603381392544591</v>
      </c>
      <c r="G39" s="90">
        <f>G38-G51/('Income Statement'!G146-'Income Statement'!G147)*'Revenue summary'!G115</f>
        <v>4.20156564452148</v>
      </c>
      <c r="H39" s="111">
        <f>H38-C38</f>
        <v>-5.814949857930486</v>
      </c>
      <c r="I39" s="91" t="s">
        <v>358</v>
      </c>
      <c r="J39" s="82"/>
      <c r="K39" s="82"/>
      <c r="L39" s="82"/>
    </row>
    <row r="40">
      <c r="A40" s="82"/>
      <c r="B40" s="112" t="s">
        <v>359</v>
      </c>
      <c r="C40" s="90">
        <f>C38-F51/('Income Statement'!F146-'Income Statement'!F147)*'Revenue summary'!F115</f>
        <v>9.418331250475077</v>
      </c>
      <c r="D40" s="98">
        <f>D38-C38</f>
        <v>-10.81367089696279</v>
      </c>
      <c r="E40" s="98">
        <f>E38-D38</f>
        <v>-0.6452531153263834</v>
      </c>
      <c r="F40" s="98">
        <f>F38-E38</f>
        <v>5.643974154358688</v>
      </c>
      <c r="G40" s="98" t="s">
        <v>42</v>
      </c>
      <c r="H40" s="111">
        <f>H38-F38</f>
        <v>0</v>
      </c>
      <c r="I40" s="82"/>
      <c r="J40" s="82"/>
      <c r="K40" s="82"/>
      <c r="L40" s="82"/>
    </row>
    <row r="41">
      <c r="A41" s="82"/>
      <c r="B41" s="87" t="s">
        <v>361</v>
      </c>
      <c r="C41" s="90">
        <f>C20/'Income Statement'!C13*C$7</f>
        <v>94.42740414833438</v>
      </c>
      <c r="D41" s="90">
        <f>D20/'Income Statement'!D13*D$7</f>
        <v>83.21747098350642</v>
      </c>
      <c r="E41" s="90">
        <f>E20/'Income Statement'!E13*E$7</f>
        <v>86.94581577363034</v>
      </c>
      <c r="F41" s="90">
        <f>F20/'Income Statement'!F13*F$7</f>
        <v>93.91157649796392</v>
      </c>
      <c r="G41" s="90">
        <f>G20/'Income Statement'!G13*G$7</f>
        <v>99.59957627118644</v>
      </c>
      <c r="H41" s="111">
        <f>F41</f>
        <v>93.91157649796392</v>
      </c>
      <c r="I41" s="91" t="s">
        <v>203</v>
      </c>
      <c r="J41" s="82"/>
      <c r="K41" s="82"/>
      <c r="L41" s="82"/>
    </row>
    <row r="42">
      <c r="A42" s="82"/>
      <c r="B42" s="112" t="s">
        <v>357</v>
      </c>
      <c r="C42" s="98" t="s">
        <v>42</v>
      </c>
      <c r="D42" s="98" t="s">
        <v>42</v>
      </c>
      <c r="E42" s="98" t="s">
        <v>42</v>
      </c>
      <c r="F42" s="90">
        <f>F41-F52/('Income Statement'!F146-'Income Statement'!F147)*'Revenue summary'!F115</f>
        <v>19.005204586390448</v>
      </c>
      <c r="G42" s="90">
        <f>G41-G52/('Income Statement'!G146-'Income Statement'!G147)*'Revenue summary'!G115</f>
        <v>20.528883065970234</v>
      </c>
      <c r="H42" s="111">
        <f>H41-C41</f>
        <v>-0.5158276503704542</v>
      </c>
      <c r="I42" s="91" t="s">
        <v>358</v>
      </c>
      <c r="J42" s="82"/>
      <c r="K42" s="82"/>
      <c r="L42" s="82"/>
    </row>
    <row r="43">
      <c r="A43" s="82"/>
      <c r="B43" s="112" t="s">
        <v>359</v>
      </c>
      <c r="C43" s="90">
        <f>C41-F52/('Income Statement'!F146-'Income Statement'!F147)*'Revenue summary'!F115</f>
        <v>19.521032236760902</v>
      </c>
      <c r="D43" s="98">
        <f>D41-C41</f>
        <v>-11.209933164827959</v>
      </c>
      <c r="E43" s="98">
        <f>E41-D41</f>
        <v>3.728344790123927</v>
      </c>
      <c r="F43" s="98">
        <f>F41-E41</f>
        <v>6.9657607243335775</v>
      </c>
      <c r="G43" s="98" t="s">
        <v>42</v>
      </c>
      <c r="H43" s="111">
        <f>H41-F41</f>
        <v>0</v>
      </c>
      <c r="I43" s="82"/>
      <c r="J43" s="82"/>
      <c r="K43" s="82"/>
      <c r="L43" s="82"/>
    </row>
    <row r="44">
      <c r="A44" s="82"/>
      <c r="B44" s="89" t="s">
        <v>362</v>
      </c>
      <c r="C44" s="97">
        <f>C24+C26</f>
        <v>4683</v>
      </c>
      <c r="D44" s="97">
        <f>D24+D26</f>
        <v>4655</v>
      </c>
      <c r="E44" s="97">
        <f>E24+E26</f>
        <v>1581</v>
      </c>
      <c r="F44" s="97">
        <f>F24+F26</f>
        <v>1052</v>
      </c>
      <c r="G44" s="97">
        <f>G24+G26</f>
        <v>1052</v>
      </c>
      <c r="H44" s="114">
        <f>H24+H26</f>
        <v>861</v>
      </c>
      <c r="I44" s="82"/>
      <c r="J44" s="82"/>
      <c r="K44" s="82"/>
      <c r="L44" s="82"/>
    </row>
    <row r="45">
      <c r="A45" s="82"/>
      <c r="B45" s="89" t="s">
        <v>363</v>
      </c>
      <c r="C45" s="97">
        <f>C10-C44</f>
        <v>-2635</v>
      </c>
      <c r="D45" s="97">
        <f>D10-D44</f>
        <v>-2680</v>
      </c>
      <c r="E45" s="97">
        <f>E10-E44</f>
        <v>469</v>
      </c>
      <c r="F45" s="97">
        <f>F10-F44</f>
        <v>527</v>
      </c>
      <c r="G45" s="97">
        <f>G10-G44</f>
        <v>527</v>
      </c>
      <c r="H45" s="114">
        <f>H10-H44</f>
        <v>682.0307544118559</v>
      </c>
      <c r="I45" s="82"/>
      <c r="J45" s="82"/>
      <c r="K45" s="82"/>
      <c r="L45" s="82"/>
    </row>
    <row r="46">
      <c r="A46" s="82"/>
      <c r="B46" s="112" t="s">
        <v>97</v>
      </c>
      <c r="C46" s="98" t="s">
        <v>42</v>
      </c>
      <c r="D46" s="98">
        <f>D45-C45</f>
        <v>-45</v>
      </c>
      <c r="E46" s="98">
        <f>E45-D45</f>
        <v>3149</v>
      </c>
      <c r="F46" s="98">
        <f>F45-E45</f>
        <v>58</v>
      </c>
      <c r="G46" s="98" t="s">
        <v>42</v>
      </c>
      <c r="H46" s="111">
        <f>H45-F45</f>
        <v>155.03075441185592</v>
      </c>
      <c r="I46" s="82"/>
      <c r="J46" s="82"/>
      <c r="K46" s="82"/>
      <c r="L46" s="82"/>
    </row>
    <row r="47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</row>
    <row r="48">
      <c r="A48" s="82"/>
      <c r="B48" s="89" t="s">
        <v>364</v>
      </c>
      <c r="C48" s="82"/>
      <c r="D48" s="82"/>
      <c r="E48" s="82"/>
      <c r="F48" s="82"/>
      <c r="G48" s="82"/>
      <c r="H48" s="82"/>
      <c r="I48" s="91" t="s">
        <v>365</v>
      </c>
      <c r="J48" s="82"/>
      <c r="K48" s="82"/>
      <c r="L48" s="82"/>
    </row>
    <row r="49">
      <c r="A49" s="82"/>
      <c r="B49" s="87" t="s">
        <v>160</v>
      </c>
      <c r="C49" s="104" t="s">
        <v>161</v>
      </c>
      <c r="D49" s="104" t="s">
        <v>162</v>
      </c>
      <c r="E49" s="104" t="s">
        <v>163</v>
      </c>
      <c r="F49" s="104" t="s">
        <v>164</v>
      </c>
      <c r="G49" s="104" t="s">
        <v>165</v>
      </c>
      <c r="H49" s="131" t="s">
        <v>83</v>
      </c>
      <c r="I49" s="82"/>
      <c r="J49" s="82"/>
      <c r="K49" s="82"/>
      <c r="L49" s="82"/>
    </row>
    <row r="50">
      <c r="A50" s="82"/>
      <c r="B50" s="87" t="s">
        <v>325</v>
      </c>
      <c r="C50" s="98" t="s">
        <v>42</v>
      </c>
      <c r="D50" s="98" t="s">
        <v>42</v>
      </c>
      <c r="E50" s="98" t="s">
        <v>42</v>
      </c>
      <c r="F50" s="96">
        <v>1486</v>
      </c>
      <c r="G50" s="98">
        <f>F50</f>
        <v>1486</v>
      </c>
      <c r="H50" s="111">
        <f>C11</f>
        <v>1355</v>
      </c>
      <c r="I50" s="82"/>
      <c r="J50" s="82"/>
      <c r="K50" s="82"/>
      <c r="L50" s="82"/>
    </row>
    <row r="51">
      <c r="A51" s="82"/>
      <c r="B51" s="87" t="s">
        <v>326</v>
      </c>
      <c r="C51" s="98" t="s">
        <v>42</v>
      </c>
      <c r="D51" s="98" t="s">
        <v>42</v>
      </c>
      <c r="E51" s="98" t="s">
        <v>42</v>
      </c>
      <c r="F51" s="96">
        <v>1291</v>
      </c>
      <c r="G51" s="98">
        <f>F51</f>
        <v>1291</v>
      </c>
      <c r="H51" s="111">
        <f>C12</f>
        <v>1393</v>
      </c>
      <c r="I51" s="82"/>
      <c r="J51" s="82"/>
      <c r="K51" s="82"/>
      <c r="L51" s="82"/>
    </row>
    <row r="52">
      <c r="A52" s="82"/>
      <c r="B52" s="87" t="s">
        <v>337</v>
      </c>
      <c r="C52" s="98" t="s">
        <v>42</v>
      </c>
      <c r="D52" s="98" t="s">
        <v>42</v>
      </c>
      <c r="E52" s="98" t="s">
        <v>42</v>
      </c>
      <c r="F52" s="96">
        <v>1266</v>
      </c>
      <c r="G52" s="98">
        <f>F52</f>
        <v>1266</v>
      </c>
      <c r="H52" s="111">
        <f>C20</f>
        <v>1533</v>
      </c>
      <c r="I52" s="82"/>
      <c r="J52" s="82"/>
      <c r="K52" s="82"/>
      <c r="L52" s="82"/>
    </row>
    <row r="53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</row>
    <row r="54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</row>
    <row r="5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L8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>
      <c r="A2" s="82"/>
      <c r="B2" s="109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</row>
    <row r="3">
      <c r="A3" s="82"/>
      <c r="B3" s="89" t="s">
        <v>366</v>
      </c>
      <c r="C3" s="82"/>
      <c r="D3" s="82"/>
      <c r="E3" s="82"/>
      <c r="F3" s="82"/>
      <c r="G3" s="82"/>
      <c r="H3" s="82"/>
      <c r="I3" s="82"/>
      <c r="J3" s="82"/>
      <c r="K3" s="82"/>
      <c r="L3" s="82"/>
    </row>
    <row r="4">
      <c r="A4" s="82"/>
      <c r="B4" s="103" t="s">
        <v>2</v>
      </c>
      <c r="C4" s="82"/>
      <c r="D4" s="82"/>
      <c r="E4" s="82"/>
      <c r="F4" s="82"/>
      <c r="G4" s="82"/>
      <c r="H4" s="82"/>
      <c r="I4" s="82"/>
      <c r="J4" s="82"/>
      <c r="K4" s="82"/>
      <c r="L4" s="82"/>
    </row>
    <row r="5">
      <c r="A5" s="82"/>
      <c r="B5" s="116" t="s">
        <v>82</v>
      </c>
      <c r="C5" s="88" t="s">
        <v>83</v>
      </c>
      <c r="D5" s="88" t="s">
        <v>84</v>
      </c>
      <c r="E5" s="88" t="s">
        <v>85</v>
      </c>
      <c r="F5" s="88" t="s">
        <v>86</v>
      </c>
      <c r="G5" s="88" t="s">
        <v>87</v>
      </c>
      <c r="H5" s="134" t="s">
        <v>88</v>
      </c>
      <c r="I5" s="116" t="s">
        <v>4</v>
      </c>
      <c r="J5" s="82"/>
      <c r="K5" s="82"/>
      <c r="L5" s="82"/>
    </row>
    <row r="6">
      <c r="A6" s="82"/>
      <c r="B6" s="113" t="s">
        <v>89</v>
      </c>
      <c r="C6" s="106">
        <v>45933</v>
      </c>
      <c r="D6" s="106">
        <v>46024</v>
      </c>
      <c r="E6" s="106">
        <v>46115</v>
      </c>
      <c r="F6" s="106">
        <v>46206</v>
      </c>
      <c r="G6" s="106">
        <v>46206</v>
      </c>
      <c r="H6" s="126">
        <v>46297</v>
      </c>
      <c r="I6" s="86"/>
      <c r="J6" s="82"/>
      <c r="K6" s="82"/>
      <c r="L6" s="82"/>
    </row>
    <row r="7">
      <c r="A7" s="82"/>
      <c r="B7" s="122" t="s">
        <v>90</v>
      </c>
      <c r="C7" s="93">
        <v>98</v>
      </c>
      <c r="D7" s="93">
        <v>91</v>
      </c>
      <c r="E7" s="93">
        <v>91</v>
      </c>
      <c r="F7" s="93">
        <v>91</v>
      </c>
      <c r="G7" s="93">
        <v>371</v>
      </c>
      <c r="H7" s="130">
        <v>91</v>
      </c>
      <c r="I7" s="143"/>
      <c r="J7" s="82"/>
      <c r="K7" s="82"/>
      <c r="L7" s="82"/>
    </row>
    <row r="8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</row>
    <row r="9">
      <c r="A9" s="82"/>
      <c r="B9" s="89" t="s">
        <v>367</v>
      </c>
      <c r="C9" s="82"/>
      <c r="D9" s="82"/>
      <c r="E9" s="82"/>
      <c r="F9" s="82"/>
      <c r="G9" s="82"/>
      <c r="H9" s="82"/>
      <c r="I9" s="91" t="s">
        <v>368</v>
      </c>
      <c r="J9" s="82"/>
      <c r="K9" s="82"/>
      <c r="L9" s="82"/>
    </row>
    <row r="10">
      <c r="A10" s="82"/>
      <c r="B10" s="112" t="s">
        <v>220</v>
      </c>
      <c r="C10" s="90">
        <f>'Income Statement'!C49</f>
        <v>1182</v>
      </c>
      <c r="D10" s="90">
        <f>'Income Statement'!D49</f>
        <v>1842</v>
      </c>
      <c r="E10" s="90">
        <f>'Income Statement'!E49</f>
        <v>3205</v>
      </c>
      <c r="F10" s="90">
        <f>'Income Statement'!F49</f>
        <v>3195</v>
      </c>
      <c r="G10" s="98">
        <f>SUM(C10:F10)</f>
        <v>9424</v>
      </c>
      <c r="H10" s="120">
        <f>'Income Statement'!H49</f>
        <v>1551.716872</v>
      </c>
      <c r="I10" s="82"/>
      <c r="J10" s="82"/>
      <c r="K10" s="82"/>
      <c r="L10" s="82"/>
    </row>
    <row r="11">
      <c r="A11" s="82"/>
      <c r="B11" s="112" t="s">
        <v>369</v>
      </c>
      <c r="C11" s="96">
        <v>88</v>
      </c>
      <c r="D11" s="96">
        <v>92</v>
      </c>
      <c r="E11" s="96">
        <v>96</v>
      </c>
      <c r="F11" s="96">
        <v>99</v>
      </c>
      <c r="G11" s="98">
        <f>SUM(C11:F11)</f>
        <v>375</v>
      </c>
      <c r="H11" s="125">
        <v>102</v>
      </c>
      <c r="I11" s="91" t="s">
        <v>370</v>
      </c>
      <c r="J11" s="82"/>
      <c r="K11" s="82"/>
      <c r="L11" s="82"/>
    </row>
    <row r="12">
      <c r="A12" s="82"/>
      <c r="B12" s="146" t="s">
        <v>291</v>
      </c>
      <c r="C12" s="98" t="s">
        <v>42</v>
      </c>
      <c r="D12" s="98" t="s">
        <v>42</v>
      </c>
      <c r="E12" s="98" t="s">
        <v>42</v>
      </c>
      <c r="F12" s="98">
        <f>F11-F73</f>
        <v>13</v>
      </c>
      <c r="G12" s="98" t="s">
        <v>42</v>
      </c>
      <c r="H12" s="111">
        <f>H11-C11</f>
        <v>14</v>
      </c>
      <c r="I12" s="91" t="s">
        <v>371</v>
      </c>
      <c r="J12" s="82"/>
      <c r="K12" s="82"/>
      <c r="L12" s="82"/>
    </row>
    <row r="13">
      <c r="A13" s="82"/>
      <c r="B13" s="146" t="s">
        <v>97</v>
      </c>
      <c r="C13" s="98">
        <f>C11-F73</f>
        <v>2</v>
      </c>
      <c r="D13" s="98">
        <f>D11-C11</f>
        <v>4</v>
      </c>
      <c r="E13" s="98">
        <f>E11-D11</f>
        <v>4</v>
      </c>
      <c r="F13" s="98">
        <f>F11-E11</f>
        <v>3</v>
      </c>
      <c r="G13" s="98" t="s">
        <v>42</v>
      </c>
      <c r="H13" s="111">
        <f>H11-F11</f>
        <v>3</v>
      </c>
      <c r="I13" s="82"/>
      <c r="J13" s="82"/>
      <c r="K13" s="82"/>
      <c r="L13" s="82"/>
    </row>
    <row r="14">
      <c r="A14" s="82"/>
      <c r="B14" s="112" t="s">
        <v>372</v>
      </c>
      <c r="C14" s="90">
        <f>'Income Statement'!C68-'Income Statement'!C76</f>
        <v>53</v>
      </c>
      <c r="D14" s="90">
        <f>'Income Statement'!D68-'Income Statement'!D76</f>
        <v>53</v>
      </c>
      <c r="E14" s="90">
        <f>'Income Statement'!E68-'Income Statement'!E76</f>
        <v>53</v>
      </c>
      <c r="F14" s="90">
        <f>'Income Statement'!F68-'Income Statement'!F76</f>
        <v>45</v>
      </c>
      <c r="G14" s="98">
        <f>SUM(C14:F14)</f>
        <v>204</v>
      </c>
      <c r="H14" s="125">
        <v>55</v>
      </c>
      <c r="I14" s="91" t="s">
        <v>373</v>
      </c>
      <c r="J14" s="82"/>
      <c r="K14" s="82"/>
      <c r="L14" s="82"/>
    </row>
    <row r="15">
      <c r="A15" s="82"/>
      <c r="B15" s="146" t="s">
        <v>291</v>
      </c>
      <c r="C15" s="98" t="s">
        <v>42</v>
      </c>
      <c r="D15" s="98" t="s">
        <v>42</v>
      </c>
      <c r="E15" s="98" t="s">
        <v>42</v>
      </c>
      <c r="F15" s="98">
        <f>F14-F74</f>
        <v>0</v>
      </c>
      <c r="G15" s="98" t="s">
        <v>42</v>
      </c>
      <c r="H15" s="111">
        <f>H14-C14</f>
        <v>2</v>
      </c>
      <c r="I15" s="91" t="s">
        <v>371</v>
      </c>
      <c r="J15" s="82"/>
      <c r="K15" s="82"/>
      <c r="L15" s="82"/>
    </row>
    <row r="16">
      <c r="A16" s="82"/>
      <c r="B16" s="146" t="s">
        <v>97</v>
      </c>
      <c r="C16" s="98">
        <f>C14-F74</f>
        <v>8</v>
      </c>
      <c r="D16" s="98">
        <f>D14-C14</f>
        <v>0</v>
      </c>
      <c r="E16" s="98">
        <f>E14-D14</f>
        <v>0</v>
      </c>
      <c r="F16" s="98">
        <f>F14-E14</f>
        <v>-8</v>
      </c>
      <c r="G16" s="98" t="s">
        <v>42</v>
      </c>
      <c r="H16" s="111">
        <f>H14-F14</f>
        <v>10</v>
      </c>
      <c r="I16" s="82"/>
      <c r="J16" s="82"/>
      <c r="K16" s="82"/>
      <c r="L16" s="82"/>
    </row>
    <row r="17">
      <c r="A17" s="82"/>
      <c r="B17" s="112" t="s">
        <v>374</v>
      </c>
      <c r="C17" s="96">
        <v>55</v>
      </c>
      <c r="D17" s="96">
        <v>29</v>
      </c>
      <c r="E17" s="96">
        <v>47</v>
      </c>
      <c r="F17" s="96">
        <v>-2</v>
      </c>
      <c r="G17" s="98">
        <f>SUM(C17:F17)</f>
        <v>129</v>
      </c>
      <c r="H17" s="125">
        <v>0</v>
      </c>
      <c r="I17" s="91" t="s">
        <v>375</v>
      </c>
      <c r="J17" s="82"/>
      <c r="K17" s="82"/>
      <c r="L17" s="82"/>
    </row>
    <row r="18">
      <c r="A18" s="82"/>
      <c r="B18" s="112" t="s">
        <v>376</v>
      </c>
      <c r="C18" s="96">
        <v>0</v>
      </c>
      <c r="D18" s="96">
        <v>0</v>
      </c>
      <c r="E18" s="96">
        <v>0</v>
      </c>
      <c r="F18" s="96">
        <v>35</v>
      </c>
      <c r="G18" s="98">
        <f>SUM(C18:F18)</f>
        <v>35</v>
      </c>
      <c r="H18" s="125">
        <v>0</v>
      </c>
      <c r="I18" s="180" t="s">
        <v>377</v>
      </c>
      <c r="J18" s="82"/>
      <c r="K18" s="82"/>
      <c r="L18" s="82"/>
    </row>
    <row r="19">
      <c r="A19" s="82"/>
      <c r="B19" s="112" t="s">
        <v>378</v>
      </c>
      <c r="C19" s="90">
        <f>-'Income Statement'!C35</f>
        <v>-611</v>
      </c>
      <c r="D19" s="90">
        <f>-'Income Statement'!D35</f>
        <v>-1103</v>
      </c>
      <c r="E19" s="90">
        <f>-'Income Statement'!E35</f>
        <v>-2734</v>
      </c>
      <c r="F19" s="90">
        <f>-'Income Statement'!F35</f>
        <v>-2050</v>
      </c>
      <c r="G19" s="98">
        <f>SUM(C19:F19)</f>
        <v>-6498</v>
      </c>
      <c r="H19" s="120">
        <f>-'Income Statement'!H35</f>
        <v>0</v>
      </c>
      <c r="I19" s="82"/>
      <c r="J19" s="82"/>
      <c r="K19" s="82"/>
      <c r="L19" s="82"/>
    </row>
    <row r="20">
      <c r="A20" s="82"/>
      <c r="B20" s="112" t="s">
        <v>379</v>
      </c>
      <c r="C20" s="90">
        <f>-('Income Statement'!C36+'Income Statement'!C37+'Income Statement'!C38)</f>
        <v>0</v>
      </c>
      <c r="D20" s="90">
        <f>-('Income Statement'!D36+'Income Statement'!D37+'Income Statement'!D38)</f>
        <v>0</v>
      </c>
      <c r="E20" s="90">
        <f>-('Income Statement'!E36+'Income Statement'!E37+'Income Statement'!E38)</f>
        <v>545</v>
      </c>
      <c r="F20" s="90">
        <f>-('Income Statement'!F36+'Income Statement'!F37+'Income Statement'!F38)</f>
        <v>362</v>
      </c>
      <c r="G20" s="98">
        <f>SUM(C20:F20)</f>
        <v>907</v>
      </c>
      <c r="H20" s="120">
        <f>-('Income Statement'!H36+'Income Statement'!H37+'Income Statement'!H38)</f>
        <v>0</v>
      </c>
      <c r="I20" s="82"/>
      <c r="J20" s="82"/>
      <c r="K20" s="82"/>
      <c r="L20" s="82"/>
    </row>
    <row r="21">
      <c r="A21" s="82"/>
      <c r="B21" s="112" t="s">
        <v>380</v>
      </c>
      <c r="C21" s="96">
        <v>4</v>
      </c>
      <c r="D21" s="96">
        <v>8</v>
      </c>
      <c r="E21" s="96">
        <v>4</v>
      </c>
      <c r="F21" s="96">
        <v>-5</v>
      </c>
      <c r="G21" s="98">
        <f>SUM(C21:F21)</f>
        <v>11</v>
      </c>
      <c r="H21" s="125">
        <v>0</v>
      </c>
      <c r="I21" s="180" t="s">
        <v>381</v>
      </c>
      <c r="J21" s="82"/>
      <c r="K21" s="82"/>
      <c r="L21" s="82"/>
    </row>
    <row r="22">
      <c r="A22" s="82"/>
      <c r="B22" s="112" t="s">
        <v>382</v>
      </c>
      <c r="C22" s="96">
        <v>131</v>
      </c>
      <c r="D22" s="96">
        <v>-330</v>
      </c>
      <c r="E22" s="96">
        <v>-209</v>
      </c>
      <c r="F22" s="96">
        <v>-133</v>
      </c>
      <c r="G22" s="98">
        <f>SUM(C22:F22)</f>
        <v>-541</v>
      </c>
      <c r="H22" s="120">
        <f>'Balance Sheet'!F11-'Balance Sheet'!H11</f>
        <v>-232.39252735521768</v>
      </c>
      <c r="I22" s="82"/>
      <c r="J22" s="82"/>
      <c r="K22" s="82"/>
      <c r="L22" s="82"/>
    </row>
    <row r="23">
      <c r="A23" s="82"/>
      <c r="B23" s="112" t="s">
        <v>383</v>
      </c>
      <c r="C23" s="96">
        <v>-101</v>
      </c>
      <c r="D23" s="96">
        <v>46</v>
      </c>
      <c r="E23" s="96">
        <v>-9</v>
      </c>
      <c r="F23" s="96">
        <v>-154</v>
      </c>
      <c r="G23" s="98">
        <f>SUM(C23:F23)</f>
        <v>-218</v>
      </c>
      <c r="H23" s="120">
        <f>'Balance Sheet'!F12-'Balance Sheet'!H12</f>
        <v>-102.19387876672522</v>
      </c>
      <c r="I23" s="82"/>
      <c r="J23" s="82"/>
      <c r="K23" s="82"/>
      <c r="L23" s="82"/>
    </row>
    <row r="24">
      <c r="A24" s="82"/>
      <c r="B24" s="112" t="s">
        <v>384</v>
      </c>
      <c r="C24" s="96">
        <v>248</v>
      </c>
      <c r="D24" s="96">
        <v>-29</v>
      </c>
      <c r="E24" s="96">
        <v>70</v>
      </c>
      <c r="F24" s="96">
        <v>96</v>
      </c>
      <c r="G24" s="98">
        <f>SUM(C24:F24)</f>
        <v>385</v>
      </c>
      <c r="H24" s="120">
        <f>'Balance Sheet'!H20-'Balance Sheet'!F20</f>
        <v>119.981430133799</v>
      </c>
      <c r="I24" s="82"/>
      <c r="J24" s="82"/>
      <c r="K24" s="82"/>
      <c r="L24" s="82"/>
    </row>
    <row r="25">
      <c r="A25" s="82"/>
      <c r="B25" s="112" t="s">
        <v>385</v>
      </c>
      <c r="C25" s="96">
        <v>-377</v>
      </c>
      <c r="D25" s="96">
        <v>137</v>
      </c>
      <c r="E25" s="96">
        <v>55</v>
      </c>
      <c r="F25" s="96">
        <v>-99</v>
      </c>
      <c r="G25" s="98">
        <f>SUM(C25:F25)</f>
        <v>-284</v>
      </c>
      <c r="H25" s="125">
        <v>-300</v>
      </c>
      <c r="I25" s="91" t="s">
        <v>386</v>
      </c>
      <c r="J25" s="82"/>
      <c r="K25" s="82"/>
      <c r="L25" s="82"/>
    </row>
    <row r="26">
      <c r="A26" s="82"/>
      <c r="B26" s="146" t="s">
        <v>291</v>
      </c>
      <c r="C26" s="98" t="s">
        <v>42</v>
      </c>
      <c r="D26" s="98" t="s">
        <v>42</v>
      </c>
      <c r="E26" s="98" t="s">
        <v>42</v>
      </c>
      <c r="F26" s="98">
        <f>F25-F75</f>
        <v>-250</v>
      </c>
      <c r="G26" s="98" t="s">
        <v>42</v>
      </c>
      <c r="H26" s="111">
        <f>H25-C25</f>
        <v>77</v>
      </c>
      <c r="I26" s="91" t="s">
        <v>371</v>
      </c>
      <c r="J26" s="82"/>
      <c r="K26" s="82"/>
      <c r="L26" s="82"/>
    </row>
    <row r="27">
      <c r="A27" s="82"/>
      <c r="B27" s="146" t="s">
        <v>97</v>
      </c>
      <c r="C27" s="98">
        <f>C25-F75</f>
        <v>-528</v>
      </c>
      <c r="D27" s="98">
        <f>D25-C25</f>
        <v>514</v>
      </c>
      <c r="E27" s="98">
        <f>E25-D25</f>
        <v>-82</v>
      </c>
      <c r="F27" s="98">
        <f>F25-E25</f>
        <v>-154</v>
      </c>
      <c r="G27" s="98" t="s">
        <v>42</v>
      </c>
      <c r="H27" s="111">
        <f>H25-F25</f>
        <v>-201</v>
      </c>
      <c r="I27" s="82"/>
      <c r="J27" s="82"/>
      <c r="K27" s="82"/>
      <c r="L27" s="82"/>
    </row>
    <row r="28">
      <c r="A28" s="82"/>
      <c r="B28" s="89" t="s">
        <v>387</v>
      </c>
      <c r="C28" s="97">
        <f>C10+C11+C14+C17+C18+C19+C20+C21+C22+C23+C24+C25</f>
        <v>672</v>
      </c>
      <c r="D28" s="97">
        <f>D10+D11+D14+D17+D18+D19+D20+D21+D22+D23+D24+D25</f>
        <v>745</v>
      </c>
      <c r="E28" s="97">
        <f>E10+E11+E14+E17+E18+E19+E20+E21+E22+E23+E24+E25</f>
        <v>1123</v>
      </c>
      <c r="F28" s="97">
        <f>F10+F11+F14+F17+F18+F19+F20+F21+F22+F23+F24+F25</f>
        <v>1389</v>
      </c>
      <c r="G28" s="97">
        <f>G10+G11+G14+G17+G18+G19+G20+G21+G22+G23+G24+G25</f>
        <v>3929</v>
      </c>
      <c r="H28" s="114">
        <f>H10+H11+H14+H17+H18+H19+H20+H21+H22+H23+H24+H25</f>
        <v>1194.111896011856</v>
      </c>
      <c r="I28" s="82"/>
      <c r="J28" s="82"/>
      <c r="K28" s="82"/>
      <c r="L28" s="82"/>
    </row>
    <row r="29">
      <c r="A29" s="82"/>
      <c r="B29" s="99" t="s">
        <v>388</v>
      </c>
      <c r="C29" s="138">
        <f>C28/'Income Statement'!C10</f>
        <v>0.23846699787083037</v>
      </c>
      <c r="D29" s="138">
        <f>D28/'Income Statement'!D10</f>
        <v>0.2469340404375207</v>
      </c>
      <c r="E29" s="138">
        <f>E28/'Income Statement'!E10</f>
        <v>0.33652981720107883</v>
      </c>
      <c r="F29" s="138">
        <f>F28/'Income Statement'!F10</f>
        <v>0.37069655724579664</v>
      </c>
      <c r="G29" s="138">
        <f>G28/'Income Statement'!G10</f>
        <v>0.30412570632401886</v>
      </c>
      <c r="H29" s="152">
        <f>H28/'Income Statement'!H10</f>
        <v>0.2858915667525034</v>
      </c>
      <c r="I29" s="82"/>
      <c r="J29" s="82"/>
      <c r="K29" s="82"/>
      <c r="L29" s="82"/>
    </row>
    <row r="30">
      <c r="A30" s="82"/>
      <c r="B30" s="107" t="s">
        <v>133</v>
      </c>
      <c r="C30" s="94" t="s">
        <v>42</v>
      </c>
      <c r="D30" s="94" t="s">
        <v>42</v>
      </c>
      <c r="E30" s="94" t="s">
        <v>42</v>
      </c>
      <c r="F30" s="150">
        <f>(F29-F76/'Income Statement'!F146)*10000</f>
        <v>843.2419640126687</v>
      </c>
      <c r="G30" s="94" t="s">
        <v>42</v>
      </c>
      <c r="H30" s="135">
        <f>(H29-C29)*10000</f>
        <v>474.24568881673014</v>
      </c>
      <c r="I30" s="82"/>
      <c r="J30" s="82"/>
      <c r="K30" s="82"/>
      <c r="L30" s="82"/>
    </row>
    <row r="31">
      <c r="A31" s="82"/>
      <c r="B31" s="107" t="s">
        <v>134</v>
      </c>
      <c r="C31" s="150">
        <f>(C29-F76/'Income Statement'!F146)*10000</f>
        <v>-479.0536297369941</v>
      </c>
      <c r="D31" s="94">
        <f>(D29-C29)*10000</f>
        <v>84.67042566690341</v>
      </c>
      <c r="E31" s="94">
        <f>(E29-D29)*10000</f>
        <v>895.9577676355813</v>
      </c>
      <c r="F31" s="94">
        <f>(F29-E29)*10000</f>
        <v>341.6674004471781</v>
      </c>
      <c r="G31" s="94" t="s">
        <v>42</v>
      </c>
      <c r="H31" s="135">
        <f>(H29-F29)*10000</f>
        <v>-848.0499049329327</v>
      </c>
      <c r="I31" s="82"/>
      <c r="J31" s="82"/>
      <c r="K31" s="82"/>
      <c r="L31" s="82"/>
    </row>
    <row r="32">
      <c r="A32" s="82"/>
      <c r="B32" s="89" t="s">
        <v>389</v>
      </c>
      <c r="C32" s="82"/>
      <c r="D32" s="82"/>
      <c r="E32" s="82"/>
      <c r="F32" s="82"/>
      <c r="G32" s="82"/>
      <c r="H32" s="82"/>
      <c r="I32" s="82"/>
      <c r="J32" s="82"/>
      <c r="K32" s="82"/>
      <c r="L32" s="82"/>
    </row>
    <row r="33">
      <c r="A33" s="82"/>
      <c r="B33" s="112" t="s">
        <v>390</v>
      </c>
      <c r="C33" s="96">
        <v>-73</v>
      </c>
      <c r="D33" s="96">
        <v>-92</v>
      </c>
      <c r="E33" s="96">
        <v>-145</v>
      </c>
      <c r="F33" s="96">
        <v>-108</v>
      </c>
      <c r="G33" s="98">
        <f>SUM(C33:F33)</f>
        <v>-418</v>
      </c>
      <c r="H33" s="125">
        <v>-125</v>
      </c>
      <c r="I33" s="91" t="s">
        <v>391</v>
      </c>
      <c r="J33" s="82"/>
      <c r="K33" s="82"/>
      <c r="L33" s="82"/>
    </row>
    <row r="34">
      <c r="A34" s="82"/>
      <c r="B34" s="146" t="s">
        <v>291</v>
      </c>
      <c r="C34" s="98" t="s">
        <v>42</v>
      </c>
      <c r="D34" s="98" t="s">
        <v>42</v>
      </c>
      <c r="E34" s="98" t="s">
        <v>42</v>
      </c>
      <c r="F34" s="98">
        <f>F33-F77</f>
        <v>-37</v>
      </c>
      <c r="G34" s="98" t="s">
        <v>42</v>
      </c>
      <c r="H34" s="111">
        <f>H33-C33</f>
        <v>-52</v>
      </c>
      <c r="I34" s="91" t="s">
        <v>371</v>
      </c>
      <c r="J34" s="82"/>
      <c r="K34" s="82"/>
      <c r="L34" s="82"/>
    </row>
    <row r="35">
      <c r="A35" s="82"/>
      <c r="B35" s="146" t="s">
        <v>97</v>
      </c>
      <c r="C35" s="98">
        <f>C33-F77</f>
        <v>-2</v>
      </c>
      <c r="D35" s="98">
        <f>D33-C33</f>
        <v>-19</v>
      </c>
      <c r="E35" s="98">
        <f>E33-D33</f>
        <v>-53</v>
      </c>
      <c r="F35" s="98">
        <f>F33-E33</f>
        <v>37</v>
      </c>
      <c r="G35" s="98" t="s">
        <v>42</v>
      </c>
      <c r="H35" s="111">
        <f>H33-F33</f>
        <v>-17</v>
      </c>
      <c r="I35" s="82"/>
      <c r="J35" s="82"/>
      <c r="K35" s="82"/>
      <c r="L35" s="82"/>
    </row>
    <row r="36">
      <c r="A36" s="82"/>
      <c r="B36" s="112" t="s">
        <v>392</v>
      </c>
      <c r="C36" s="96">
        <v>16</v>
      </c>
      <c r="D36" s="96">
        <v>-24</v>
      </c>
      <c r="E36" s="96">
        <v>0</v>
      </c>
      <c r="F36" s="96">
        <v>-3</v>
      </c>
      <c r="G36" s="98">
        <f>SUM(C36:F36)</f>
        <v>-11</v>
      </c>
      <c r="H36" s="125">
        <v>0</v>
      </c>
      <c r="I36" s="180" t="s">
        <v>381</v>
      </c>
      <c r="J36" s="82"/>
      <c r="K36" s="82"/>
      <c r="L36" s="82"/>
    </row>
    <row r="37">
      <c r="A37" s="82"/>
      <c r="B37" s="89" t="s">
        <v>393</v>
      </c>
      <c r="C37" s="97">
        <f>C33+C36</f>
        <v>-57</v>
      </c>
      <c r="D37" s="97">
        <f>D33+D36</f>
        <v>-116</v>
      </c>
      <c r="E37" s="97">
        <f>E33+E36</f>
        <v>-145</v>
      </c>
      <c r="F37" s="97">
        <f>F33+F36</f>
        <v>-111</v>
      </c>
      <c r="G37" s="97">
        <f>G33+G36</f>
        <v>-429</v>
      </c>
      <c r="H37" s="114">
        <f>H33+H36</f>
        <v>-125</v>
      </c>
      <c r="I37" s="82"/>
      <c r="J37" s="82"/>
      <c r="K37" s="82"/>
      <c r="L37" s="82"/>
    </row>
    <row r="38">
      <c r="A38" s="82"/>
      <c r="B38" s="89" t="s">
        <v>394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</row>
    <row r="39">
      <c r="A39" s="82"/>
      <c r="B39" s="112" t="s">
        <v>395</v>
      </c>
      <c r="C39" s="96">
        <v>-55</v>
      </c>
      <c r="D39" s="96">
        <v>-8</v>
      </c>
      <c r="E39" s="96">
        <v>-102</v>
      </c>
      <c r="F39" s="96">
        <v>-147</v>
      </c>
      <c r="G39" s="98">
        <f>SUM(C39:F39)</f>
        <v>-312</v>
      </c>
      <c r="H39" s="125">
        <v>-60</v>
      </c>
      <c r="I39" s="91" t="s">
        <v>396</v>
      </c>
      <c r="J39" s="82"/>
      <c r="K39" s="82"/>
      <c r="L39" s="82"/>
    </row>
    <row r="40">
      <c r="A40" s="82"/>
      <c r="B40" s="146" t="s">
        <v>291</v>
      </c>
      <c r="C40" s="98" t="s">
        <v>42</v>
      </c>
      <c r="D40" s="98" t="s">
        <v>42</v>
      </c>
      <c r="E40" s="98" t="s">
        <v>42</v>
      </c>
      <c r="F40" s="98">
        <f>F39-F78</f>
        <v>-134</v>
      </c>
      <c r="G40" s="98" t="s">
        <v>42</v>
      </c>
      <c r="H40" s="111">
        <f>H39-C39</f>
        <v>-5</v>
      </c>
      <c r="I40" s="91" t="s">
        <v>371</v>
      </c>
      <c r="J40" s="82"/>
      <c r="K40" s="82"/>
      <c r="L40" s="82"/>
    </row>
    <row r="41">
      <c r="A41" s="82"/>
      <c r="B41" s="146" t="s">
        <v>97</v>
      </c>
      <c r="C41" s="98">
        <f>C39-F78</f>
        <v>-42</v>
      </c>
      <c r="D41" s="98">
        <f>D39-C39</f>
        <v>47</v>
      </c>
      <c r="E41" s="98">
        <f>E39-D39</f>
        <v>-94</v>
      </c>
      <c r="F41" s="98">
        <f>F39-E39</f>
        <v>-45</v>
      </c>
      <c r="G41" s="98" t="s">
        <v>42</v>
      </c>
      <c r="H41" s="111">
        <f>H39-F39</f>
        <v>87</v>
      </c>
      <c r="I41" s="82"/>
      <c r="J41" s="82"/>
      <c r="K41" s="82"/>
      <c r="L41" s="82"/>
    </row>
    <row r="42">
      <c r="A42" s="82"/>
      <c r="B42" s="112" t="s">
        <v>397</v>
      </c>
      <c r="C42" s="96">
        <v>-553</v>
      </c>
      <c r="D42" s="96">
        <v>-615</v>
      </c>
      <c r="E42" s="96">
        <v>-752</v>
      </c>
      <c r="F42" s="96">
        <v>-672</v>
      </c>
      <c r="G42" s="98">
        <f>SUM(C42:F42)</f>
        <v>-2592</v>
      </c>
      <c r="H42" s="125">
        <v>-800</v>
      </c>
      <c r="I42" s="91" t="s">
        <v>398</v>
      </c>
      <c r="J42" s="82"/>
      <c r="K42" s="82"/>
      <c r="L42" s="82"/>
    </row>
    <row r="43">
      <c r="A43" s="82"/>
      <c r="B43" s="146" t="s">
        <v>291</v>
      </c>
      <c r="C43" s="98" t="s">
        <v>42</v>
      </c>
      <c r="D43" s="98" t="s">
        <v>42</v>
      </c>
      <c r="E43" s="98" t="s">
        <v>42</v>
      </c>
      <c r="F43" s="98">
        <f>F42-F79</f>
        <v>-523</v>
      </c>
      <c r="G43" s="98" t="s">
        <v>42</v>
      </c>
      <c r="H43" s="111">
        <f>H42-C42</f>
        <v>-247</v>
      </c>
      <c r="I43" s="91" t="s">
        <v>371</v>
      </c>
      <c r="J43" s="82"/>
      <c r="K43" s="82"/>
      <c r="L43" s="82"/>
    </row>
    <row r="44">
      <c r="A44" s="82"/>
      <c r="B44" s="146" t="s">
        <v>97</v>
      </c>
      <c r="C44" s="98">
        <f>C42-F79</f>
        <v>-404</v>
      </c>
      <c r="D44" s="98">
        <f>D42-C42</f>
        <v>-62</v>
      </c>
      <c r="E44" s="98">
        <f>E42-D42</f>
        <v>-137</v>
      </c>
      <c r="F44" s="98">
        <f>F42-E42</f>
        <v>80</v>
      </c>
      <c r="G44" s="98" t="s">
        <v>42</v>
      </c>
      <c r="H44" s="111">
        <f>H42-F42</f>
        <v>-128</v>
      </c>
      <c r="I44" s="82"/>
      <c r="J44" s="82"/>
      <c r="K44" s="82"/>
      <c r="L44" s="82"/>
    </row>
    <row r="45">
      <c r="A45" s="82"/>
      <c r="B45" s="112" t="s">
        <v>399</v>
      </c>
      <c r="C45" s="96">
        <v>-39</v>
      </c>
      <c r="D45" s="96">
        <v>-48</v>
      </c>
      <c r="E45" s="96">
        <v>-43</v>
      </c>
      <c r="F45" s="96">
        <v>-54</v>
      </c>
      <c r="G45" s="98">
        <f>SUM(C45:F45)</f>
        <v>-184</v>
      </c>
      <c r="H45" s="120">
        <f>-'Share Count'!H40</f>
        <v>-54.0811416</v>
      </c>
      <c r="I45" s="82"/>
      <c r="J45" s="82"/>
      <c r="K45" s="82"/>
      <c r="L45" s="82"/>
    </row>
    <row r="46">
      <c r="A46" s="82"/>
      <c r="B46" s="112" t="s">
        <v>400</v>
      </c>
      <c r="C46" s="96">
        <v>0</v>
      </c>
      <c r="D46" s="96">
        <v>0</v>
      </c>
      <c r="E46" s="96">
        <v>0</v>
      </c>
      <c r="F46" s="96">
        <v>-1220</v>
      </c>
      <c r="G46" s="98">
        <f>SUM(C46:F46)</f>
        <v>-1220</v>
      </c>
      <c r="H46" s="125">
        <v>-191</v>
      </c>
      <c r="I46" s="91" t="s">
        <v>401</v>
      </c>
      <c r="J46" s="82"/>
      <c r="K46" s="82"/>
      <c r="L46" s="82"/>
    </row>
    <row r="47">
      <c r="A47" s="82"/>
      <c r="B47" s="112" t="s">
        <v>379</v>
      </c>
      <c r="C47" s="96">
        <v>0</v>
      </c>
      <c r="D47" s="96">
        <v>0</v>
      </c>
      <c r="E47" s="96">
        <v>0</v>
      </c>
      <c r="F47" s="96">
        <v>-6</v>
      </c>
      <c r="G47" s="98">
        <f>SUM(C47:F47)</f>
        <v>-6</v>
      </c>
      <c r="H47" s="125">
        <v>0</v>
      </c>
      <c r="I47" s="180" t="s">
        <v>402</v>
      </c>
      <c r="J47" s="82"/>
      <c r="K47" s="82"/>
      <c r="L47" s="82"/>
    </row>
    <row r="48">
      <c r="A48" s="82"/>
      <c r="B48" s="112" t="s">
        <v>403</v>
      </c>
      <c r="C48" s="96">
        <v>-31</v>
      </c>
      <c r="D48" s="96">
        <v>-32</v>
      </c>
      <c r="E48" s="96">
        <v>-5</v>
      </c>
      <c r="F48" s="96">
        <v>350</v>
      </c>
      <c r="G48" s="98">
        <f>SUM(C48:F48)</f>
        <v>282</v>
      </c>
      <c r="H48" s="125">
        <v>0</v>
      </c>
      <c r="I48" s="91" t="s">
        <v>404</v>
      </c>
      <c r="J48" s="82"/>
      <c r="K48" s="82"/>
      <c r="L48" s="82"/>
    </row>
    <row r="49">
      <c r="A49" s="82"/>
      <c r="B49" s="89" t="s">
        <v>405</v>
      </c>
      <c r="C49" s="97">
        <f>C39+C42+C45+C46+C47+C48</f>
        <v>-678</v>
      </c>
      <c r="D49" s="97">
        <f>D39+D42+D45+D46+D47+D48</f>
        <v>-703</v>
      </c>
      <c r="E49" s="97">
        <f>E39+E42+E45+E46+E47+E48</f>
        <v>-902</v>
      </c>
      <c r="F49" s="97">
        <f>F39+F42+F45+F46+F47+F48</f>
        <v>-1749</v>
      </c>
      <c r="G49" s="97">
        <f>G39+G42+G45+G46+G47+G48</f>
        <v>-4032</v>
      </c>
      <c r="H49" s="114">
        <f>H39+H42+H45+H46+H47+H48</f>
        <v>-1105.0811416000001</v>
      </c>
      <c r="I49" s="82"/>
      <c r="J49" s="82"/>
      <c r="K49" s="82"/>
      <c r="L49" s="82"/>
    </row>
    <row r="50">
      <c r="A50" s="82"/>
      <c r="B50" s="87" t="s">
        <v>406</v>
      </c>
      <c r="C50" s="96">
        <v>-3</v>
      </c>
      <c r="D50" s="96">
        <v>1</v>
      </c>
      <c r="E50" s="96">
        <v>-1</v>
      </c>
      <c r="F50" s="96">
        <v>0</v>
      </c>
      <c r="G50" s="98">
        <f>SUM(C50:F50)</f>
        <v>-3</v>
      </c>
      <c r="H50" s="125">
        <v>0</v>
      </c>
      <c r="I50" s="180" t="s">
        <v>407</v>
      </c>
      <c r="J50" s="82"/>
      <c r="K50" s="82"/>
      <c r="L50" s="82"/>
    </row>
    <row r="51">
      <c r="A51" s="82"/>
      <c r="B51" s="89" t="s">
        <v>408</v>
      </c>
      <c r="C51" s="97">
        <f>C28+C37+C49+C50</f>
        <v>-66</v>
      </c>
      <c r="D51" s="97">
        <f>D28+D37+D49+D50</f>
        <v>-73</v>
      </c>
      <c r="E51" s="97">
        <f>E28+E37+E49+E50</f>
        <v>75</v>
      </c>
      <c r="F51" s="97">
        <f>F28+F37+F49+F50</f>
        <v>-471</v>
      </c>
      <c r="G51" s="97">
        <f>G28+G37+G49+G50</f>
        <v>-535</v>
      </c>
      <c r="H51" s="114">
        <f>H28+H37+H49+H50</f>
        <v>-35.96924558814408</v>
      </c>
      <c r="I51" s="82"/>
      <c r="J51" s="82"/>
      <c r="K51" s="82"/>
      <c r="L51" s="82"/>
    </row>
    <row r="52">
      <c r="A52" s="82"/>
      <c r="B52" s="87" t="s">
        <v>409</v>
      </c>
      <c r="C52" s="96">
        <v>2114</v>
      </c>
      <c r="D52" s="90">
        <f>'Balance Sheet'!C10</f>
        <v>2048</v>
      </c>
      <c r="E52" s="90">
        <f>'Balance Sheet'!D10</f>
        <v>1975</v>
      </c>
      <c r="F52" s="90">
        <f>'Balance Sheet'!E10</f>
        <v>2050</v>
      </c>
      <c r="G52" s="98">
        <f>C52</f>
        <v>2114</v>
      </c>
      <c r="H52" s="120">
        <f>'Balance Sheet'!F10</f>
        <v>1579</v>
      </c>
      <c r="I52" s="91" t="s">
        <v>410</v>
      </c>
      <c r="J52" s="82"/>
      <c r="K52" s="82"/>
      <c r="L52" s="82"/>
    </row>
    <row r="53">
      <c r="A53" s="82"/>
      <c r="B53" s="89" t="s">
        <v>411</v>
      </c>
      <c r="C53" s="97">
        <f>C52+C51</f>
        <v>2048</v>
      </c>
      <c r="D53" s="97">
        <f>D52+D51</f>
        <v>1975</v>
      </c>
      <c r="E53" s="97">
        <f>E52+E51</f>
        <v>2050</v>
      </c>
      <c r="F53" s="97">
        <f>F52+F51</f>
        <v>1579</v>
      </c>
      <c r="G53" s="97">
        <f>G52+G51</f>
        <v>1579</v>
      </c>
      <c r="H53" s="114">
        <f>H52+H51</f>
        <v>1543.030754411856</v>
      </c>
      <c r="I53" s="82"/>
      <c r="J53" s="82"/>
      <c r="K53" s="82"/>
      <c r="L53" s="82"/>
    </row>
    <row r="54">
      <c r="A54" s="82"/>
      <c r="B54" s="87" t="s">
        <v>412</v>
      </c>
      <c r="C54" s="90">
        <f>'Balance Sheet'!C10</f>
        <v>2048</v>
      </c>
      <c r="D54" s="90">
        <f>'Balance Sheet'!D10</f>
        <v>1975</v>
      </c>
      <c r="E54" s="90">
        <f>'Balance Sheet'!E10</f>
        <v>2050</v>
      </c>
      <c r="F54" s="90">
        <f>'Balance Sheet'!F10</f>
        <v>1579</v>
      </c>
      <c r="G54" s="90">
        <f>'Balance Sheet'!G10</f>
        <v>1579</v>
      </c>
      <c r="H54" s="120">
        <f>'Balance Sheet'!H10</f>
        <v>1543.030754411856</v>
      </c>
      <c r="I54" s="82"/>
      <c r="J54" s="82"/>
      <c r="K54" s="82"/>
      <c r="L54" s="82"/>
    </row>
    <row r="55">
      <c r="A55" s="82"/>
      <c r="B55" s="89" t="s">
        <v>413</v>
      </c>
      <c r="C55" s="100">
        <f>C53-C54</f>
        <v>0</v>
      </c>
      <c r="D55" s="100">
        <f>D53-D54</f>
        <v>0</v>
      </c>
      <c r="E55" s="100">
        <f>E53-E54</f>
        <v>0</v>
      </c>
      <c r="F55" s="100">
        <f>F53-F54</f>
        <v>0</v>
      </c>
      <c r="G55" s="100">
        <f>G53-G54</f>
        <v>0</v>
      </c>
      <c r="H55" s="149">
        <f>H53-H54</f>
        <v>0</v>
      </c>
      <c r="I55" s="82"/>
      <c r="J55" s="82"/>
      <c r="K55" s="82"/>
      <c r="L55" s="82"/>
    </row>
    <row r="56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</row>
    <row r="57">
      <c r="A57" s="82"/>
      <c r="B57" s="89" t="s">
        <v>414</v>
      </c>
      <c r="C57" s="82"/>
      <c r="D57" s="82"/>
      <c r="E57" s="82"/>
      <c r="F57" s="82"/>
      <c r="G57" s="82"/>
      <c r="H57" s="82"/>
      <c r="I57" s="82"/>
      <c r="J57" s="82"/>
      <c r="K57" s="82"/>
      <c r="L57" s="82"/>
    </row>
    <row r="58">
      <c r="A58" s="82"/>
      <c r="B58" s="87" t="s">
        <v>415</v>
      </c>
      <c r="C58" s="98">
        <f>C28</f>
        <v>672</v>
      </c>
      <c r="D58" s="98">
        <f>D28</f>
        <v>745</v>
      </c>
      <c r="E58" s="98">
        <f>E28</f>
        <v>1123</v>
      </c>
      <c r="F58" s="98">
        <f>F28</f>
        <v>1389</v>
      </c>
      <c r="G58" s="98">
        <f>G28</f>
        <v>3929</v>
      </c>
      <c r="H58" s="111">
        <f>H28</f>
        <v>1194.111896011856</v>
      </c>
      <c r="I58" s="82"/>
      <c r="J58" s="82"/>
      <c r="K58" s="82"/>
      <c r="L58" s="82"/>
    </row>
    <row r="59">
      <c r="A59" s="82"/>
      <c r="B59" s="87" t="s">
        <v>390</v>
      </c>
      <c r="C59" s="98">
        <f>C33</f>
        <v>-73</v>
      </c>
      <c r="D59" s="98">
        <f>D33</f>
        <v>-92</v>
      </c>
      <c r="E59" s="98">
        <f>E33</f>
        <v>-145</v>
      </c>
      <c r="F59" s="98">
        <f>F33</f>
        <v>-108</v>
      </c>
      <c r="G59" s="98">
        <f>G33</f>
        <v>-418</v>
      </c>
      <c r="H59" s="111">
        <f>H33</f>
        <v>-125</v>
      </c>
      <c r="I59" s="82"/>
      <c r="J59" s="82"/>
      <c r="K59" s="82"/>
      <c r="L59" s="82"/>
    </row>
    <row r="60">
      <c r="A60" s="82"/>
      <c r="B60" s="87" t="s">
        <v>416</v>
      </c>
      <c r="C60" s="96">
        <v>0</v>
      </c>
      <c r="D60" s="96">
        <v>0</v>
      </c>
      <c r="E60" s="96">
        <v>0</v>
      </c>
      <c r="F60" s="96">
        <v>0</v>
      </c>
      <c r="G60" s="98">
        <f>SUM(C60:F60)</f>
        <v>0</v>
      </c>
      <c r="H60" s="125">
        <v>0</v>
      </c>
      <c r="I60" s="82"/>
      <c r="J60" s="82"/>
      <c r="K60" s="82"/>
      <c r="L60" s="82"/>
    </row>
    <row r="61">
      <c r="A61" s="82"/>
      <c r="B61" s="89" t="s">
        <v>417</v>
      </c>
      <c r="C61" s="97">
        <f>C58+C59+C60</f>
        <v>599</v>
      </c>
      <c r="D61" s="97">
        <f>D58+D59+D60</f>
        <v>653</v>
      </c>
      <c r="E61" s="97">
        <f>E58+E59+E60</f>
        <v>978</v>
      </c>
      <c r="F61" s="97">
        <f>F58+F59+F60</f>
        <v>1281</v>
      </c>
      <c r="G61" s="97">
        <f>G58+G59+G60</f>
        <v>3511</v>
      </c>
      <c r="H61" s="114">
        <f>H58+H59+H60</f>
        <v>1069.111896011856</v>
      </c>
      <c r="I61" s="82"/>
      <c r="J61" s="82"/>
      <c r="K61" s="82"/>
      <c r="L61" s="82"/>
    </row>
    <row r="62">
      <c r="A62" s="82"/>
      <c r="B62" s="99" t="s">
        <v>418</v>
      </c>
      <c r="C62" s="138">
        <f>C61/'Income Statement'!C10</f>
        <v>0.21256210078069554</v>
      </c>
      <c r="D62" s="138">
        <f>D61/'Income Statement'!D10</f>
        <v>0.21644017235664567</v>
      </c>
      <c r="E62" s="138">
        <f>E61/'Income Statement'!E10</f>
        <v>0.2930776146239137</v>
      </c>
      <c r="F62" s="138">
        <f>F61/'Income Statement'!F10</f>
        <v>0.3418734987990392</v>
      </c>
      <c r="G62" s="138">
        <f>G61/'Income Statement'!G10</f>
        <v>0.2717702608561034</v>
      </c>
      <c r="H62" s="152">
        <f>H61/'Income Statement'!H10</f>
        <v>0.2559643497442674</v>
      </c>
      <c r="I62" s="82"/>
      <c r="J62" s="82"/>
      <c r="K62" s="82"/>
      <c r="L62" s="82"/>
    </row>
    <row r="63">
      <c r="A63" s="82"/>
      <c r="B63" s="107" t="s">
        <v>133</v>
      </c>
      <c r="C63" s="94" t="s">
        <v>42</v>
      </c>
      <c r="D63" s="94" t="s">
        <v>42</v>
      </c>
      <c r="E63" s="94" t="s">
        <v>42</v>
      </c>
      <c r="F63" s="150">
        <f>(F62-F80/'Income Statement'!F146)*10000</f>
        <v>827.5641626544999</v>
      </c>
      <c r="G63" s="94" t="s">
        <v>42</v>
      </c>
      <c r="H63" s="135">
        <f>(H62-C62)*10000</f>
        <v>434.02248963571867</v>
      </c>
      <c r="I63" s="82"/>
      <c r="J63" s="82"/>
      <c r="K63" s="82"/>
      <c r="L63" s="82"/>
    </row>
    <row r="64">
      <c r="A64" s="82"/>
      <c r="B64" s="107" t="s">
        <v>134</v>
      </c>
      <c r="C64" s="150">
        <f>(C62-F80/'Income Statement'!F146)*10000</f>
        <v>-465.5498175289369</v>
      </c>
      <c r="D64" s="94">
        <f>(D62-C62)*10000</f>
        <v>38.78071575950132</v>
      </c>
      <c r="E64" s="94">
        <f>(E62-D62)*10000</f>
        <v>766.3744226726801</v>
      </c>
      <c r="F64" s="94">
        <f>(F62-E62)*10000</f>
        <v>487.95884175125536</v>
      </c>
      <c r="G64" s="94" t="s">
        <v>42</v>
      </c>
      <c r="H64" s="135">
        <f>(H62-F62)*10000</f>
        <v>-859.0914905477182</v>
      </c>
      <c r="I64" s="82"/>
      <c r="J64" s="82"/>
      <c r="K64" s="82"/>
      <c r="L64" s="82"/>
    </row>
    <row r="65">
      <c r="A65" s="82"/>
      <c r="B65" s="99" t="s">
        <v>419</v>
      </c>
      <c r="C65" s="138">
        <f>-C33/'Income Statement'!C10</f>
        <v>0.025904897090134847</v>
      </c>
      <c r="D65" s="138">
        <f>-D33/'Income Statement'!D10</f>
        <v>0.030493868080875043</v>
      </c>
      <c r="E65" s="138">
        <f>-E33/'Income Statement'!E10</f>
        <v>0.04345220257716512</v>
      </c>
      <c r="F65" s="138">
        <f>-F33/'Income Statement'!F10</f>
        <v>0.028823058446757407</v>
      </c>
      <c r="G65" s="138">
        <f>-G33/'Income Statement'!G10</f>
        <v>0.032355445467915474</v>
      </c>
      <c r="H65" s="152">
        <f>-H33/'Income Statement'!H10</f>
        <v>0.02992721700823597</v>
      </c>
      <c r="I65" s="82"/>
      <c r="J65" s="82"/>
      <c r="K65" s="82"/>
      <c r="L65" s="82"/>
    </row>
    <row r="66">
      <c r="A66" s="82"/>
      <c r="B66" s="107" t="s">
        <v>133</v>
      </c>
      <c r="C66" s="94" t="s">
        <v>42</v>
      </c>
      <c r="D66" s="94" t="s">
        <v>42</v>
      </c>
      <c r="E66" s="94" t="s">
        <v>42</v>
      </c>
      <c r="F66" s="150">
        <f>(F65+F77/'Income Statement'!F146)*10000</f>
        <v>15.677801358169075</v>
      </c>
      <c r="G66" s="94" t="s">
        <v>42</v>
      </c>
      <c r="H66" s="135">
        <f>(H65-C65)*10000</f>
        <v>40.223199181011225</v>
      </c>
      <c r="I66" s="82"/>
      <c r="J66" s="82"/>
      <c r="K66" s="82"/>
      <c r="L66" s="82"/>
    </row>
    <row r="67">
      <c r="A67" s="82"/>
      <c r="B67" s="107" t="s">
        <v>134</v>
      </c>
      <c r="C67" s="150">
        <f>(C65+F77/'Income Statement'!F146)*10000</f>
        <v>-13.503812208056527</v>
      </c>
      <c r="D67" s="94">
        <f>(D65-C65)*10000</f>
        <v>45.88970990740196</v>
      </c>
      <c r="E67" s="94">
        <f>(E65-D65)*10000</f>
        <v>129.58334496290072</v>
      </c>
      <c r="F67" s="94">
        <f>(F65-E65)*10000</f>
        <v>-146.2914413040771</v>
      </c>
      <c r="G67" s="94" t="s">
        <v>42</v>
      </c>
      <c r="H67" s="135">
        <f>(H65-F65)*10000</f>
        <v>11.041585614785625</v>
      </c>
      <c r="I67" s="82"/>
      <c r="J67" s="82"/>
      <c r="K67" s="82"/>
      <c r="L67" s="82"/>
    </row>
    <row r="68">
      <c r="A68" s="82"/>
      <c r="B68" s="87" t="s">
        <v>420</v>
      </c>
      <c r="C68" s="96">
        <v>599</v>
      </c>
      <c r="D68" s="96">
        <v>653</v>
      </c>
      <c r="E68" s="96">
        <v>978</v>
      </c>
      <c r="F68" s="96">
        <v>1281</v>
      </c>
      <c r="G68" s="96">
        <v>3511</v>
      </c>
      <c r="H68" s="136"/>
      <c r="I68" s="82"/>
      <c r="J68" s="82"/>
      <c r="K68" s="82"/>
      <c r="L68" s="82"/>
    </row>
    <row r="69">
      <c r="A69" s="82"/>
      <c r="B69" s="89" t="s">
        <v>421</v>
      </c>
      <c r="C69" s="100">
        <f>C61-C68</f>
        <v>0</v>
      </c>
      <c r="D69" s="100">
        <f>D61-D68</f>
        <v>0</v>
      </c>
      <c r="E69" s="100">
        <f>E61-E68</f>
        <v>0</v>
      </c>
      <c r="F69" s="100">
        <f>F61-F68</f>
        <v>0</v>
      </c>
      <c r="G69" s="100">
        <f>G61-G68</f>
        <v>0</v>
      </c>
      <c r="H69" s="136"/>
      <c r="I69" s="82"/>
      <c r="J69" s="82"/>
      <c r="K69" s="82"/>
      <c r="L69" s="82"/>
    </row>
    <row r="70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</row>
    <row r="71">
      <c r="A71" s="82"/>
      <c r="B71" s="89" t="s">
        <v>422</v>
      </c>
      <c r="C71" s="82"/>
      <c r="D71" s="82"/>
      <c r="E71" s="82"/>
      <c r="F71" s="82"/>
      <c r="G71" s="82"/>
      <c r="H71" s="82"/>
      <c r="I71" s="91" t="s">
        <v>423</v>
      </c>
      <c r="J71" s="82"/>
      <c r="K71" s="82"/>
      <c r="L71" s="82"/>
    </row>
    <row r="72">
      <c r="A72" s="82"/>
      <c r="B72" s="87" t="s">
        <v>160</v>
      </c>
      <c r="C72" s="104" t="s">
        <v>161</v>
      </c>
      <c r="D72" s="104" t="s">
        <v>162</v>
      </c>
      <c r="E72" s="104" t="s">
        <v>163</v>
      </c>
      <c r="F72" s="104" t="s">
        <v>164</v>
      </c>
      <c r="G72" s="104" t="s">
        <v>165</v>
      </c>
      <c r="H72" s="131" t="s">
        <v>83</v>
      </c>
      <c r="I72" s="82"/>
      <c r="J72" s="82"/>
      <c r="K72" s="82"/>
      <c r="L72" s="82"/>
    </row>
    <row r="73">
      <c r="A73" s="82"/>
      <c r="B73" s="87" t="s">
        <v>369</v>
      </c>
      <c r="C73" s="98" t="s">
        <v>42</v>
      </c>
      <c r="D73" s="98" t="s">
        <v>42</v>
      </c>
      <c r="E73" s="98" t="s">
        <v>42</v>
      </c>
      <c r="F73" s="96">
        <v>86</v>
      </c>
      <c r="G73" s="98" t="s">
        <v>42</v>
      </c>
      <c r="H73" s="111">
        <f>C11</f>
        <v>88</v>
      </c>
      <c r="I73" s="82"/>
      <c r="J73" s="82"/>
      <c r="K73" s="82"/>
      <c r="L73" s="82"/>
    </row>
    <row r="74">
      <c r="A74" s="82"/>
      <c r="B74" s="87" t="s">
        <v>372</v>
      </c>
      <c r="C74" s="98" t="s">
        <v>42</v>
      </c>
      <c r="D74" s="98" t="s">
        <v>42</v>
      </c>
      <c r="E74" s="98" t="s">
        <v>42</v>
      </c>
      <c r="F74" s="96">
        <v>45</v>
      </c>
      <c r="G74" s="98" t="s">
        <v>42</v>
      </c>
      <c r="H74" s="111">
        <f>C14</f>
        <v>53</v>
      </c>
      <c r="I74" s="82"/>
      <c r="J74" s="82"/>
      <c r="K74" s="82"/>
      <c r="L74" s="82"/>
    </row>
    <row r="75">
      <c r="A75" s="82"/>
      <c r="B75" s="87" t="s">
        <v>385</v>
      </c>
      <c r="C75" s="98" t="s">
        <v>42</v>
      </c>
      <c r="D75" s="98" t="s">
        <v>42</v>
      </c>
      <c r="E75" s="98" t="s">
        <v>42</v>
      </c>
      <c r="F75" s="96">
        <v>151</v>
      </c>
      <c r="G75" s="98" t="s">
        <v>42</v>
      </c>
      <c r="H75" s="111">
        <f>C25</f>
        <v>-377</v>
      </c>
      <c r="I75" s="82"/>
      <c r="J75" s="82"/>
      <c r="K75" s="82"/>
      <c r="L75" s="82"/>
    </row>
    <row r="76">
      <c r="A76" s="82"/>
      <c r="B76" s="89" t="s">
        <v>387</v>
      </c>
      <c r="C76" s="97" t="s">
        <v>42</v>
      </c>
      <c r="D76" s="97" t="s">
        <v>42</v>
      </c>
      <c r="E76" s="97" t="s">
        <v>42</v>
      </c>
      <c r="F76" s="124">
        <v>746</v>
      </c>
      <c r="G76" s="97" t="s">
        <v>42</v>
      </c>
      <c r="H76" s="114">
        <f>C28</f>
        <v>672</v>
      </c>
      <c r="I76" s="82"/>
      <c r="J76" s="82"/>
      <c r="K76" s="82"/>
      <c r="L76" s="82"/>
    </row>
    <row r="77">
      <c r="A77" s="82"/>
      <c r="B77" s="87" t="s">
        <v>390</v>
      </c>
      <c r="C77" s="98" t="s">
        <v>42</v>
      </c>
      <c r="D77" s="98" t="s">
        <v>42</v>
      </c>
      <c r="E77" s="98" t="s">
        <v>42</v>
      </c>
      <c r="F77" s="96">
        <v>-71</v>
      </c>
      <c r="G77" s="98" t="s">
        <v>42</v>
      </c>
      <c r="H77" s="111">
        <f>C33</f>
        <v>-73</v>
      </c>
      <c r="I77" s="82"/>
      <c r="J77" s="82"/>
      <c r="K77" s="82"/>
      <c r="L77" s="82"/>
    </row>
    <row r="78">
      <c r="A78" s="82"/>
      <c r="B78" s="87" t="s">
        <v>395</v>
      </c>
      <c r="C78" s="98" t="s">
        <v>42</v>
      </c>
      <c r="D78" s="98" t="s">
        <v>42</v>
      </c>
      <c r="E78" s="98" t="s">
        <v>42</v>
      </c>
      <c r="F78" s="96">
        <v>-13</v>
      </c>
      <c r="G78" s="98" t="s">
        <v>42</v>
      </c>
      <c r="H78" s="111">
        <f>C39</f>
        <v>-55</v>
      </c>
      <c r="I78" s="82"/>
      <c r="J78" s="82"/>
      <c r="K78" s="82"/>
      <c r="L78" s="82"/>
    </row>
    <row r="79">
      <c r="A79" s="82"/>
      <c r="B79" s="87" t="s">
        <v>397</v>
      </c>
      <c r="C79" s="98" t="s">
        <v>42</v>
      </c>
      <c r="D79" s="98" t="s">
        <v>42</v>
      </c>
      <c r="E79" s="98" t="s">
        <v>42</v>
      </c>
      <c r="F79" s="96">
        <v>-149</v>
      </c>
      <c r="G79" s="98" t="s">
        <v>42</v>
      </c>
      <c r="H79" s="111">
        <f>C42</f>
        <v>-553</v>
      </c>
      <c r="I79" s="82"/>
      <c r="J79" s="82"/>
      <c r="K79" s="82"/>
      <c r="L79" s="82"/>
    </row>
    <row r="80">
      <c r="A80" s="82"/>
      <c r="B80" s="89" t="s">
        <v>417</v>
      </c>
      <c r="C80" s="97" t="s">
        <v>42</v>
      </c>
      <c r="D80" s="97" t="s">
        <v>42</v>
      </c>
      <c r="E80" s="97" t="s">
        <v>42</v>
      </c>
      <c r="F80" s="97">
        <f>F76+F77</f>
        <v>675</v>
      </c>
      <c r="G80" s="97" t="s">
        <v>42</v>
      </c>
      <c r="H80" s="114">
        <f>C61</f>
        <v>599</v>
      </c>
      <c r="I80" s="82"/>
      <c r="J80" s="82"/>
      <c r="K80" s="82"/>
      <c r="L80" s="82"/>
    </row>
    <row r="81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</row>
    <row r="82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</row>
    <row r="83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L54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>
      <c r="A2" s="82"/>
      <c r="B2" s="109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</row>
    <row r="3">
      <c r="A3" s="82"/>
      <c r="B3" s="89" t="s">
        <v>424</v>
      </c>
      <c r="C3" s="82"/>
      <c r="D3" s="82"/>
      <c r="E3" s="82"/>
      <c r="F3" s="82"/>
      <c r="G3" s="82"/>
      <c r="H3" s="82"/>
      <c r="I3" s="82"/>
      <c r="J3" s="82"/>
      <c r="K3" s="82"/>
      <c r="L3" s="82"/>
    </row>
    <row r="4">
      <c r="A4" s="82"/>
      <c r="B4" s="103" t="s">
        <v>2</v>
      </c>
      <c r="C4" s="82"/>
      <c r="D4" s="82"/>
      <c r="E4" s="82"/>
      <c r="F4" s="82"/>
      <c r="G4" s="82"/>
      <c r="H4" s="82"/>
      <c r="I4" s="82"/>
      <c r="J4" s="82"/>
      <c r="K4" s="82"/>
      <c r="L4" s="82"/>
    </row>
    <row r="5">
      <c r="A5" s="82"/>
      <c r="B5" s="116" t="s">
        <v>82</v>
      </c>
      <c r="C5" s="88" t="s">
        <v>83</v>
      </c>
      <c r="D5" s="88" t="s">
        <v>84</v>
      </c>
      <c r="E5" s="88" t="s">
        <v>85</v>
      </c>
      <c r="F5" s="88" t="s">
        <v>86</v>
      </c>
      <c r="G5" s="88" t="s">
        <v>87</v>
      </c>
      <c r="H5" s="134" t="s">
        <v>88</v>
      </c>
      <c r="I5" s="116" t="s">
        <v>4</v>
      </c>
      <c r="J5" s="82"/>
      <c r="K5" s="82"/>
      <c r="L5" s="82"/>
    </row>
    <row r="6">
      <c r="A6" s="82"/>
      <c r="B6" s="113" t="s">
        <v>89</v>
      </c>
      <c r="C6" s="106">
        <v>45933</v>
      </c>
      <c r="D6" s="106">
        <v>46024</v>
      </c>
      <c r="E6" s="106">
        <v>46115</v>
      </c>
      <c r="F6" s="106">
        <v>46206</v>
      </c>
      <c r="G6" s="106">
        <v>46206</v>
      </c>
      <c r="H6" s="126">
        <v>46297</v>
      </c>
      <c r="I6" s="86"/>
      <c r="J6" s="82"/>
      <c r="K6" s="82"/>
      <c r="L6" s="82"/>
    </row>
    <row r="7">
      <c r="A7" s="82"/>
      <c r="B7" s="122" t="s">
        <v>90</v>
      </c>
      <c r="C7" s="93">
        <v>98</v>
      </c>
      <c r="D7" s="93">
        <v>91</v>
      </c>
      <c r="E7" s="93">
        <v>91</v>
      </c>
      <c r="F7" s="93">
        <v>91</v>
      </c>
      <c r="G7" s="93">
        <v>371</v>
      </c>
      <c r="H7" s="130">
        <v>91</v>
      </c>
      <c r="I7" s="143"/>
      <c r="J7" s="82"/>
      <c r="K7" s="82"/>
      <c r="L7" s="82"/>
    </row>
    <row r="8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</row>
    <row r="9">
      <c r="A9" s="82"/>
      <c r="B9" s="89" t="s">
        <v>425</v>
      </c>
      <c r="C9" s="82"/>
      <c r="D9" s="82"/>
      <c r="E9" s="82"/>
      <c r="F9" s="82"/>
      <c r="G9" s="82"/>
      <c r="H9" s="82"/>
      <c r="I9" s="91" t="s">
        <v>426</v>
      </c>
      <c r="J9" s="82"/>
      <c r="K9" s="82"/>
      <c r="L9" s="82"/>
    </row>
    <row r="10">
      <c r="A10" s="82"/>
      <c r="B10" s="87" t="s">
        <v>427</v>
      </c>
      <c r="C10" s="96">
        <v>1100</v>
      </c>
      <c r="D10" s="96">
        <v>1291</v>
      </c>
      <c r="E10" s="96">
        <v>1499</v>
      </c>
      <c r="F10" s="96">
        <v>1792</v>
      </c>
      <c r="G10" s="98">
        <f>SUM(C10:F10)</f>
        <v>5682</v>
      </c>
      <c r="H10" s="120">
        <f>'Revenue summary'!H43*H14</f>
        <v>1997.5515345609822</v>
      </c>
      <c r="I10" s="82"/>
      <c r="J10" s="82"/>
      <c r="K10" s="82"/>
      <c r="L10" s="82"/>
    </row>
    <row r="11">
      <c r="A11" s="82"/>
      <c r="B11" s="99" t="s">
        <v>95</v>
      </c>
      <c r="C11" s="92">
        <f>C10/C48-1</f>
        <v>-0.11788291900561343</v>
      </c>
      <c r="D11" s="92">
        <f>D10/D48-1</f>
        <v>0.24254090471607315</v>
      </c>
      <c r="E11" s="92">
        <f>E10/E48-1</f>
        <v>0.2681895093062605</v>
      </c>
      <c r="F11" s="92">
        <f>F10/F48-1</f>
        <v>0.594306049822064</v>
      </c>
      <c r="G11" s="92">
        <f>G10/G48-1</f>
        <v>0.237369337979094</v>
      </c>
      <c r="H11" s="102">
        <f>H10/H48-1</f>
        <v>0.8159559405099839</v>
      </c>
      <c r="I11" s="82"/>
      <c r="J11" s="82"/>
      <c r="K11" s="82"/>
      <c r="L11" s="82"/>
    </row>
    <row r="12">
      <c r="A12" s="82"/>
      <c r="B12" s="99" t="s">
        <v>96</v>
      </c>
      <c r="C12" s="92">
        <f>C10/F48-1</f>
        <v>-0.02135231316725983</v>
      </c>
      <c r="D12" s="92">
        <f>D10/C10-1</f>
        <v>0.1736363636363636</v>
      </c>
      <c r="E12" s="92">
        <f>E10/D10-1</f>
        <v>0.16111541440743604</v>
      </c>
      <c r="F12" s="92">
        <f>F10/E10-1</f>
        <v>0.19546364242828562</v>
      </c>
      <c r="G12" s="92" t="s">
        <v>42</v>
      </c>
      <c r="H12" s="102">
        <f>H10/F10-1</f>
        <v>0.11470509741126245</v>
      </c>
      <c r="I12" s="82"/>
      <c r="J12" s="82"/>
      <c r="K12" s="82"/>
      <c r="L12" s="82"/>
    </row>
    <row r="13">
      <c r="A13" s="82"/>
      <c r="B13" s="112" t="s">
        <v>97</v>
      </c>
      <c r="C13" s="98">
        <f>C10-F48</f>
        <v>-24</v>
      </c>
      <c r="D13" s="98">
        <f>D10-C10</f>
        <v>191</v>
      </c>
      <c r="E13" s="98">
        <f>E10-D10</f>
        <v>208</v>
      </c>
      <c r="F13" s="98">
        <f>F10-E10</f>
        <v>293</v>
      </c>
      <c r="G13" s="98" t="s">
        <v>42</v>
      </c>
      <c r="H13" s="111">
        <f>H10-F10</f>
        <v>205.5515345609822</v>
      </c>
      <c r="I13" s="82"/>
      <c r="J13" s="82"/>
      <c r="K13" s="82"/>
      <c r="L13" s="82"/>
    </row>
    <row r="14">
      <c r="A14" s="82"/>
      <c r="B14" s="99" t="s">
        <v>98</v>
      </c>
      <c r="C14" s="92">
        <f>C10/C40</f>
        <v>0.39034776437189495</v>
      </c>
      <c r="D14" s="92">
        <f>D10/D40</f>
        <v>0.4279085183957574</v>
      </c>
      <c r="E14" s="92">
        <f>E10/E40</f>
        <v>0.44920587353910696</v>
      </c>
      <c r="F14" s="92">
        <f>F10/F40</f>
        <v>0.4782492660795303</v>
      </c>
      <c r="G14" s="92">
        <f>G10/G40</f>
        <v>0.43981732332223855</v>
      </c>
      <c r="H14" s="102">
        <f>F14</f>
        <v>0.4782492660795303</v>
      </c>
      <c r="I14" s="91" t="s">
        <v>428</v>
      </c>
      <c r="J14" s="82"/>
      <c r="K14" s="82"/>
      <c r="L14" s="82"/>
    </row>
    <row r="15">
      <c r="A15" s="82"/>
      <c r="B15" s="107" t="s">
        <v>99</v>
      </c>
      <c r="C15" s="94">
        <f>(C10/C40-C48/C51)*10000</f>
        <v>-1733.9545443461495</v>
      </c>
      <c r="D15" s="94">
        <f>(D10/D40-D48/D51)*10000</f>
        <v>-33.90775917235578</v>
      </c>
      <c r="E15" s="94">
        <f>(E10/E40-E48/E51)*10000</f>
        <v>-660.5131913744061</v>
      </c>
      <c r="F15" s="94">
        <f>(F10/F40-F48/F51)*10000</f>
        <v>467.7133901619057</v>
      </c>
      <c r="G15" s="94">
        <f>(G10/G40-G48/G51)*10000</f>
        <v>-425.35617854232044</v>
      </c>
      <c r="H15" s="135">
        <f>(H10/H40-H48/H51)*10000</f>
        <v>879.0150170763533</v>
      </c>
      <c r="I15" s="82"/>
      <c r="J15" s="82"/>
      <c r="K15" s="82"/>
      <c r="L15" s="82"/>
    </row>
    <row r="16">
      <c r="A16" s="82"/>
      <c r="B16" s="107" t="s">
        <v>100</v>
      </c>
      <c r="C16" s="94">
        <f>(C10/C40-F48/F51)*10000</f>
        <v>-411.3016269144476</v>
      </c>
      <c r="D16" s="94">
        <f>(D10/D40-C10/C40)*10000</f>
        <v>375.60754023862444</v>
      </c>
      <c r="E16" s="94">
        <f>(E10/E40-D10/D40)*10000</f>
        <v>212.97355143349571</v>
      </c>
      <c r="F16" s="94">
        <f>(F10/F40-E10/E40)*10000</f>
        <v>290.4339254042332</v>
      </c>
      <c r="G16" s="94" t="s">
        <v>42</v>
      </c>
      <c r="H16" s="135">
        <f>(H10/H40-F10/F40)*10000</f>
        <v>0</v>
      </c>
      <c r="I16" s="82"/>
      <c r="J16" s="82"/>
      <c r="K16" s="82"/>
      <c r="L16" s="82"/>
    </row>
    <row r="17">
      <c r="A17" s="82"/>
      <c r="B17" s="107" t="s">
        <v>103</v>
      </c>
      <c r="C17" s="92" t="s">
        <v>42</v>
      </c>
      <c r="D17" s="92" t="s">
        <v>42</v>
      </c>
      <c r="E17" s="92" t="s">
        <v>42</v>
      </c>
      <c r="F17" s="92" t="s">
        <v>42</v>
      </c>
      <c r="G17" s="92" t="s">
        <v>42</v>
      </c>
      <c r="H17" s="102" t="s">
        <v>42</v>
      </c>
      <c r="I17" s="91" t="s">
        <v>104</v>
      </c>
      <c r="J17" s="82"/>
      <c r="K17" s="82"/>
      <c r="L17" s="82"/>
    </row>
    <row r="18">
      <c r="A18" s="82"/>
      <c r="B18" s="107" t="s">
        <v>105</v>
      </c>
      <c r="C18" s="92" t="s">
        <v>42</v>
      </c>
      <c r="D18" s="92" t="s">
        <v>42</v>
      </c>
      <c r="E18" s="92" t="s">
        <v>42</v>
      </c>
      <c r="F18" s="92" t="s">
        <v>42</v>
      </c>
      <c r="G18" s="92" t="s">
        <v>42</v>
      </c>
      <c r="H18" s="102" t="s">
        <v>42</v>
      </c>
      <c r="I18" s="91" t="s">
        <v>106</v>
      </c>
      <c r="J18" s="82"/>
      <c r="K18" s="82"/>
      <c r="L18" s="82"/>
    </row>
    <row r="19">
      <c r="A19" s="82"/>
      <c r="B19" s="107" t="s">
        <v>107</v>
      </c>
      <c r="C19" s="92" t="s">
        <v>42</v>
      </c>
      <c r="D19" s="92" t="s">
        <v>42</v>
      </c>
      <c r="E19" s="92" t="s">
        <v>42</v>
      </c>
      <c r="F19" s="92" t="s">
        <v>42</v>
      </c>
      <c r="G19" s="92" t="s">
        <v>42</v>
      </c>
      <c r="H19" s="102" t="s">
        <v>42</v>
      </c>
      <c r="I19" s="91" t="s">
        <v>108</v>
      </c>
      <c r="J19" s="82"/>
      <c r="K19" s="82"/>
      <c r="L19" s="82"/>
    </row>
    <row r="20">
      <c r="A20" s="82"/>
      <c r="B20" s="87" t="s">
        <v>429</v>
      </c>
      <c r="C20" s="96">
        <v>1175</v>
      </c>
      <c r="D20" s="96">
        <v>1117</v>
      </c>
      <c r="E20" s="96">
        <v>1320</v>
      </c>
      <c r="F20" s="96">
        <v>1511</v>
      </c>
      <c r="G20" s="98">
        <f>SUM(C20:F20)</f>
        <v>5123</v>
      </c>
      <c r="H20" s="120">
        <f>'Revenue summary'!H43*H24</f>
        <v>1684.3194021884176</v>
      </c>
      <c r="I20" s="82"/>
      <c r="J20" s="82"/>
      <c r="K20" s="82"/>
      <c r="L20" s="82"/>
    </row>
    <row r="21">
      <c r="A21" s="82"/>
      <c r="B21" s="99" t="s">
        <v>95</v>
      </c>
      <c r="C21" s="92">
        <f>C20/C49-1</f>
        <v>0.7128279883381925</v>
      </c>
      <c r="D21" s="92">
        <f>D20/D49-1</f>
        <v>0.22747252747252755</v>
      </c>
      <c r="E21" s="92">
        <f>E20/E49-1</f>
        <v>0.7529880478087649</v>
      </c>
      <c r="F21" s="92">
        <f>F20/F49-1</f>
        <v>0.4487056567593479</v>
      </c>
      <c r="G21" s="92">
        <f>G20/G49-1</f>
        <v>0.5103183962264151</v>
      </c>
      <c r="H21" s="102">
        <f>H20/H49-1</f>
        <v>0.43346332101141916</v>
      </c>
      <c r="I21" s="82"/>
      <c r="J21" s="82"/>
      <c r="K21" s="82"/>
      <c r="L21" s="82"/>
    </row>
    <row r="22">
      <c r="A22" s="82"/>
      <c r="B22" s="99" t="s">
        <v>96</v>
      </c>
      <c r="C22" s="92">
        <f>C20/F49-1</f>
        <v>0.12655800575263654</v>
      </c>
      <c r="D22" s="92">
        <f>D20/C20-1</f>
        <v>-0.04936170212765956</v>
      </c>
      <c r="E22" s="92">
        <f>E20/D20-1</f>
        <v>0.18173679498657114</v>
      </c>
      <c r="F22" s="92">
        <f>F20/E20-1</f>
        <v>0.14469696969696977</v>
      </c>
      <c r="G22" s="92" t="s">
        <v>42</v>
      </c>
      <c r="H22" s="102">
        <f>H20/F20-1</f>
        <v>0.11470509741126245</v>
      </c>
      <c r="I22" s="82"/>
      <c r="J22" s="82"/>
      <c r="K22" s="82"/>
      <c r="L22" s="82"/>
    </row>
    <row r="23">
      <c r="A23" s="82"/>
      <c r="B23" s="112" t="s">
        <v>97</v>
      </c>
      <c r="C23" s="98">
        <f>C20-F49</f>
        <v>132</v>
      </c>
      <c r="D23" s="98">
        <f>D20-C20</f>
        <v>-58</v>
      </c>
      <c r="E23" s="98">
        <f>E20-D20</f>
        <v>203</v>
      </c>
      <c r="F23" s="98">
        <f>F20-E20</f>
        <v>191</v>
      </c>
      <c r="G23" s="98" t="s">
        <v>42</v>
      </c>
      <c r="H23" s="111">
        <f>H20-F20</f>
        <v>173.3194021884176</v>
      </c>
      <c r="I23" s="82"/>
      <c r="J23" s="82"/>
      <c r="K23" s="82"/>
      <c r="L23" s="82"/>
    </row>
    <row r="24">
      <c r="A24" s="82"/>
      <c r="B24" s="99" t="s">
        <v>98</v>
      </c>
      <c r="C24" s="92">
        <f>C20/C40</f>
        <v>0.4169623846699787</v>
      </c>
      <c r="D24" s="92">
        <f>D20/D40</f>
        <v>0.3702353331123633</v>
      </c>
      <c r="E24" s="92">
        <f>E20/E40</f>
        <v>0.39556487863350315</v>
      </c>
      <c r="F24" s="92">
        <f>F20/F40</f>
        <v>0.4032559380838004</v>
      </c>
      <c r="G24" s="92">
        <f>G20/G40</f>
        <v>0.3965477204117966</v>
      </c>
      <c r="H24" s="102">
        <f>F24</f>
        <v>0.4032559380838004</v>
      </c>
      <c r="I24" s="91" t="s">
        <v>428</v>
      </c>
      <c r="J24" s="82"/>
      <c r="K24" s="82"/>
      <c r="L24" s="82"/>
    </row>
    <row r="25">
      <c r="A25" s="82"/>
      <c r="B25" s="107" t="s">
        <v>99</v>
      </c>
      <c r="C25" s="94">
        <f>(C20/C40-C49/C51)*10000</f>
        <v>1068.3580239149771</v>
      </c>
      <c r="D25" s="94">
        <f>(D20/D40-D49/D51)*10000</f>
        <v>-75.14770665137726</v>
      </c>
      <c r="E25" s="94">
        <f>(E20/E40-E49/E51)*10000</f>
        <v>673.1727619235234</v>
      </c>
      <c r="F25" s="94">
        <f>(F20/F40-F49/F51)*10000</f>
        <v>28.72060924491382</v>
      </c>
      <c r="G25" s="94">
        <f>(G20/G40-G49/G51)*10000</f>
        <v>402.4519940339322</v>
      </c>
      <c r="H25" s="135">
        <f>(H20/H40-H49/H51)*10000</f>
        <v>-137.0644658617831</v>
      </c>
      <c r="I25" s="82"/>
      <c r="J25" s="82"/>
      <c r="K25" s="82"/>
      <c r="L25" s="82"/>
    </row>
    <row r="26">
      <c r="A26" s="82"/>
      <c r="B26" s="107" t="s">
        <v>100</v>
      </c>
      <c r="C26" s="94">
        <f>(C20/C40-F49/F51)*10000</f>
        <v>165.78507510669692</v>
      </c>
      <c r="D26" s="94">
        <f>(D20/D40-C20/C40)*10000</f>
        <v>-467.2705155761542</v>
      </c>
      <c r="E26" s="94">
        <f>(E20/E40-D20/D40)*10000</f>
        <v>253.29545521139863</v>
      </c>
      <c r="F26" s="94">
        <f>(F20/F40-E20/E40)*10000</f>
        <v>76.91059450297244</v>
      </c>
      <c r="G26" s="94" t="s">
        <v>42</v>
      </c>
      <c r="H26" s="135">
        <f>(H20/H40-F20/F40)*10000</f>
        <v>0</v>
      </c>
      <c r="I26" s="82"/>
      <c r="J26" s="82"/>
      <c r="K26" s="82"/>
      <c r="L26" s="82"/>
    </row>
    <row r="27">
      <c r="A27" s="82"/>
      <c r="B27" s="107" t="s">
        <v>103</v>
      </c>
      <c r="C27" s="92" t="s">
        <v>42</v>
      </c>
      <c r="D27" s="92" t="s">
        <v>42</v>
      </c>
      <c r="E27" s="92" t="s">
        <v>42</v>
      </c>
      <c r="F27" s="92" t="s">
        <v>42</v>
      </c>
      <c r="G27" s="92" t="s">
        <v>42</v>
      </c>
      <c r="H27" s="102" t="s">
        <v>42</v>
      </c>
      <c r="I27" s="91" t="s">
        <v>104</v>
      </c>
      <c r="J27" s="82"/>
      <c r="K27" s="82"/>
      <c r="L27" s="82"/>
    </row>
    <row r="28">
      <c r="A28" s="82"/>
      <c r="B28" s="107" t="s">
        <v>105</v>
      </c>
      <c r="C28" s="92" t="s">
        <v>42</v>
      </c>
      <c r="D28" s="92" t="s">
        <v>42</v>
      </c>
      <c r="E28" s="92" t="s">
        <v>42</v>
      </c>
      <c r="F28" s="92" t="s">
        <v>42</v>
      </c>
      <c r="G28" s="92" t="s">
        <v>42</v>
      </c>
      <c r="H28" s="102" t="s">
        <v>42</v>
      </c>
      <c r="I28" s="91" t="s">
        <v>106</v>
      </c>
      <c r="J28" s="82"/>
      <c r="K28" s="82"/>
      <c r="L28" s="82"/>
    </row>
    <row r="29">
      <c r="A29" s="82"/>
      <c r="B29" s="107" t="s">
        <v>107</v>
      </c>
      <c r="C29" s="92" t="s">
        <v>42</v>
      </c>
      <c r="D29" s="92" t="s">
        <v>42</v>
      </c>
      <c r="E29" s="92" t="s">
        <v>42</v>
      </c>
      <c r="F29" s="92" t="s">
        <v>42</v>
      </c>
      <c r="G29" s="92" t="s">
        <v>42</v>
      </c>
      <c r="H29" s="102" t="s">
        <v>42</v>
      </c>
      <c r="I29" s="91" t="s">
        <v>108</v>
      </c>
      <c r="J29" s="82"/>
      <c r="K29" s="82"/>
      <c r="L29" s="82"/>
    </row>
    <row r="30">
      <c r="A30" s="82"/>
      <c r="B30" s="87" t="s">
        <v>430</v>
      </c>
      <c r="C30" s="96">
        <v>543</v>
      </c>
      <c r="D30" s="96">
        <v>609</v>
      </c>
      <c r="E30" s="96">
        <v>518</v>
      </c>
      <c r="F30" s="96">
        <v>444</v>
      </c>
      <c r="G30" s="98">
        <f>SUM(C30:F30)</f>
        <v>2114</v>
      </c>
      <c r="H30" s="120">
        <f>'Revenue summary'!H43*H34</f>
        <v>494.9290632506005</v>
      </c>
      <c r="I30" s="82"/>
      <c r="J30" s="82"/>
      <c r="K30" s="82"/>
      <c r="L30" s="82"/>
    </row>
    <row r="31">
      <c r="A31" s="82"/>
      <c r="B31" s="99" t="s">
        <v>95</v>
      </c>
      <c r="C31" s="92">
        <f>C30/C50-1</f>
        <v>0.946236559139785</v>
      </c>
      <c r="D31" s="92">
        <f>D30/D50-1</f>
        <v>0.3239130434782609</v>
      </c>
      <c r="E31" s="92">
        <f>E30/E50-1</f>
        <v>0.4428969359331476</v>
      </c>
      <c r="F31" s="92">
        <f>F30/F50-1</f>
        <v>0.013698630136986356</v>
      </c>
      <c r="G31" s="92">
        <f>G30/G50-1</f>
        <v>0.37630208333333326</v>
      </c>
      <c r="H31" s="102">
        <f>H30/H50-1</f>
        <v>-0.08852842863609478</v>
      </c>
      <c r="I31" s="82"/>
      <c r="J31" s="82"/>
      <c r="K31" s="82"/>
      <c r="L31" s="82"/>
    </row>
    <row r="32">
      <c r="A32" s="82"/>
      <c r="B32" s="99" t="s">
        <v>96</v>
      </c>
      <c r="C32" s="92">
        <f>C30/F50-1</f>
        <v>0.23972602739726034</v>
      </c>
      <c r="D32" s="92">
        <f>D30/C30-1</f>
        <v>0.12154696132596676</v>
      </c>
      <c r="E32" s="92">
        <f>E30/D30-1</f>
        <v>-0.14942528735632188</v>
      </c>
      <c r="F32" s="92">
        <f>F30/E30-1</f>
        <v>-0.1428571428571429</v>
      </c>
      <c r="G32" s="92" t="s">
        <v>42</v>
      </c>
      <c r="H32" s="102">
        <f>H30/F30-1</f>
        <v>0.11470509741126245</v>
      </c>
      <c r="I32" s="82"/>
      <c r="J32" s="82"/>
      <c r="K32" s="82"/>
      <c r="L32" s="82"/>
    </row>
    <row r="33">
      <c r="A33" s="82"/>
      <c r="B33" s="112" t="s">
        <v>97</v>
      </c>
      <c r="C33" s="98">
        <f>C30-F50</f>
        <v>105</v>
      </c>
      <c r="D33" s="98">
        <f>D30-C30</f>
        <v>66</v>
      </c>
      <c r="E33" s="98">
        <f>E30-D30</f>
        <v>-91</v>
      </c>
      <c r="F33" s="98">
        <f>F30-E30</f>
        <v>-74</v>
      </c>
      <c r="G33" s="98" t="s">
        <v>42</v>
      </c>
      <c r="H33" s="111">
        <f>H30-F30</f>
        <v>50.92906325060051</v>
      </c>
      <c r="I33" s="82"/>
      <c r="J33" s="82"/>
      <c r="K33" s="82"/>
      <c r="L33" s="82"/>
    </row>
    <row r="34">
      <c r="A34" s="82"/>
      <c r="B34" s="99" t="s">
        <v>98</v>
      </c>
      <c r="C34" s="92">
        <f>C30/C40</f>
        <v>0.19268985095812632</v>
      </c>
      <c r="D34" s="92">
        <f>D30/D40</f>
        <v>0.20185614849187936</v>
      </c>
      <c r="E34" s="92">
        <f>E30/E40</f>
        <v>0.15522924782738987</v>
      </c>
      <c r="F34" s="92">
        <f>F30/F40</f>
        <v>0.11849479583666933</v>
      </c>
      <c r="G34" s="92">
        <f>G30/G40</f>
        <v>0.16363495626596486</v>
      </c>
      <c r="H34" s="102">
        <f>F34</f>
        <v>0.11849479583666933</v>
      </c>
      <c r="I34" s="91" t="s">
        <v>428</v>
      </c>
      <c r="J34" s="82"/>
      <c r="K34" s="82"/>
      <c r="L34" s="82"/>
    </row>
    <row r="35">
      <c r="A35" s="82"/>
      <c r="B35" s="107" t="s">
        <v>99</v>
      </c>
      <c r="C35" s="94">
        <f>(C30/C40-C50/C51)*10000</f>
        <v>665.5965204311728</v>
      </c>
      <c r="D35" s="94">
        <f>(D30/D40-D50/D51)*10000</f>
        <v>109.05546582373333</v>
      </c>
      <c r="E35" s="94">
        <f>(E30/E40-E50/E51)*10000</f>
        <v>-12.659570549117817</v>
      </c>
      <c r="F35" s="94">
        <f>(F30/F40-F50/F51)*10000</f>
        <v>-496.4339994068193</v>
      </c>
      <c r="G35" s="94">
        <f>(G30/G40-G50/G51)*10000</f>
        <v>22.904184508387992</v>
      </c>
      <c r="H35" s="135">
        <f>(H30/H40-H50/H51)*10000</f>
        <v>-741.9505512145699</v>
      </c>
      <c r="I35" s="82"/>
      <c r="J35" s="82"/>
      <c r="K35" s="82"/>
      <c r="L35" s="82"/>
    </row>
    <row r="36">
      <c r="A36" s="82"/>
      <c r="B36" s="107" t="s">
        <v>100</v>
      </c>
      <c r="C36" s="94">
        <f>(C30/C40-F50/F51)*10000</f>
        <v>245.51655180775066</v>
      </c>
      <c r="D36" s="94">
        <f>(D30/D40-C30/C40)*10000</f>
        <v>91.66297533753031</v>
      </c>
      <c r="E36" s="94">
        <f>(E30/E40-D30/D40)*10000</f>
        <v>-466.2690066448949</v>
      </c>
      <c r="F36" s="94">
        <f>(F30/F40-E30/E40)*10000</f>
        <v>-367.3445199072053</v>
      </c>
      <c r="G36" s="94" t="s">
        <v>42</v>
      </c>
      <c r="H36" s="135">
        <f>(H30/H40-F30/F40)*10000</f>
        <v>0</v>
      </c>
      <c r="I36" s="82"/>
      <c r="J36" s="82"/>
      <c r="K36" s="82"/>
      <c r="L36" s="82"/>
    </row>
    <row r="37">
      <c r="A37" s="82"/>
      <c r="B37" s="107" t="s">
        <v>103</v>
      </c>
      <c r="C37" s="92" t="s">
        <v>42</v>
      </c>
      <c r="D37" s="92" t="s">
        <v>42</v>
      </c>
      <c r="E37" s="92" t="s">
        <v>42</v>
      </c>
      <c r="F37" s="92" t="s">
        <v>42</v>
      </c>
      <c r="G37" s="92" t="s">
        <v>42</v>
      </c>
      <c r="H37" s="102" t="s">
        <v>42</v>
      </c>
      <c r="I37" s="91" t="s">
        <v>104</v>
      </c>
      <c r="J37" s="82"/>
      <c r="K37" s="82"/>
      <c r="L37" s="82"/>
    </row>
    <row r="38">
      <c r="A38" s="82"/>
      <c r="B38" s="107" t="s">
        <v>105</v>
      </c>
      <c r="C38" s="92" t="s">
        <v>42</v>
      </c>
      <c r="D38" s="92" t="s">
        <v>42</v>
      </c>
      <c r="E38" s="92" t="s">
        <v>42</v>
      </c>
      <c r="F38" s="92" t="s">
        <v>42</v>
      </c>
      <c r="G38" s="92" t="s">
        <v>42</v>
      </c>
      <c r="H38" s="102" t="s">
        <v>42</v>
      </c>
      <c r="I38" s="91" t="s">
        <v>106</v>
      </c>
      <c r="J38" s="82"/>
      <c r="K38" s="82"/>
      <c r="L38" s="82"/>
    </row>
    <row r="39">
      <c r="A39" s="82"/>
      <c r="B39" s="107" t="s">
        <v>107</v>
      </c>
      <c r="C39" s="92" t="s">
        <v>42</v>
      </c>
      <c r="D39" s="92" t="s">
        <v>42</v>
      </c>
      <c r="E39" s="92" t="s">
        <v>42</v>
      </c>
      <c r="F39" s="92" t="s">
        <v>42</v>
      </c>
      <c r="G39" s="92" t="s">
        <v>42</v>
      </c>
      <c r="H39" s="102" t="s">
        <v>42</v>
      </c>
      <c r="I39" s="91" t="s">
        <v>108</v>
      </c>
      <c r="J39" s="82"/>
      <c r="K39" s="82"/>
      <c r="L39" s="82"/>
    </row>
    <row r="40">
      <c r="A40" s="82"/>
      <c r="B40" s="89" t="s">
        <v>111</v>
      </c>
      <c r="C40" s="97">
        <f>C10+C20+C30</f>
        <v>2818</v>
      </c>
      <c r="D40" s="97">
        <f>D10+D20+D30</f>
        <v>3017</v>
      </c>
      <c r="E40" s="97">
        <f>E10+E20+E30</f>
        <v>3337</v>
      </c>
      <c r="F40" s="97">
        <f>F10+F20+F30</f>
        <v>3747</v>
      </c>
      <c r="G40" s="97">
        <f>G10+G20+G30</f>
        <v>12919</v>
      </c>
      <c r="H40" s="114">
        <f>H10+H20+H30</f>
        <v>4176.8</v>
      </c>
      <c r="I40" s="82"/>
      <c r="J40" s="82"/>
      <c r="K40" s="82"/>
      <c r="L40" s="82"/>
    </row>
    <row r="41">
      <c r="A41" s="82"/>
      <c r="B41" s="99" t="s">
        <v>95</v>
      </c>
      <c r="C41" s="92">
        <f>C40/C51-1</f>
        <v>0.2739602169981916</v>
      </c>
      <c r="D41" s="92">
        <f>D40/D51-1</f>
        <v>0.25238688252386887</v>
      </c>
      <c r="E41" s="92">
        <f>E40/E51-1</f>
        <v>0.45466434176111603</v>
      </c>
      <c r="F41" s="92">
        <f>F40/F51-1</f>
        <v>0.4383877159309022</v>
      </c>
      <c r="G41" s="92">
        <f>G40/G51-1</f>
        <v>0.3570378151260505</v>
      </c>
      <c r="H41" s="102">
        <f>H40/H51-1</f>
        <v>0.4821859474804826</v>
      </c>
      <c r="I41" s="82"/>
      <c r="J41" s="82"/>
      <c r="K41" s="82"/>
      <c r="L41" s="82"/>
    </row>
    <row r="42">
      <c r="A42" s="82"/>
      <c r="B42" s="87" t="s">
        <v>431</v>
      </c>
      <c r="C42" s="90">
        <f>'Revenue summary'!C43</f>
        <v>2818</v>
      </c>
      <c r="D42" s="90">
        <f>'Revenue summary'!D43</f>
        <v>3017</v>
      </c>
      <c r="E42" s="90">
        <f>'Revenue summary'!E43</f>
        <v>3337</v>
      </c>
      <c r="F42" s="90">
        <f>'Revenue summary'!F43</f>
        <v>3747</v>
      </c>
      <c r="G42" s="90">
        <f>'Revenue summary'!G43</f>
        <v>12919</v>
      </c>
      <c r="H42" s="120">
        <f>'Revenue summary'!H43</f>
        <v>4176.8</v>
      </c>
      <c r="I42" s="82"/>
      <c r="J42" s="82"/>
      <c r="K42" s="82"/>
      <c r="L42" s="82"/>
    </row>
    <row r="43">
      <c r="A43" s="82"/>
      <c r="B43" s="89" t="s">
        <v>432</v>
      </c>
      <c r="C43" s="100">
        <f>C40-C42</f>
        <v>0</v>
      </c>
      <c r="D43" s="100">
        <f>D40-D42</f>
        <v>0</v>
      </c>
      <c r="E43" s="100">
        <f>E40-E42</f>
        <v>0</v>
      </c>
      <c r="F43" s="100">
        <f>F40-F42</f>
        <v>0</v>
      </c>
      <c r="G43" s="100">
        <f>G40-G42</f>
        <v>0</v>
      </c>
      <c r="H43" s="149">
        <f>H40-H42</f>
        <v>0</v>
      </c>
      <c r="I43" s="82"/>
      <c r="J43" s="82"/>
      <c r="K43" s="82"/>
      <c r="L43" s="82"/>
    </row>
    <row r="44">
      <c r="A44" s="82"/>
      <c r="B44" s="87" t="s">
        <v>433</v>
      </c>
      <c r="C44" s="82"/>
      <c r="D44" s="82"/>
      <c r="E44" s="82"/>
      <c r="F44" s="82"/>
      <c r="G44" s="82"/>
      <c r="H44" s="136"/>
      <c r="I44" s="82"/>
      <c r="J44" s="82"/>
      <c r="K44" s="82"/>
      <c r="L44" s="82"/>
    </row>
    <row r="4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</row>
    <row r="46">
      <c r="A46" s="82"/>
      <c r="B46" s="89" t="s">
        <v>305</v>
      </c>
      <c r="C46" s="82"/>
      <c r="D46" s="82"/>
      <c r="E46" s="82"/>
      <c r="F46" s="82"/>
      <c r="G46" s="82"/>
      <c r="H46" s="82"/>
      <c r="I46" s="82"/>
      <c r="J46" s="82"/>
      <c r="K46" s="82"/>
      <c r="L46" s="82"/>
    </row>
    <row r="47">
      <c r="A47" s="82"/>
      <c r="B47" s="87" t="s">
        <v>160</v>
      </c>
      <c r="C47" s="104" t="s">
        <v>161</v>
      </c>
      <c r="D47" s="104" t="s">
        <v>162</v>
      </c>
      <c r="E47" s="104" t="s">
        <v>163</v>
      </c>
      <c r="F47" s="104" t="s">
        <v>164</v>
      </c>
      <c r="G47" s="104" t="s">
        <v>165</v>
      </c>
      <c r="H47" s="131" t="s">
        <v>83</v>
      </c>
      <c r="I47" s="82"/>
      <c r="J47" s="82"/>
      <c r="K47" s="82"/>
      <c r="L47" s="82"/>
    </row>
    <row r="48">
      <c r="A48" s="82"/>
      <c r="B48" s="87" t="s">
        <v>427</v>
      </c>
      <c r="C48" s="96">
        <v>1247</v>
      </c>
      <c r="D48" s="96">
        <v>1039</v>
      </c>
      <c r="E48" s="96">
        <v>1182</v>
      </c>
      <c r="F48" s="96">
        <v>1124</v>
      </c>
      <c r="G48" s="98">
        <f>SUM(C48:F48)</f>
        <v>4592</v>
      </c>
      <c r="H48" s="111">
        <f>C10</f>
        <v>1100</v>
      </c>
      <c r="I48" s="91" t="s">
        <v>434</v>
      </c>
      <c r="J48" s="82"/>
      <c r="K48" s="82"/>
      <c r="L48" s="82"/>
    </row>
    <row r="49">
      <c r="A49" s="82"/>
      <c r="B49" s="87" t="s">
        <v>429</v>
      </c>
      <c r="C49" s="96">
        <v>686</v>
      </c>
      <c r="D49" s="96">
        <v>910</v>
      </c>
      <c r="E49" s="96">
        <v>753</v>
      </c>
      <c r="F49" s="96">
        <v>1043</v>
      </c>
      <c r="G49" s="98">
        <f>SUM(C49:F49)</f>
        <v>3392</v>
      </c>
      <c r="H49" s="111">
        <f>C20</f>
        <v>1175</v>
      </c>
      <c r="I49" s="91" t="s">
        <v>435</v>
      </c>
      <c r="J49" s="82"/>
      <c r="K49" s="82"/>
      <c r="L49" s="82"/>
    </row>
    <row r="50">
      <c r="A50" s="82"/>
      <c r="B50" s="87" t="s">
        <v>430</v>
      </c>
      <c r="C50" s="96">
        <v>279</v>
      </c>
      <c r="D50" s="96">
        <v>460</v>
      </c>
      <c r="E50" s="96">
        <v>359</v>
      </c>
      <c r="F50" s="96">
        <v>438</v>
      </c>
      <c r="G50" s="98">
        <f>SUM(C50:F50)</f>
        <v>1536</v>
      </c>
      <c r="H50" s="111">
        <f>C30</f>
        <v>543</v>
      </c>
      <c r="I50" s="91" t="s">
        <v>436</v>
      </c>
      <c r="J50" s="82"/>
      <c r="K50" s="82"/>
      <c r="L50" s="82"/>
    </row>
    <row r="51">
      <c r="A51" s="82"/>
      <c r="B51" s="89" t="s">
        <v>111</v>
      </c>
      <c r="C51" s="97">
        <f>C48+C49+C50</f>
        <v>2212</v>
      </c>
      <c r="D51" s="97">
        <f>D48+D49+D50</f>
        <v>2409</v>
      </c>
      <c r="E51" s="97">
        <f>E48+E49+E50</f>
        <v>2294</v>
      </c>
      <c r="F51" s="97">
        <f>F48+F49+F50</f>
        <v>2605</v>
      </c>
      <c r="G51" s="97">
        <f>G48+G49+G50</f>
        <v>9520</v>
      </c>
      <c r="H51" s="114">
        <f>H48+H49+H50</f>
        <v>2818</v>
      </c>
      <c r="I51" s="82"/>
      <c r="J51" s="82"/>
      <c r="K51" s="82"/>
      <c r="L51" s="82"/>
    </row>
    <row r="52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</row>
    <row r="53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</row>
    <row r="54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L51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>
      <c r="A2" s="82"/>
      <c r="B2" s="109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</row>
    <row r="3">
      <c r="A3" s="82"/>
      <c r="B3" s="89" t="s">
        <v>437</v>
      </c>
      <c r="C3" s="82"/>
      <c r="D3" s="82"/>
      <c r="E3" s="82"/>
      <c r="F3" s="82"/>
      <c r="G3" s="82"/>
      <c r="H3" s="82"/>
      <c r="I3" s="82"/>
      <c r="J3" s="82"/>
      <c r="K3" s="82"/>
      <c r="L3" s="82"/>
    </row>
    <row r="4">
      <c r="A4" s="82"/>
      <c r="B4" s="103" t="s">
        <v>2</v>
      </c>
      <c r="C4" s="82"/>
      <c r="D4" s="82"/>
      <c r="E4" s="82"/>
      <c r="F4" s="82"/>
      <c r="G4" s="82"/>
      <c r="H4" s="82"/>
      <c r="I4" s="82"/>
      <c r="J4" s="82"/>
      <c r="K4" s="82"/>
      <c r="L4" s="82"/>
    </row>
    <row r="5">
      <c r="A5" s="82"/>
      <c r="B5" s="116" t="s">
        <v>82</v>
      </c>
      <c r="C5" s="88" t="s">
        <v>83</v>
      </c>
      <c r="D5" s="88" t="s">
        <v>84</v>
      </c>
      <c r="E5" s="88" t="s">
        <v>85</v>
      </c>
      <c r="F5" s="88" t="s">
        <v>86</v>
      </c>
      <c r="G5" s="88" t="s">
        <v>87</v>
      </c>
      <c r="H5" s="134" t="s">
        <v>88</v>
      </c>
      <c r="I5" s="116" t="s">
        <v>4</v>
      </c>
      <c r="J5" s="82"/>
      <c r="K5" s="82"/>
      <c r="L5" s="82"/>
    </row>
    <row r="6">
      <c r="A6" s="82"/>
      <c r="B6" s="113" t="s">
        <v>89</v>
      </c>
      <c r="C6" s="106">
        <v>45933</v>
      </c>
      <c r="D6" s="106">
        <v>46024</v>
      </c>
      <c r="E6" s="106">
        <v>46115</v>
      </c>
      <c r="F6" s="106">
        <v>46206</v>
      </c>
      <c r="G6" s="106">
        <v>46206</v>
      </c>
      <c r="H6" s="126">
        <v>46297</v>
      </c>
      <c r="I6" s="86"/>
      <c r="J6" s="82"/>
      <c r="K6" s="82"/>
      <c r="L6" s="82"/>
    </row>
    <row r="7">
      <c r="A7" s="82"/>
      <c r="B7" s="122" t="s">
        <v>90</v>
      </c>
      <c r="C7" s="93">
        <v>98</v>
      </c>
      <c r="D7" s="93">
        <v>91</v>
      </c>
      <c r="E7" s="93">
        <v>91</v>
      </c>
      <c r="F7" s="93">
        <v>91</v>
      </c>
      <c r="G7" s="93">
        <v>371</v>
      </c>
      <c r="H7" s="130">
        <v>91</v>
      </c>
      <c r="I7" s="143"/>
      <c r="J7" s="82"/>
      <c r="K7" s="82"/>
      <c r="L7" s="82"/>
    </row>
    <row r="8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</row>
    <row r="9">
      <c r="A9" s="82"/>
      <c r="B9" s="89" t="s">
        <v>438</v>
      </c>
      <c r="C9" s="82"/>
      <c r="D9" s="82"/>
      <c r="E9" s="82"/>
      <c r="F9" s="82"/>
      <c r="G9" s="82"/>
      <c r="H9" s="82"/>
      <c r="I9" s="91" t="s">
        <v>439</v>
      </c>
      <c r="J9" s="82"/>
      <c r="K9" s="82"/>
      <c r="L9" s="82"/>
    </row>
    <row r="10">
      <c r="A10" s="82"/>
      <c r="B10" s="87" t="s">
        <v>440</v>
      </c>
      <c r="C10" s="96">
        <v>345</v>
      </c>
      <c r="D10" s="96">
        <v>341</v>
      </c>
      <c r="E10" s="96">
        <v>342</v>
      </c>
      <c r="F10" s="96">
        <v>350</v>
      </c>
      <c r="G10" s="96">
        <v>345</v>
      </c>
      <c r="H10" s="111">
        <f>H35-H36*H29</f>
        <v>359.6898801702128</v>
      </c>
      <c r="I10" s="91" t="s">
        <v>441</v>
      </c>
      <c r="J10" s="82"/>
      <c r="K10" s="82"/>
      <c r="L10" s="82"/>
    </row>
    <row r="11">
      <c r="A11" s="82"/>
      <c r="B11" s="99" t="s">
        <v>95</v>
      </c>
      <c r="C11" s="92">
        <f>C10/C44-1</f>
        <v>0.0029069767441860517</v>
      </c>
      <c r="D11" s="92">
        <f>D10/D44-1</f>
        <v>-0.014450867052023142</v>
      </c>
      <c r="E11" s="92">
        <f>E10/E44-1</f>
        <v>-0.017241379310344862</v>
      </c>
      <c r="F11" s="92">
        <f>F10/F44-1</f>
        <v>0.005747126436781658</v>
      </c>
      <c r="G11" s="92">
        <f>G10/G44-1</f>
        <v>-0.0057636887608069065</v>
      </c>
      <c r="H11" s="102">
        <f>H10/H44-1</f>
        <v>0.042579362812211086</v>
      </c>
      <c r="I11" s="82"/>
      <c r="J11" s="82"/>
      <c r="K11" s="82"/>
      <c r="L11" s="82"/>
    </row>
    <row r="12">
      <c r="A12" s="82"/>
      <c r="B12" s="112" t="s">
        <v>442</v>
      </c>
      <c r="C12" s="98">
        <f>C10-F44</f>
        <v>-3</v>
      </c>
      <c r="D12" s="98">
        <f>D10-C10</f>
        <v>-4</v>
      </c>
      <c r="E12" s="98">
        <f>E10-D10</f>
        <v>1</v>
      </c>
      <c r="F12" s="98">
        <f>F10-E10</f>
        <v>8</v>
      </c>
      <c r="G12" s="98" t="s">
        <v>42</v>
      </c>
      <c r="H12" s="111">
        <f>H10-F10</f>
        <v>9.689880170212803</v>
      </c>
      <c r="I12" s="82"/>
      <c r="J12" s="82"/>
      <c r="K12" s="82"/>
      <c r="L12" s="82"/>
    </row>
    <row r="13">
      <c r="A13" s="82"/>
      <c r="B13" s="112" t="s">
        <v>443</v>
      </c>
      <c r="C13" s="98">
        <f>C14-C10</f>
        <v>31</v>
      </c>
      <c r="D13" s="98">
        <f>D14-D10</f>
        <v>40</v>
      </c>
      <c r="E13" s="98">
        <f>E14-E10</f>
        <v>45</v>
      </c>
      <c r="F13" s="98">
        <f>F14-F10</f>
        <v>39</v>
      </c>
      <c r="G13" s="98">
        <f>G14-G10</f>
        <v>38</v>
      </c>
      <c r="H13" s="111">
        <f>H14-H10</f>
        <v>28.310119829787197</v>
      </c>
      <c r="I13" s="82"/>
      <c r="J13" s="82"/>
      <c r="K13" s="82"/>
      <c r="L13" s="82"/>
    </row>
    <row r="14">
      <c r="A14" s="82"/>
      <c r="B14" s="89" t="s">
        <v>444</v>
      </c>
      <c r="C14" s="124">
        <v>376</v>
      </c>
      <c r="D14" s="124">
        <v>381</v>
      </c>
      <c r="E14" s="124">
        <v>387</v>
      </c>
      <c r="F14" s="124">
        <v>389</v>
      </c>
      <c r="G14" s="124">
        <v>383</v>
      </c>
      <c r="H14" s="117">
        <f>Guidance!G48</f>
        <v>388</v>
      </c>
      <c r="I14" s="91" t="s">
        <v>445</v>
      </c>
      <c r="J14" s="82"/>
      <c r="K14" s="82"/>
      <c r="L14" s="82"/>
    </row>
    <row r="15">
      <c r="A15" s="82"/>
      <c r="B15" s="99" t="s">
        <v>95</v>
      </c>
      <c r="C15" s="92">
        <f>C14/C45-1</f>
        <v>0.053221288515406195</v>
      </c>
      <c r="D15" s="92">
        <f>D14/D45-1</f>
        <v>0.0672268907563025</v>
      </c>
      <c r="E15" s="92">
        <f>E14/E45-1</f>
        <v>0.08100558659217882</v>
      </c>
      <c r="F15" s="92">
        <f>F14/F45-1</f>
        <v>0.07458563535911611</v>
      </c>
      <c r="G15" s="92">
        <f>G14/G45-1</f>
        <v>0.06685236768802238</v>
      </c>
      <c r="H15" s="102">
        <f>H14/H45-1</f>
        <v>0.03191489361702127</v>
      </c>
      <c r="I15" s="82"/>
      <c r="J15" s="82"/>
      <c r="K15" s="82"/>
      <c r="L15" s="82"/>
    </row>
    <row r="16">
      <c r="A16" s="82"/>
      <c r="B16" s="112" t="s">
        <v>442</v>
      </c>
      <c r="C16" s="98">
        <f>C14-F45</f>
        <v>14</v>
      </c>
      <c r="D16" s="98">
        <f>D14-C14</f>
        <v>5</v>
      </c>
      <c r="E16" s="98">
        <f>E14-D14</f>
        <v>6</v>
      </c>
      <c r="F16" s="98">
        <f>F14-E14</f>
        <v>2</v>
      </c>
      <c r="G16" s="98" t="s">
        <v>42</v>
      </c>
      <c r="H16" s="111">
        <f>H14-F14</f>
        <v>-1</v>
      </c>
      <c r="I16" s="82"/>
      <c r="J16" s="82"/>
      <c r="K16" s="82"/>
      <c r="L16" s="82"/>
    </row>
    <row r="17">
      <c r="A17" s="82"/>
      <c r="B17" s="112" t="s">
        <v>446</v>
      </c>
      <c r="C17" s="96">
        <v>-7</v>
      </c>
      <c r="D17" s="96">
        <v>-3</v>
      </c>
      <c r="E17" s="96">
        <v>-2</v>
      </c>
      <c r="F17" s="96">
        <v>-1</v>
      </c>
      <c r="G17" s="96">
        <v>-3</v>
      </c>
      <c r="H17" s="125">
        <v>0</v>
      </c>
      <c r="I17" s="91" t="s">
        <v>447</v>
      </c>
      <c r="J17" s="82"/>
      <c r="K17" s="82"/>
      <c r="L17" s="82"/>
    </row>
    <row r="18">
      <c r="A18" s="82"/>
      <c r="B18" s="146" t="s">
        <v>448</v>
      </c>
      <c r="C18" s="98">
        <f>C17-C47</f>
        <v>0</v>
      </c>
      <c r="D18" s="98">
        <f>D17-D47</f>
        <v>4</v>
      </c>
      <c r="E18" s="98">
        <f>E17-E47</f>
        <v>4</v>
      </c>
      <c r="F18" s="98">
        <f>F17-F47</f>
        <v>8</v>
      </c>
      <c r="G18" s="98">
        <f>G17-G47</f>
        <v>4</v>
      </c>
      <c r="H18" s="111">
        <f>H17-H47</f>
        <v>7</v>
      </c>
      <c r="I18" s="82"/>
      <c r="J18" s="82"/>
      <c r="K18" s="82"/>
      <c r="L18" s="82"/>
    </row>
    <row r="19">
      <c r="A19" s="82"/>
      <c r="B19" s="146" t="s">
        <v>442</v>
      </c>
      <c r="C19" s="98">
        <f>C17-F47</f>
        <v>2</v>
      </c>
      <c r="D19" s="98">
        <f>D17-C17</f>
        <v>4</v>
      </c>
      <c r="E19" s="98">
        <f>E17-D17</f>
        <v>1</v>
      </c>
      <c r="F19" s="98">
        <f>F17-E17</f>
        <v>1</v>
      </c>
      <c r="G19" s="98" t="s">
        <v>42</v>
      </c>
      <c r="H19" s="111">
        <f>H17-F17</f>
        <v>1</v>
      </c>
      <c r="I19" s="82"/>
      <c r="J19" s="82"/>
      <c r="K19" s="82"/>
      <c r="L19" s="82"/>
    </row>
    <row r="20">
      <c r="A20" s="82"/>
      <c r="B20" s="89" t="s">
        <v>449</v>
      </c>
      <c r="C20" s="97">
        <f>C14+C17</f>
        <v>369</v>
      </c>
      <c r="D20" s="97">
        <f>D14+D17</f>
        <v>378</v>
      </c>
      <c r="E20" s="97">
        <f>E14+E17</f>
        <v>385</v>
      </c>
      <c r="F20" s="97">
        <f>F14+F17</f>
        <v>388</v>
      </c>
      <c r="G20" s="97">
        <f>G14+G17</f>
        <v>380</v>
      </c>
      <c r="H20" s="114">
        <f>H14+H17</f>
        <v>388</v>
      </c>
      <c r="I20" s="82"/>
      <c r="J20" s="82"/>
      <c r="K20" s="82"/>
      <c r="L20" s="82"/>
    </row>
    <row r="21">
      <c r="A21" s="82"/>
      <c r="B21" s="99" t="s">
        <v>95</v>
      </c>
      <c r="C21" s="92">
        <f>C20/C46-1</f>
        <v>0.05428571428571427</v>
      </c>
      <c r="D21" s="92">
        <f>D20/D46-1</f>
        <v>0.08000000000000007</v>
      </c>
      <c r="E21" s="92">
        <f>E20/E46-1</f>
        <v>0.09375</v>
      </c>
      <c r="F21" s="92">
        <f>F20/F46-1</f>
        <v>0.09915014164305958</v>
      </c>
      <c r="G21" s="92">
        <f>G20/G46-1</f>
        <v>0.07954545454545459</v>
      </c>
      <c r="H21" s="102">
        <f>H20/H46-1</f>
        <v>0.051490514905149</v>
      </c>
      <c r="I21" s="82"/>
      <c r="J21" s="82"/>
      <c r="K21" s="82"/>
      <c r="L21" s="82"/>
    </row>
    <row r="22">
      <c r="A22" s="82"/>
      <c r="B22" s="112" t="s">
        <v>442</v>
      </c>
      <c r="C22" s="98">
        <f>C20-F46</f>
        <v>16</v>
      </c>
      <c r="D22" s="98">
        <f>D20-C20</f>
        <v>9</v>
      </c>
      <c r="E22" s="98">
        <f>E20-D20</f>
        <v>7</v>
      </c>
      <c r="F22" s="98">
        <f>F20-E20</f>
        <v>3</v>
      </c>
      <c r="G22" s="98" t="s">
        <v>42</v>
      </c>
      <c r="H22" s="111">
        <f>H20-F20</f>
        <v>0</v>
      </c>
      <c r="I22" s="82"/>
      <c r="J22" s="82"/>
      <c r="K22" s="82"/>
      <c r="L22" s="82"/>
    </row>
    <row r="23">
      <c r="A23" s="82"/>
      <c r="B23" s="87" t="s">
        <v>450</v>
      </c>
      <c r="C23" s="90">
        <f>Guidance!G20</f>
        <v>363</v>
      </c>
      <c r="D23" s="90">
        <f>Guidance!G27</f>
        <v>375</v>
      </c>
      <c r="E23" s="90">
        <f>Guidance!G34</f>
        <v>385</v>
      </c>
      <c r="F23" s="90">
        <f>Guidance!G41</f>
        <v>385</v>
      </c>
      <c r="G23" s="98" t="s">
        <v>42</v>
      </c>
      <c r="H23" s="120">
        <f>Guidance!G48</f>
        <v>388</v>
      </c>
      <c r="I23" s="82"/>
      <c r="J23" s="82"/>
      <c r="K23" s="82"/>
      <c r="L23" s="82"/>
    </row>
    <row r="24">
      <c r="A24" s="82"/>
      <c r="B24" s="112" t="s">
        <v>451</v>
      </c>
      <c r="C24" s="98">
        <f>C20-C23</f>
        <v>6</v>
      </c>
      <c r="D24" s="98">
        <f>D20-D23</f>
        <v>3</v>
      </c>
      <c r="E24" s="98">
        <f>E20-E23</f>
        <v>0</v>
      </c>
      <c r="F24" s="98">
        <f>F20-F23</f>
        <v>3</v>
      </c>
      <c r="G24" s="98" t="s">
        <v>42</v>
      </c>
      <c r="H24" s="111">
        <f>H20-H23</f>
        <v>0</v>
      </c>
      <c r="I24" s="82"/>
      <c r="J24" s="82"/>
      <c r="K24" s="82"/>
      <c r="L24" s="82"/>
    </row>
    <row r="25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</row>
    <row r="26">
      <c r="A26" s="82"/>
      <c r="B26" s="89" t="s">
        <v>452</v>
      </c>
      <c r="C26" s="82"/>
      <c r="D26" s="82"/>
      <c r="E26" s="82"/>
      <c r="F26" s="82"/>
      <c r="G26" s="82"/>
      <c r="H26" s="82"/>
      <c r="I26" s="91" t="s">
        <v>453</v>
      </c>
      <c r="J26" s="82"/>
      <c r="K26" s="82"/>
      <c r="L26" s="82"/>
    </row>
    <row r="27">
      <c r="A27" s="82"/>
      <c r="B27" s="87" t="s">
        <v>454</v>
      </c>
      <c r="C27" s="90">
        <f>-'Cash Flow Statement'!C42</f>
        <v>553</v>
      </c>
      <c r="D27" s="90">
        <f>-'Cash Flow Statement'!D42</f>
        <v>615</v>
      </c>
      <c r="E27" s="90">
        <f>-'Cash Flow Statement'!E42</f>
        <v>752</v>
      </c>
      <c r="F27" s="90">
        <f>-'Cash Flow Statement'!F42</f>
        <v>672</v>
      </c>
      <c r="G27" s="90">
        <f>-'Cash Flow Statement'!G42</f>
        <v>2592</v>
      </c>
      <c r="H27" s="120">
        <f>-'Cash Flow Statement'!H42</f>
        <v>800</v>
      </c>
      <c r="I27" s="82"/>
      <c r="J27" s="82"/>
      <c r="K27" s="82"/>
      <c r="L27" s="82"/>
    </row>
    <row r="28">
      <c r="A28" s="82"/>
      <c r="B28" s="112" t="s">
        <v>97</v>
      </c>
      <c r="C28" s="90">
        <f>C27+'Cash Flow Statement'!F79</f>
        <v>404</v>
      </c>
      <c r="D28" s="98">
        <f>D27-C27</f>
        <v>62</v>
      </c>
      <c r="E28" s="98">
        <f>E27-D27</f>
        <v>137</v>
      </c>
      <c r="F28" s="98">
        <f>F27-E27</f>
        <v>-80</v>
      </c>
      <c r="G28" s="98" t="s">
        <v>42</v>
      </c>
      <c r="H28" s="111">
        <f>H27-F27</f>
        <v>128</v>
      </c>
      <c r="I28" s="82"/>
      <c r="J28" s="82"/>
      <c r="K28" s="82"/>
      <c r="L28" s="82"/>
    </row>
    <row r="29">
      <c r="A29" s="82"/>
      <c r="B29" s="87" t="s">
        <v>455</v>
      </c>
      <c r="C29" s="98" t="s">
        <v>42</v>
      </c>
      <c r="D29" s="98" t="s">
        <v>42</v>
      </c>
      <c r="E29" s="98" t="s">
        <v>42</v>
      </c>
      <c r="F29" s="96">
        <v>2.3</v>
      </c>
      <c r="G29" s="96">
        <v>14.7</v>
      </c>
      <c r="H29" s="111">
        <f>H27/H31</f>
        <v>1.702127659574468</v>
      </c>
      <c r="I29" s="91" t="s">
        <v>456</v>
      </c>
      <c r="J29" s="82"/>
      <c r="K29" s="82"/>
      <c r="L29" s="82"/>
    </row>
    <row r="30">
      <c r="A30" s="82"/>
      <c r="B30" s="87" t="s">
        <v>457</v>
      </c>
      <c r="C30" s="98" t="s">
        <v>42</v>
      </c>
      <c r="D30" s="98" t="s">
        <v>42</v>
      </c>
      <c r="E30" s="98" t="s">
        <v>42</v>
      </c>
      <c r="F30" s="96">
        <v>1000</v>
      </c>
      <c r="G30" s="98" t="s">
        <v>42</v>
      </c>
      <c r="H30" s="111">
        <f>H27</f>
        <v>800</v>
      </c>
      <c r="I30" s="91" t="s">
        <v>458</v>
      </c>
      <c r="J30" s="82"/>
      <c r="K30" s="82"/>
      <c r="L30" s="82"/>
    </row>
    <row r="31">
      <c r="A31" s="82"/>
      <c r="B31" s="87" t="s">
        <v>459</v>
      </c>
      <c r="C31" s="105" t="s">
        <v>42</v>
      </c>
      <c r="D31" s="105" t="s">
        <v>42</v>
      </c>
      <c r="E31" s="105" t="s">
        <v>42</v>
      </c>
      <c r="F31" s="105">
        <f>F30/F29</f>
        <v>434.7826086956522</v>
      </c>
      <c r="G31" s="105">
        <f>G27/G29</f>
        <v>176.3265306122449</v>
      </c>
      <c r="H31" s="127">
        <v>470</v>
      </c>
      <c r="I31" s="91" t="s">
        <v>460</v>
      </c>
      <c r="J31" s="82"/>
      <c r="K31" s="82"/>
      <c r="L31" s="82"/>
    </row>
    <row r="32">
      <c r="A32" s="82"/>
      <c r="B32" s="112" t="s">
        <v>461</v>
      </c>
      <c r="C32" s="105" t="s">
        <v>42</v>
      </c>
      <c r="D32" s="105" t="s">
        <v>42</v>
      </c>
      <c r="E32" s="105" t="s">
        <v>42</v>
      </c>
      <c r="F32" s="105" t="s">
        <v>42</v>
      </c>
      <c r="G32" s="105" t="s">
        <v>42</v>
      </c>
      <c r="H32" s="119" t="s">
        <v>42</v>
      </c>
      <c r="I32" s="91" t="s">
        <v>462</v>
      </c>
      <c r="J32" s="82"/>
      <c r="K32" s="82"/>
      <c r="L32" s="82"/>
    </row>
    <row r="33">
      <c r="A33" s="82"/>
      <c r="B33" s="112" t="s">
        <v>463</v>
      </c>
      <c r="C33" s="105" t="s">
        <v>42</v>
      </c>
      <c r="D33" s="105" t="s">
        <v>42</v>
      </c>
      <c r="E33" s="105" t="s">
        <v>42</v>
      </c>
      <c r="F33" s="105" t="s">
        <v>42</v>
      </c>
      <c r="G33" s="105" t="s">
        <v>42</v>
      </c>
      <c r="H33" s="119" t="s">
        <v>297</v>
      </c>
      <c r="I33" s="169" t="s">
        <v>464</v>
      </c>
      <c r="J33" s="82"/>
      <c r="K33" s="82"/>
      <c r="L33" s="82"/>
    </row>
    <row r="34">
      <c r="A34" s="82"/>
      <c r="B34" s="87" t="s">
        <v>465</v>
      </c>
      <c r="C34" s="96">
        <v>342</v>
      </c>
      <c r="D34" s="96">
        <v>340</v>
      </c>
      <c r="E34" s="98" t="s">
        <v>42</v>
      </c>
      <c r="F34" s="98" t="s">
        <v>42</v>
      </c>
      <c r="G34" s="98" t="s">
        <v>42</v>
      </c>
      <c r="H34" s="111" t="s">
        <v>42</v>
      </c>
      <c r="I34" s="91" t="s">
        <v>466</v>
      </c>
      <c r="J34" s="82"/>
      <c r="K34" s="82"/>
      <c r="L34" s="82"/>
    </row>
    <row r="35">
      <c r="A35" s="82"/>
      <c r="B35" s="87" t="s">
        <v>467</v>
      </c>
      <c r="C35" s="82"/>
      <c r="D35" s="82"/>
      <c r="E35" s="82"/>
      <c r="F35" s="82"/>
      <c r="G35" s="82"/>
      <c r="H35" s="125">
        <v>360.540944</v>
      </c>
      <c r="I35" s="91" t="s">
        <v>468</v>
      </c>
      <c r="J35" s="82"/>
      <c r="K35" s="82"/>
      <c r="L35" s="82"/>
    </row>
    <row r="36">
      <c r="A36" s="82"/>
      <c r="B36" s="103" t="s">
        <v>469</v>
      </c>
      <c r="C36" s="82"/>
      <c r="D36" s="82"/>
      <c r="E36" s="82"/>
      <c r="F36" s="82"/>
      <c r="G36" s="82"/>
      <c r="H36" s="142">
        <v>0.5</v>
      </c>
      <c r="I36" s="91" t="s">
        <v>470</v>
      </c>
      <c r="J36" s="82"/>
      <c r="K36" s="82"/>
      <c r="L36" s="82"/>
    </row>
    <row r="37">
      <c r="A37" s="82"/>
      <c r="B37" s="87" t="s">
        <v>471</v>
      </c>
      <c r="C37" s="118">
        <v>0.1</v>
      </c>
      <c r="D37" s="118">
        <v>0.125</v>
      </c>
      <c r="E37" s="118">
        <v>0.125</v>
      </c>
      <c r="F37" s="118">
        <v>0.15</v>
      </c>
      <c r="G37" s="105">
        <f>SUM(C37:F37)</f>
        <v>0.5</v>
      </c>
      <c r="H37" s="127">
        <v>0.15</v>
      </c>
      <c r="I37" s="91" t="s">
        <v>472</v>
      </c>
      <c r="J37" s="82"/>
      <c r="K37" s="82"/>
      <c r="L37" s="82"/>
    </row>
    <row r="38">
      <c r="A38" s="82"/>
      <c r="B38" s="112" t="s">
        <v>473</v>
      </c>
      <c r="C38" s="105">
        <f>C37-C48</f>
        <v>0.1</v>
      </c>
      <c r="D38" s="105">
        <f>D37-D48</f>
        <v>0.125</v>
      </c>
      <c r="E38" s="105">
        <f>E37-E48</f>
        <v>0.125</v>
      </c>
      <c r="F38" s="105">
        <f>F37-F48</f>
        <v>0.04999999999999999</v>
      </c>
      <c r="G38" s="105">
        <f>G37-G48</f>
        <v>0.4</v>
      </c>
      <c r="H38" s="119">
        <f>H37-H48</f>
        <v>0.04999999999999999</v>
      </c>
      <c r="I38" s="82"/>
      <c r="J38" s="82"/>
      <c r="K38" s="82"/>
      <c r="L38" s="82"/>
    </row>
    <row r="39">
      <c r="A39" s="82"/>
      <c r="B39" s="112" t="s">
        <v>474</v>
      </c>
      <c r="C39" s="105">
        <f>C37-F48</f>
        <v>0</v>
      </c>
      <c r="D39" s="105">
        <f>D37-C37</f>
        <v>0.024999999999999994</v>
      </c>
      <c r="E39" s="105">
        <f>E37-D37</f>
        <v>0</v>
      </c>
      <c r="F39" s="105">
        <f>F37-E37</f>
        <v>0.024999999999999994</v>
      </c>
      <c r="G39" s="105" t="s">
        <v>42</v>
      </c>
      <c r="H39" s="119">
        <f>H37-F37</f>
        <v>0</v>
      </c>
      <c r="I39" s="82"/>
      <c r="J39" s="82"/>
      <c r="K39" s="82"/>
      <c r="L39" s="82"/>
    </row>
    <row r="40">
      <c r="A40" s="82"/>
      <c r="B40" s="87" t="s">
        <v>475</v>
      </c>
      <c r="C40" s="90">
        <f>-'Cash Flow Statement'!C45</f>
        <v>39</v>
      </c>
      <c r="D40" s="90">
        <f>-'Cash Flow Statement'!D45</f>
        <v>48</v>
      </c>
      <c r="E40" s="90">
        <f>-'Cash Flow Statement'!E45</f>
        <v>43</v>
      </c>
      <c r="F40" s="90">
        <f>-'Cash Flow Statement'!F45</f>
        <v>54</v>
      </c>
      <c r="G40" s="90">
        <f>-'Cash Flow Statement'!G45</f>
        <v>184</v>
      </c>
      <c r="H40" s="111">
        <f>H37*H35</f>
        <v>54.0811416</v>
      </c>
      <c r="I40" s="82"/>
      <c r="J40" s="82"/>
      <c r="K40" s="82"/>
      <c r="L40" s="82"/>
    </row>
    <row r="41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</row>
    <row r="42">
      <c r="A42" s="82"/>
      <c r="B42" s="89" t="s">
        <v>305</v>
      </c>
      <c r="C42" s="82"/>
      <c r="D42" s="82"/>
      <c r="E42" s="82"/>
      <c r="F42" s="82"/>
      <c r="G42" s="82"/>
      <c r="H42" s="82"/>
      <c r="I42" s="91" t="s">
        <v>476</v>
      </c>
      <c r="J42" s="82"/>
      <c r="K42" s="82"/>
      <c r="L42" s="82"/>
    </row>
    <row r="43">
      <c r="A43" s="82"/>
      <c r="B43" s="87" t="s">
        <v>160</v>
      </c>
      <c r="C43" s="104" t="s">
        <v>161</v>
      </c>
      <c r="D43" s="104" t="s">
        <v>162</v>
      </c>
      <c r="E43" s="104" t="s">
        <v>163</v>
      </c>
      <c r="F43" s="104" t="s">
        <v>164</v>
      </c>
      <c r="G43" s="104" t="s">
        <v>165</v>
      </c>
      <c r="H43" s="131" t="s">
        <v>83</v>
      </c>
      <c r="I43" s="82"/>
      <c r="J43" s="82"/>
      <c r="K43" s="82"/>
      <c r="L43" s="82"/>
    </row>
    <row r="44">
      <c r="A44" s="82"/>
      <c r="B44" s="87" t="s">
        <v>440</v>
      </c>
      <c r="C44" s="96">
        <v>344</v>
      </c>
      <c r="D44" s="96">
        <v>346</v>
      </c>
      <c r="E44" s="96">
        <v>348</v>
      </c>
      <c r="F44" s="96">
        <v>348</v>
      </c>
      <c r="G44" s="96">
        <v>347</v>
      </c>
      <c r="H44" s="111">
        <f>C10</f>
        <v>345</v>
      </c>
      <c r="I44" s="82"/>
      <c r="J44" s="82"/>
      <c r="K44" s="82"/>
      <c r="L44" s="82"/>
    </row>
    <row r="45">
      <c r="A45" s="82"/>
      <c r="B45" s="87" t="s">
        <v>477</v>
      </c>
      <c r="C45" s="96">
        <v>357</v>
      </c>
      <c r="D45" s="96">
        <v>357</v>
      </c>
      <c r="E45" s="96">
        <v>358</v>
      </c>
      <c r="F45" s="96">
        <v>362</v>
      </c>
      <c r="G45" s="96">
        <v>359</v>
      </c>
      <c r="H45" s="111">
        <f>C14</f>
        <v>376</v>
      </c>
      <c r="I45" s="82"/>
      <c r="J45" s="82"/>
      <c r="K45" s="82"/>
      <c r="L45" s="82"/>
    </row>
    <row r="46">
      <c r="A46" s="82"/>
      <c r="B46" s="89" t="s">
        <v>478</v>
      </c>
      <c r="C46" s="97">
        <f>C45+C47</f>
        <v>350</v>
      </c>
      <c r="D46" s="97">
        <f>D45+D47</f>
        <v>350</v>
      </c>
      <c r="E46" s="97">
        <f>E45+E47</f>
        <v>352</v>
      </c>
      <c r="F46" s="97">
        <f>F45+F47</f>
        <v>353</v>
      </c>
      <c r="G46" s="97">
        <f>G45+G47</f>
        <v>352</v>
      </c>
      <c r="H46" s="114">
        <f>H45+H47</f>
        <v>369</v>
      </c>
      <c r="I46" s="82"/>
      <c r="J46" s="82"/>
      <c r="K46" s="82"/>
      <c r="L46" s="82"/>
    </row>
    <row r="47">
      <c r="A47" s="82"/>
      <c r="B47" s="87" t="s">
        <v>479</v>
      </c>
      <c r="C47" s="96">
        <v>-7</v>
      </c>
      <c r="D47" s="96">
        <v>-7</v>
      </c>
      <c r="E47" s="96">
        <v>-6</v>
      </c>
      <c r="F47" s="96">
        <v>-9</v>
      </c>
      <c r="G47" s="96">
        <v>-7</v>
      </c>
      <c r="H47" s="111">
        <f>C17</f>
        <v>-7</v>
      </c>
      <c r="I47" s="82"/>
      <c r="J47" s="82"/>
      <c r="K47" s="82"/>
      <c r="L47" s="82"/>
    </row>
    <row r="48">
      <c r="A48" s="82"/>
      <c r="B48" s="87" t="s">
        <v>471</v>
      </c>
      <c r="C48" s="118">
        <v>0</v>
      </c>
      <c r="D48" s="118">
        <v>0</v>
      </c>
      <c r="E48" s="118">
        <v>0</v>
      </c>
      <c r="F48" s="118">
        <v>0.1</v>
      </c>
      <c r="G48" s="105">
        <f>SUM(C48:F48)</f>
        <v>0.1</v>
      </c>
      <c r="H48" s="119">
        <f>C37</f>
        <v>0.1</v>
      </c>
      <c r="I48" s="91" t="s">
        <v>480</v>
      </c>
      <c r="J48" s="82"/>
      <c r="K48" s="82"/>
      <c r="L48" s="82"/>
    </row>
    <row r="49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</row>
    <row r="50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</row>
    <row r="51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L6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16" customWidth="1"/>
    <col min="11" max="11" width="60" customWidth="1"/>
  </cols>
  <sheetData>
    <row r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>
      <c r="A2" s="82"/>
      <c r="B2" s="109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</row>
    <row r="3">
      <c r="A3" s="82"/>
      <c r="B3" s="89" t="s">
        <v>481</v>
      </c>
      <c r="C3" s="82"/>
      <c r="D3" s="82"/>
      <c r="E3" s="82"/>
      <c r="F3" s="82"/>
      <c r="G3" s="82"/>
      <c r="H3" s="82"/>
      <c r="I3" s="82"/>
      <c r="J3" s="82"/>
      <c r="K3" s="82"/>
      <c r="L3" s="82"/>
    </row>
    <row r="4">
      <c r="A4" s="82"/>
      <c r="B4" s="103" t="s">
        <v>2</v>
      </c>
      <c r="C4" s="82"/>
      <c r="D4" s="82"/>
      <c r="E4" s="82"/>
      <c r="F4" s="82"/>
      <c r="G4" s="82"/>
      <c r="H4" s="82"/>
      <c r="I4" s="82"/>
      <c r="J4" s="82"/>
      <c r="K4" s="82"/>
      <c r="L4" s="82"/>
    </row>
    <row r="5">
      <c r="A5" s="82"/>
      <c r="B5" s="116" t="s">
        <v>3</v>
      </c>
      <c r="C5" s="88"/>
      <c r="D5" s="88"/>
      <c r="E5" s="88"/>
      <c r="F5" s="88"/>
      <c r="G5" s="88"/>
      <c r="H5" s="166"/>
      <c r="I5" s="140"/>
      <c r="J5" s="140"/>
      <c r="K5" s="116" t="s">
        <v>4</v>
      </c>
      <c r="L5" s="82"/>
    </row>
    <row r="6">
      <c r="A6" s="82"/>
      <c r="B6" s="113"/>
      <c r="C6" s="106"/>
      <c r="D6" s="106"/>
      <c r="E6" s="106"/>
      <c r="F6" s="106"/>
      <c r="G6" s="106"/>
      <c r="H6" s="168"/>
      <c r="I6" s="86"/>
      <c r="J6" s="86"/>
      <c r="K6" s="86"/>
      <c r="L6" s="82"/>
    </row>
    <row r="7">
      <c r="A7" s="82"/>
      <c r="B7" s="122"/>
      <c r="C7" s="93"/>
      <c r="D7" s="93"/>
      <c r="E7" s="93"/>
      <c r="F7" s="93"/>
      <c r="G7" s="93"/>
      <c r="H7" s="165"/>
      <c r="I7" s="143"/>
      <c r="J7" s="143"/>
      <c r="K7" s="143"/>
      <c r="L7" s="82"/>
    </row>
    <row r="8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</row>
    <row r="9">
      <c r="A9" s="82"/>
      <c r="B9" s="89" t="s">
        <v>482</v>
      </c>
      <c r="C9" s="82"/>
      <c r="D9" s="82"/>
      <c r="E9" s="82"/>
      <c r="F9" s="82"/>
      <c r="G9" s="82"/>
      <c r="H9" s="82"/>
      <c r="I9" s="82"/>
      <c r="J9" s="82"/>
      <c r="K9" s="91" t="s">
        <v>483</v>
      </c>
      <c r="L9" s="82"/>
    </row>
    <row r="10">
      <c r="A10" s="82"/>
      <c r="B10" s="89" t="s">
        <v>484</v>
      </c>
      <c r="C10" s="115" t="s">
        <v>82</v>
      </c>
      <c r="D10" s="115" t="s">
        <v>485</v>
      </c>
      <c r="E10" s="115" t="s">
        <v>486</v>
      </c>
      <c r="F10" s="115" t="s">
        <v>487</v>
      </c>
      <c r="G10" s="115" t="s">
        <v>488</v>
      </c>
      <c r="H10" s="115" t="s">
        <v>489</v>
      </c>
      <c r="I10" s="115" t="s">
        <v>490</v>
      </c>
      <c r="J10" s="115" t="s">
        <v>491</v>
      </c>
      <c r="K10" s="82"/>
      <c r="L10" s="82"/>
    </row>
    <row r="11">
      <c r="A11" s="82"/>
      <c r="B11" s="87" t="s">
        <v>35</v>
      </c>
      <c r="C11" s="98" t="s">
        <v>164</v>
      </c>
      <c r="D11" s="108">
        <v>45777</v>
      </c>
      <c r="E11" s="96">
        <v>2300</v>
      </c>
      <c r="F11" s="96">
        <v>2600</v>
      </c>
      <c r="G11" s="98">
        <f>AVERAGE(E11:F11)</f>
        <v>2450</v>
      </c>
      <c r="H11" s="90">
        <f>'Revenue summary'!F111</f>
        <v>2605</v>
      </c>
      <c r="I11" s="98">
        <f>H11-G11</f>
        <v>155</v>
      </c>
      <c r="J11" s="98" t="str">
        <f>IF(H11&gt;G11,"Beat",IF(H11&lt;G11,"Miss","In line"))</f>
        <v>Beat</v>
      </c>
      <c r="K11" s="178" t="s">
        <v>492</v>
      </c>
      <c r="L11" s="82"/>
    </row>
    <row r="12">
      <c r="A12" s="82"/>
      <c r="B12" s="103" t="s">
        <v>245</v>
      </c>
      <c r="C12" s="92" t="s">
        <v>164</v>
      </c>
      <c r="D12" s="133">
        <v>45777</v>
      </c>
      <c r="E12" s="83">
        <v>0.4</v>
      </c>
      <c r="F12" s="83">
        <v>0.41</v>
      </c>
      <c r="G12" s="92">
        <f>AVERAGE(E12:F12)</f>
        <v>0.405</v>
      </c>
      <c r="H12" s="138">
        <f>'Income Statement'!F151/'Income Statement'!F146</f>
        <v>0.41343570057581575</v>
      </c>
      <c r="I12" s="92">
        <f>H12-G12</f>
        <v>0.008435700575815719</v>
      </c>
      <c r="J12" s="92" t="str">
        <f>IF(H12&gt;G12,"Beat",IF(H12&lt;G12,"Miss","In line"))</f>
        <v>Beat</v>
      </c>
      <c r="K12" s="178" t="s">
        <v>492</v>
      </c>
      <c r="L12" s="82"/>
    </row>
    <row r="13">
      <c r="A13" s="82"/>
      <c r="B13" s="87" t="s">
        <v>493</v>
      </c>
      <c r="C13" s="105" t="s">
        <v>164</v>
      </c>
      <c r="D13" s="108">
        <v>45777</v>
      </c>
      <c r="E13" s="105" t="s">
        <v>42</v>
      </c>
      <c r="F13" s="105" t="s">
        <v>42</v>
      </c>
      <c r="G13" s="118">
        <v>1.45</v>
      </c>
      <c r="H13" s="128">
        <f>Inputs!E107</f>
        <v>1.66</v>
      </c>
      <c r="I13" s="105">
        <f>H13-G13</f>
        <v>0.20999999999999996</v>
      </c>
      <c r="J13" s="105" t="str">
        <f>IF(H13&gt;G13,"Beat",IF(H13&lt;G13,"Miss","In line"))</f>
        <v>Beat</v>
      </c>
      <c r="K13" s="178" t="s">
        <v>494</v>
      </c>
      <c r="L13" s="82"/>
    </row>
    <row r="14">
      <c r="A14" s="82"/>
      <c r="B14" s="87" t="s">
        <v>35</v>
      </c>
      <c r="C14" s="98" t="s">
        <v>83</v>
      </c>
      <c r="D14" s="108">
        <v>45868</v>
      </c>
      <c r="E14" s="96">
        <v>2600</v>
      </c>
      <c r="F14" s="96">
        <v>2800</v>
      </c>
      <c r="G14" s="98">
        <f>AVERAGE(E14:F14)</f>
        <v>2700</v>
      </c>
      <c r="H14" s="90">
        <f>'Revenue summary'!C43</f>
        <v>2818</v>
      </c>
      <c r="I14" s="98">
        <f>H14-G14</f>
        <v>118</v>
      </c>
      <c r="J14" s="98" t="str">
        <f>IF(H14&gt;G14,"Beat",IF(H14&lt;G14,"Miss","In line"))</f>
        <v>Beat</v>
      </c>
      <c r="K14" s="178" t="s">
        <v>495</v>
      </c>
      <c r="L14" s="82"/>
    </row>
    <row r="15">
      <c r="A15" s="82"/>
      <c r="B15" s="103" t="s">
        <v>245</v>
      </c>
      <c r="C15" s="92" t="s">
        <v>83</v>
      </c>
      <c r="D15" s="133">
        <v>45868</v>
      </c>
      <c r="E15" s="83">
        <v>0.41</v>
      </c>
      <c r="F15" s="83">
        <v>0.42</v>
      </c>
      <c r="G15" s="92">
        <f>AVERAGE(E15:F15)</f>
        <v>0.415</v>
      </c>
      <c r="H15" s="138">
        <f>'Income Statement'!C72</f>
        <v>0.43896380411639463</v>
      </c>
      <c r="I15" s="92">
        <f>H15-G15</f>
        <v>0.02396380411639465</v>
      </c>
      <c r="J15" s="92" t="str">
        <f>IF(H15&gt;G15,"Beat",IF(H15&lt;G15,"Miss","In line"))</f>
        <v>Beat</v>
      </c>
      <c r="K15" s="178" t="s">
        <v>495</v>
      </c>
      <c r="L15" s="82"/>
    </row>
    <row r="16">
      <c r="A16" s="82"/>
      <c r="B16" s="87" t="s">
        <v>287</v>
      </c>
      <c r="C16" s="98" t="s">
        <v>83</v>
      </c>
      <c r="D16" s="108">
        <v>45868</v>
      </c>
      <c r="E16" s="96">
        <v>370</v>
      </c>
      <c r="F16" s="96">
        <v>380</v>
      </c>
      <c r="G16" s="98">
        <f>AVERAGE(E16:F16)</f>
        <v>375</v>
      </c>
      <c r="H16" s="90">
        <f>'Income Statement'!C80</f>
        <v>381</v>
      </c>
      <c r="I16" s="98">
        <f>H16-G16</f>
        <v>6</v>
      </c>
      <c r="J16" s="98" t="str">
        <f>IF(H16&gt;G16,"Above",IF(H16&lt;G16,"Below","In line"))</f>
        <v>Above</v>
      </c>
      <c r="K16" s="178" t="s">
        <v>495</v>
      </c>
      <c r="L16" s="82"/>
    </row>
    <row r="17">
      <c r="A17" s="82"/>
      <c r="B17" s="87" t="s">
        <v>496</v>
      </c>
      <c r="C17" s="98" t="s">
        <v>83</v>
      </c>
      <c r="D17" s="108">
        <v>45868</v>
      </c>
      <c r="E17" s="96">
        <v>50</v>
      </c>
      <c r="F17" s="96">
        <v>50</v>
      </c>
      <c r="G17" s="98">
        <f>AVERAGE(E17:F17)</f>
        <v>50</v>
      </c>
      <c r="H17" s="90">
        <f>-'Income Statement'!C94</f>
        <v>44</v>
      </c>
      <c r="I17" s="98">
        <f>H17-G17</f>
        <v>-6</v>
      </c>
      <c r="J17" s="98" t="str">
        <f>IF(H17&gt;G17,"Above",IF(H17&lt;G17,"Below","In line"))</f>
        <v>Below</v>
      </c>
      <c r="K17" s="178" t="s">
        <v>497</v>
      </c>
      <c r="L17" s="82"/>
    </row>
    <row r="18">
      <c r="A18" s="82"/>
      <c r="B18" s="103" t="s">
        <v>270</v>
      </c>
      <c r="C18" s="92" t="s">
        <v>83</v>
      </c>
      <c r="D18" s="133">
        <v>45868</v>
      </c>
      <c r="E18" s="83">
        <v>0.16</v>
      </c>
      <c r="F18" s="83">
        <v>0.19</v>
      </c>
      <c r="G18" s="92">
        <f>AVERAGE(E18:F18)</f>
        <v>0.175</v>
      </c>
      <c r="H18" s="138">
        <f>'Income Statement'!C99</f>
        <v>0.17118226600985223</v>
      </c>
      <c r="I18" s="92">
        <f>H18-G18</f>
        <v>-0.003817733990147759</v>
      </c>
      <c r="J18" s="92" t="str">
        <f>IF(H18&gt;G18,"Above",IF(H18&lt;G18,"Below","In line"))</f>
        <v>Below</v>
      </c>
      <c r="K18" s="178" t="s">
        <v>495</v>
      </c>
      <c r="L18" s="82"/>
    </row>
    <row r="19">
      <c r="A19" s="82"/>
      <c r="B19" s="87" t="s">
        <v>493</v>
      </c>
      <c r="C19" s="105" t="s">
        <v>83</v>
      </c>
      <c r="D19" s="108">
        <v>45868</v>
      </c>
      <c r="E19" s="118">
        <v>1.39</v>
      </c>
      <c r="F19" s="118">
        <v>1.69</v>
      </c>
      <c r="G19" s="105">
        <f>AVERAGE(E19:F19)</f>
        <v>1.54</v>
      </c>
      <c r="H19" s="128">
        <f>'Income Statement'!C107</f>
        <v>1.7750677506775068</v>
      </c>
      <c r="I19" s="105">
        <f>H19-G19</f>
        <v>0.23506775067750674</v>
      </c>
      <c r="J19" s="105" t="str">
        <f>IF(H19&gt;G19,"Beat",IF(H19&lt;G19,"Miss","In line"))</f>
        <v>Beat</v>
      </c>
      <c r="K19" s="178" t="s">
        <v>495</v>
      </c>
      <c r="L19" s="82"/>
    </row>
    <row r="20">
      <c r="A20" s="82"/>
      <c r="B20" s="87" t="s">
        <v>498</v>
      </c>
      <c r="C20" s="98" t="s">
        <v>83</v>
      </c>
      <c r="D20" s="108">
        <v>45868</v>
      </c>
      <c r="E20" s="96">
        <v>363</v>
      </c>
      <c r="F20" s="96">
        <v>363</v>
      </c>
      <c r="G20" s="98">
        <f>AVERAGE(E20:F20)</f>
        <v>363</v>
      </c>
      <c r="H20" s="90">
        <f>'Share Count'!C20</f>
        <v>369</v>
      </c>
      <c r="I20" s="98">
        <f>H20-G20</f>
        <v>6</v>
      </c>
      <c r="J20" s="98" t="str">
        <f>IF(H20&gt;G20,"Above",IF(H20&lt;G20,"Below","In line"))</f>
        <v>Above</v>
      </c>
      <c r="K20" s="178" t="s">
        <v>497</v>
      </c>
      <c r="L20" s="82"/>
    </row>
    <row r="21">
      <c r="A21" s="82"/>
      <c r="B21" s="87" t="s">
        <v>35</v>
      </c>
      <c r="C21" s="98" t="s">
        <v>84</v>
      </c>
      <c r="D21" s="108">
        <v>45960</v>
      </c>
      <c r="E21" s="96">
        <v>2800</v>
      </c>
      <c r="F21" s="96">
        <v>3000</v>
      </c>
      <c r="G21" s="98">
        <f>AVERAGE(E21:F21)</f>
        <v>2900</v>
      </c>
      <c r="H21" s="90">
        <f>'Revenue summary'!D43</f>
        <v>3017</v>
      </c>
      <c r="I21" s="98">
        <f>H21-G21</f>
        <v>117</v>
      </c>
      <c r="J21" s="98" t="str">
        <f>IF(H21&gt;G21,"Beat",IF(H21&lt;G21,"Miss","In line"))</f>
        <v>Beat</v>
      </c>
      <c r="K21" s="178" t="s">
        <v>499</v>
      </c>
      <c r="L21" s="82"/>
    </row>
    <row r="22">
      <c r="A22" s="82"/>
      <c r="B22" s="103" t="s">
        <v>245</v>
      </c>
      <c r="C22" s="92" t="s">
        <v>84</v>
      </c>
      <c r="D22" s="133">
        <v>45960</v>
      </c>
      <c r="E22" s="83">
        <v>0.44</v>
      </c>
      <c r="F22" s="83">
        <v>0.45</v>
      </c>
      <c r="G22" s="92">
        <f>AVERAGE(E22:F22)</f>
        <v>0.445</v>
      </c>
      <c r="H22" s="138">
        <f>'Income Statement'!D72</f>
        <v>0.4610540271793172</v>
      </c>
      <c r="I22" s="92">
        <f>H22-G22</f>
        <v>0.0160540271793172</v>
      </c>
      <c r="J22" s="92" t="str">
        <f>IF(H22&gt;G22,"Beat",IF(H22&lt;G22,"Miss","In line"))</f>
        <v>Beat</v>
      </c>
      <c r="K22" s="178" t="s">
        <v>499</v>
      </c>
      <c r="L22" s="82"/>
    </row>
    <row r="23">
      <c r="A23" s="82"/>
      <c r="B23" s="87" t="s">
        <v>287</v>
      </c>
      <c r="C23" s="98" t="s">
        <v>84</v>
      </c>
      <c r="D23" s="108">
        <v>45960</v>
      </c>
      <c r="E23" s="96">
        <v>365</v>
      </c>
      <c r="F23" s="96">
        <v>375</v>
      </c>
      <c r="G23" s="98">
        <f>AVERAGE(E23:F23)</f>
        <v>370</v>
      </c>
      <c r="H23" s="90">
        <f>'Income Statement'!D80</f>
        <v>372</v>
      </c>
      <c r="I23" s="98">
        <f>H23-G23</f>
        <v>2</v>
      </c>
      <c r="J23" s="98" t="str">
        <f>IF(H23&gt;G23,"Above",IF(H23&lt;G23,"Below","In line"))</f>
        <v>Above</v>
      </c>
      <c r="K23" s="178" t="s">
        <v>499</v>
      </c>
      <c r="L23" s="82"/>
    </row>
    <row r="24">
      <c r="A24" s="82"/>
      <c r="B24" s="87" t="s">
        <v>496</v>
      </c>
      <c r="C24" s="98" t="s">
        <v>84</v>
      </c>
      <c r="D24" s="108">
        <v>45960</v>
      </c>
      <c r="E24" s="96">
        <v>50</v>
      </c>
      <c r="F24" s="96">
        <v>50</v>
      </c>
      <c r="G24" s="98">
        <f>AVERAGE(E24:F24)</f>
        <v>50</v>
      </c>
      <c r="H24" s="90">
        <f>-'Income Statement'!D94</f>
        <v>45</v>
      </c>
      <c r="I24" s="98">
        <f>H24-G24</f>
        <v>-5</v>
      </c>
      <c r="J24" s="98" t="str">
        <f>IF(H24&gt;G24,"Above",IF(H24&lt;G24,"Below","In line"))</f>
        <v>Below</v>
      </c>
      <c r="K24" s="178" t="s">
        <v>500</v>
      </c>
      <c r="L24" s="82"/>
    </row>
    <row r="25">
      <c r="A25" s="82"/>
      <c r="B25" s="103" t="s">
        <v>270</v>
      </c>
      <c r="C25" s="92" t="s">
        <v>84</v>
      </c>
      <c r="D25" s="133">
        <v>45960</v>
      </c>
      <c r="E25" s="83">
        <v>0.17</v>
      </c>
      <c r="F25" s="83">
        <v>0.17</v>
      </c>
      <c r="G25" s="92">
        <f>AVERAGE(E25:F25)</f>
        <v>0.17</v>
      </c>
      <c r="H25" s="138">
        <f>'Income Statement'!D99</f>
        <v>0.15092402464065707</v>
      </c>
      <c r="I25" s="92">
        <f>H25-G25</f>
        <v>-0.01907597535934294</v>
      </c>
      <c r="J25" s="92" t="str">
        <f>IF(H25&gt;G25,"Above",IF(H25&lt;G25,"Below","In line"))</f>
        <v>Below</v>
      </c>
      <c r="K25" s="178" t="s">
        <v>500</v>
      </c>
      <c r="L25" s="82"/>
    </row>
    <row r="26">
      <c r="A26" s="82"/>
      <c r="B26" s="87" t="s">
        <v>493</v>
      </c>
      <c r="C26" s="105" t="s">
        <v>84</v>
      </c>
      <c r="D26" s="108">
        <v>45960</v>
      </c>
      <c r="E26" s="118">
        <v>1.73</v>
      </c>
      <c r="F26" s="118">
        <v>2.03</v>
      </c>
      <c r="G26" s="105">
        <f>AVERAGE(E26:F26)</f>
        <v>1.88</v>
      </c>
      <c r="H26" s="128">
        <f>'Income Statement'!D107</f>
        <v>2.134920634920635</v>
      </c>
      <c r="I26" s="105">
        <f>H26-G26</f>
        <v>0.254920634920635</v>
      </c>
      <c r="J26" s="105" t="str">
        <f>IF(H26&gt;G26,"Beat",IF(H26&lt;G26,"Miss","In line"))</f>
        <v>Beat</v>
      </c>
      <c r="K26" s="178" t="s">
        <v>499</v>
      </c>
      <c r="L26" s="82"/>
    </row>
    <row r="27">
      <c r="A27" s="82"/>
      <c r="B27" s="87" t="s">
        <v>498</v>
      </c>
      <c r="C27" s="98" t="s">
        <v>84</v>
      </c>
      <c r="D27" s="108">
        <v>45960</v>
      </c>
      <c r="E27" s="96">
        <v>375</v>
      </c>
      <c r="F27" s="96">
        <v>375</v>
      </c>
      <c r="G27" s="98">
        <f>AVERAGE(E27:F27)</f>
        <v>375</v>
      </c>
      <c r="H27" s="90">
        <f>'Share Count'!D20</f>
        <v>378</v>
      </c>
      <c r="I27" s="98">
        <f>H27-G27</f>
        <v>3</v>
      </c>
      <c r="J27" s="98" t="str">
        <f>IF(H27&gt;G27,"Above",IF(H27&lt;G27,"Below","In line"))</f>
        <v>Above</v>
      </c>
      <c r="K27" s="178" t="s">
        <v>500</v>
      </c>
      <c r="L27" s="82"/>
    </row>
    <row r="28">
      <c r="A28" s="82"/>
      <c r="B28" s="87" t="s">
        <v>35</v>
      </c>
      <c r="C28" s="98" t="s">
        <v>85</v>
      </c>
      <c r="D28" s="108">
        <v>46051</v>
      </c>
      <c r="E28" s="96">
        <v>3100</v>
      </c>
      <c r="F28" s="96">
        <v>3300</v>
      </c>
      <c r="G28" s="98">
        <f>AVERAGE(E28:F28)</f>
        <v>3200</v>
      </c>
      <c r="H28" s="90">
        <f>'Revenue summary'!E43</f>
        <v>3337</v>
      </c>
      <c r="I28" s="98">
        <f>H28-G28</f>
        <v>137</v>
      </c>
      <c r="J28" s="98" t="str">
        <f>IF(H28&gt;G28,"Beat",IF(H28&lt;G28,"Miss","In line"))</f>
        <v>Beat</v>
      </c>
      <c r="K28" s="178" t="s">
        <v>501</v>
      </c>
      <c r="L28" s="82"/>
    </row>
    <row r="29">
      <c r="A29" s="82"/>
      <c r="B29" s="103" t="s">
        <v>245</v>
      </c>
      <c r="C29" s="92" t="s">
        <v>85</v>
      </c>
      <c r="D29" s="133">
        <v>46051</v>
      </c>
      <c r="E29" s="83">
        <v>0.47</v>
      </c>
      <c r="F29" s="83">
        <v>0.48</v>
      </c>
      <c r="G29" s="92">
        <f>AVERAGE(E29:F29)</f>
        <v>0.475</v>
      </c>
      <c r="H29" s="138">
        <f>'Income Statement'!E72</f>
        <v>0.5046448906203177</v>
      </c>
      <c r="I29" s="92">
        <f>H29-G29</f>
        <v>0.02964489062031772</v>
      </c>
      <c r="J29" s="92" t="str">
        <f>IF(H29&gt;G29,"Beat",IF(H29&lt;G29,"Miss","In line"))</f>
        <v>Beat</v>
      </c>
      <c r="K29" s="178" t="s">
        <v>501</v>
      </c>
      <c r="L29" s="82"/>
    </row>
    <row r="30">
      <c r="A30" s="82"/>
      <c r="B30" s="87" t="s">
        <v>287</v>
      </c>
      <c r="C30" s="98" t="s">
        <v>85</v>
      </c>
      <c r="D30" s="108">
        <v>46051</v>
      </c>
      <c r="E30" s="96">
        <v>380</v>
      </c>
      <c r="F30" s="96">
        <v>390</v>
      </c>
      <c r="G30" s="98">
        <f>AVERAGE(E30:F30)</f>
        <v>385</v>
      </c>
      <c r="H30" s="90">
        <f>'Income Statement'!E80</f>
        <v>397</v>
      </c>
      <c r="I30" s="98">
        <f>H30-G30</f>
        <v>12</v>
      </c>
      <c r="J30" s="98" t="str">
        <f>IF(H30&gt;G30,"Above",IF(H30&lt;G30,"Below","In line"))</f>
        <v>Above</v>
      </c>
      <c r="K30" s="178" t="s">
        <v>501</v>
      </c>
      <c r="L30" s="82"/>
    </row>
    <row r="31">
      <c r="A31" s="82"/>
      <c r="B31" s="87" t="s">
        <v>496</v>
      </c>
      <c r="C31" s="98" t="s">
        <v>85</v>
      </c>
      <c r="D31" s="108">
        <v>46051</v>
      </c>
      <c r="E31" s="96">
        <v>50</v>
      </c>
      <c r="F31" s="96">
        <v>50</v>
      </c>
      <c r="G31" s="98">
        <f>AVERAGE(E31:F31)</f>
        <v>50</v>
      </c>
      <c r="H31" s="90">
        <f>-'Income Statement'!E94</f>
        <v>24</v>
      </c>
      <c r="I31" s="98">
        <f>H31-G31</f>
        <v>-26</v>
      </c>
      <c r="J31" s="98" t="str">
        <f>IF(H31&gt;G31,"Above",IF(H31&lt;G31,"Below","In line"))</f>
        <v>Below</v>
      </c>
      <c r="K31" s="178" t="s">
        <v>502</v>
      </c>
      <c r="L31" s="82"/>
    </row>
    <row r="32">
      <c r="A32" s="82"/>
      <c r="B32" s="103" t="s">
        <v>270</v>
      </c>
      <c r="C32" s="92" t="s">
        <v>85</v>
      </c>
      <c r="D32" s="133">
        <v>46051</v>
      </c>
      <c r="E32" s="83">
        <v>0.16</v>
      </c>
      <c r="F32" s="83">
        <v>0.16</v>
      </c>
      <c r="G32" s="92">
        <f>AVERAGE(E32:F32)</f>
        <v>0.16</v>
      </c>
      <c r="H32" s="138">
        <f>'Income Statement'!E99</f>
        <v>0.15993665874901028</v>
      </c>
      <c r="I32" s="92">
        <f>H32-G32</f>
        <v>-0.00006334125098972354</v>
      </c>
      <c r="J32" s="92" t="str">
        <f>IF(H32&gt;G32,"Above",IF(H32&lt;G32,"Below","In line"))</f>
        <v>Below</v>
      </c>
      <c r="K32" s="178" t="s">
        <v>502</v>
      </c>
      <c r="L32" s="82"/>
    </row>
    <row r="33">
      <c r="A33" s="82"/>
      <c r="B33" s="87" t="s">
        <v>493</v>
      </c>
      <c r="C33" s="105" t="s">
        <v>85</v>
      </c>
      <c r="D33" s="108">
        <v>46051</v>
      </c>
      <c r="E33" s="118">
        <v>2.15</v>
      </c>
      <c r="F33" s="118">
        <v>2.45</v>
      </c>
      <c r="G33" s="105">
        <f>AVERAGE(E33:F33)</f>
        <v>2.3</v>
      </c>
      <c r="H33" s="128">
        <f>'Income Statement'!E107</f>
        <v>2.722077922077922</v>
      </c>
      <c r="I33" s="105">
        <f>H33-G33</f>
        <v>0.4220779220779223</v>
      </c>
      <c r="J33" s="105" t="str">
        <f>IF(H33&gt;G33,"Beat",IF(H33&lt;G33,"Miss","In line"))</f>
        <v>Beat</v>
      </c>
      <c r="K33" s="178" t="s">
        <v>501</v>
      </c>
      <c r="L33" s="82"/>
    </row>
    <row r="34">
      <c r="A34" s="82"/>
      <c r="B34" s="87" t="s">
        <v>498</v>
      </c>
      <c r="C34" s="98" t="s">
        <v>85</v>
      </c>
      <c r="D34" s="108">
        <v>46051</v>
      </c>
      <c r="E34" s="96">
        <v>385</v>
      </c>
      <c r="F34" s="96">
        <v>385</v>
      </c>
      <c r="G34" s="98">
        <f>AVERAGE(E34:F34)</f>
        <v>385</v>
      </c>
      <c r="H34" s="90">
        <f>'Share Count'!E20</f>
        <v>385</v>
      </c>
      <c r="I34" s="98">
        <f>H34-G34</f>
        <v>0</v>
      </c>
      <c r="J34" s="98" t="str">
        <f>IF(H34&gt;G34,"Above",IF(H34&lt;G34,"Below","In line"))</f>
        <v>In line</v>
      </c>
      <c r="K34" s="178" t="s">
        <v>502</v>
      </c>
      <c r="L34" s="82"/>
    </row>
    <row r="35">
      <c r="A35" s="82"/>
      <c r="B35" s="87" t="s">
        <v>35</v>
      </c>
      <c r="C35" s="98" t="s">
        <v>86</v>
      </c>
      <c r="D35" s="108">
        <v>46142</v>
      </c>
      <c r="E35" s="96">
        <v>3550</v>
      </c>
      <c r="F35" s="96">
        <v>3750</v>
      </c>
      <c r="G35" s="98">
        <f>AVERAGE(E35:F35)</f>
        <v>3650</v>
      </c>
      <c r="H35" s="90">
        <f>'Revenue summary'!F43</f>
        <v>3747</v>
      </c>
      <c r="I35" s="98">
        <f>H35-G35</f>
        <v>97</v>
      </c>
      <c r="J35" s="98" t="str">
        <f>IF(H35&gt;G35,"Beat",IF(H35&lt;G35,"Miss","In line"))</f>
        <v>Beat</v>
      </c>
      <c r="K35" s="178" t="s">
        <v>503</v>
      </c>
      <c r="L35" s="82"/>
    </row>
    <row r="36">
      <c r="A36" s="82"/>
      <c r="B36" s="103" t="s">
        <v>245</v>
      </c>
      <c r="C36" s="92" t="s">
        <v>86</v>
      </c>
      <c r="D36" s="133">
        <v>46142</v>
      </c>
      <c r="E36" s="83">
        <v>0.51</v>
      </c>
      <c r="F36" s="83">
        <v>0.52</v>
      </c>
      <c r="G36" s="92">
        <f>AVERAGE(E36:F36)</f>
        <v>0.515</v>
      </c>
      <c r="H36" s="138">
        <f>'Income Statement'!F72</f>
        <v>0.5436349079263411</v>
      </c>
      <c r="I36" s="92">
        <f>H36-G36</f>
        <v>0.028634907926341047</v>
      </c>
      <c r="J36" s="92" t="str">
        <f>IF(H36&gt;G36,"Beat",IF(H36&lt;G36,"Miss","In line"))</f>
        <v>Beat</v>
      </c>
      <c r="K36" s="178" t="s">
        <v>503</v>
      </c>
      <c r="L36" s="82"/>
    </row>
    <row r="37">
      <c r="A37" s="82"/>
      <c r="B37" s="87" t="s">
        <v>287</v>
      </c>
      <c r="C37" s="98" t="s">
        <v>86</v>
      </c>
      <c r="D37" s="108">
        <v>46142</v>
      </c>
      <c r="E37" s="96">
        <v>385</v>
      </c>
      <c r="F37" s="96">
        <v>395</v>
      </c>
      <c r="G37" s="98">
        <f>AVERAGE(E37:F37)</f>
        <v>390</v>
      </c>
      <c r="H37" s="90">
        <f>'Income Statement'!F80</f>
        <v>382</v>
      </c>
      <c r="I37" s="98">
        <f>H37-G37</f>
        <v>-8</v>
      </c>
      <c r="J37" s="98" t="str">
        <f>IF(H37&gt;G37,"Above",IF(H37&lt;G37,"Below","In line"))</f>
        <v>Below</v>
      </c>
      <c r="K37" s="178" t="s">
        <v>503</v>
      </c>
      <c r="L37" s="82"/>
    </row>
    <row r="38">
      <c r="A38" s="82"/>
      <c r="B38" s="87" t="s">
        <v>496</v>
      </c>
      <c r="C38" s="98" t="s">
        <v>86</v>
      </c>
      <c r="D38" s="108">
        <v>46142</v>
      </c>
      <c r="E38" s="96">
        <v>10</v>
      </c>
      <c r="F38" s="96">
        <v>10</v>
      </c>
      <c r="G38" s="98">
        <f>AVERAGE(E38:F38)</f>
        <v>10</v>
      </c>
      <c r="H38" s="90">
        <f>-'Income Statement'!F94</f>
        <v>10</v>
      </c>
      <c r="I38" s="98">
        <f>H38-G38</f>
        <v>0</v>
      </c>
      <c r="J38" s="98" t="str">
        <f>IF(H38&gt;G38,"Above",IF(H38&lt;G38,"Below","In line"))</f>
        <v>In line</v>
      </c>
      <c r="K38" s="178" t="s">
        <v>504</v>
      </c>
      <c r="L38" s="82"/>
    </row>
    <row r="39">
      <c r="A39" s="82"/>
      <c r="B39" s="103" t="s">
        <v>270</v>
      </c>
      <c r="C39" s="92" t="s">
        <v>86</v>
      </c>
      <c r="D39" s="133">
        <v>46142</v>
      </c>
      <c r="E39" s="83">
        <v>0.16</v>
      </c>
      <c r="F39" s="83">
        <v>0.16</v>
      </c>
      <c r="G39" s="92">
        <f>AVERAGE(E39:F39)</f>
        <v>0.16</v>
      </c>
      <c r="H39" s="138">
        <f>'Income Statement'!F99</f>
        <v>0.15987841945288753</v>
      </c>
      <c r="I39" s="92">
        <f>H39-G39</f>
        <v>-0.00012158054711247646</v>
      </c>
      <c r="J39" s="92" t="str">
        <f>IF(H39&gt;G39,"Above",IF(H39&lt;G39,"Below","In line"))</f>
        <v>Below</v>
      </c>
      <c r="K39" s="178" t="s">
        <v>504</v>
      </c>
      <c r="L39" s="82"/>
    </row>
    <row r="40">
      <c r="A40" s="82"/>
      <c r="B40" s="87" t="s">
        <v>493</v>
      </c>
      <c r="C40" s="105" t="s">
        <v>86</v>
      </c>
      <c r="D40" s="108">
        <v>46142</v>
      </c>
      <c r="E40" s="118">
        <v>3.1</v>
      </c>
      <c r="F40" s="118">
        <v>3.4</v>
      </c>
      <c r="G40" s="105">
        <f>AVERAGE(E40:F40)</f>
        <v>3.25</v>
      </c>
      <c r="H40" s="128">
        <f>'Income Statement'!F107</f>
        <v>3.5618556701030926</v>
      </c>
      <c r="I40" s="105">
        <f>H40-G40</f>
        <v>0.31185567010309256</v>
      </c>
      <c r="J40" s="105" t="str">
        <f>IF(H40&gt;G40,"Beat",IF(H40&lt;G40,"Miss","In line"))</f>
        <v>Beat</v>
      </c>
      <c r="K40" s="178" t="s">
        <v>503</v>
      </c>
      <c r="L40" s="82"/>
    </row>
    <row r="41">
      <c r="A41" s="82"/>
      <c r="B41" s="87" t="s">
        <v>498</v>
      </c>
      <c r="C41" s="98" t="s">
        <v>86</v>
      </c>
      <c r="D41" s="108">
        <v>46142</v>
      </c>
      <c r="E41" s="96">
        <v>385</v>
      </c>
      <c r="F41" s="96">
        <v>385</v>
      </c>
      <c r="G41" s="98">
        <f>AVERAGE(E41:F41)</f>
        <v>385</v>
      </c>
      <c r="H41" s="90">
        <f>'Share Count'!F20</f>
        <v>388</v>
      </c>
      <c r="I41" s="98">
        <f>H41-G41</f>
        <v>3</v>
      </c>
      <c r="J41" s="98" t="str">
        <f>IF(H41&gt;G41,"Above",IF(H41&lt;G41,"Below","In line"))</f>
        <v>Above</v>
      </c>
      <c r="K41" s="178" t="s">
        <v>504</v>
      </c>
      <c r="L41" s="82"/>
    </row>
    <row r="42">
      <c r="A42" s="82"/>
      <c r="B42" s="87" t="s">
        <v>35</v>
      </c>
      <c r="C42" s="98" t="s">
        <v>88</v>
      </c>
      <c r="D42" s="108">
        <v>46239</v>
      </c>
      <c r="E42" s="90">
        <f>Inputs!C73</f>
        <v>4000</v>
      </c>
      <c r="F42" s="90">
        <f>Inputs!C74</f>
        <v>4200</v>
      </c>
      <c r="G42" s="98">
        <f>AVERAGE(E42:F42)</f>
        <v>4100</v>
      </c>
      <c r="H42" s="98" t="s">
        <v>505</v>
      </c>
      <c r="I42" s="98" t="s">
        <v>42</v>
      </c>
      <c r="J42" s="171" t="s">
        <v>506</v>
      </c>
      <c r="K42" s="178" t="s">
        <v>507</v>
      </c>
      <c r="L42" s="82"/>
    </row>
    <row r="43">
      <c r="A43" s="82"/>
      <c r="B43" s="103" t="s">
        <v>245</v>
      </c>
      <c r="C43" s="92" t="s">
        <v>88</v>
      </c>
      <c r="D43" s="133">
        <v>46239</v>
      </c>
      <c r="E43" s="83">
        <v>0.55</v>
      </c>
      <c r="F43" s="83">
        <v>0.56</v>
      </c>
      <c r="G43" s="92">
        <f>AVERAGE(E43:F43)</f>
        <v>0.555</v>
      </c>
      <c r="H43" s="92" t="s">
        <v>505</v>
      </c>
      <c r="I43" s="92" t="s">
        <v>42</v>
      </c>
      <c r="J43" s="173" t="s">
        <v>506</v>
      </c>
      <c r="K43" s="178" t="s">
        <v>507</v>
      </c>
      <c r="L43" s="82"/>
    </row>
    <row r="44">
      <c r="A44" s="82"/>
      <c r="B44" s="87" t="s">
        <v>287</v>
      </c>
      <c r="C44" s="98" t="s">
        <v>88</v>
      </c>
      <c r="D44" s="108">
        <v>46239</v>
      </c>
      <c r="E44" s="96">
        <v>390</v>
      </c>
      <c r="F44" s="96">
        <v>400</v>
      </c>
      <c r="G44" s="98">
        <f>AVERAGE(E44:F44)</f>
        <v>395</v>
      </c>
      <c r="H44" s="98" t="s">
        <v>505</v>
      </c>
      <c r="I44" s="98" t="s">
        <v>42</v>
      </c>
      <c r="J44" s="171" t="s">
        <v>506</v>
      </c>
      <c r="K44" s="178" t="s">
        <v>507</v>
      </c>
      <c r="L44" s="82"/>
    </row>
    <row r="45">
      <c r="A45" s="82"/>
      <c r="B45" s="87" t="s">
        <v>496</v>
      </c>
      <c r="C45" s="98" t="s">
        <v>88</v>
      </c>
      <c r="D45" s="108">
        <v>46239</v>
      </c>
      <c r="E45" s="96">
        <v>15</v>
      </c>
      <c r="F45" s="96">
        <v>15</v>
      </c>
      <c r="G45" s="98">
        <f>AVERAGE(E45:F45)</f>
        <v>15</v>
      </c>
      <c r="H45" s="98" t="s">
        <v>505</v>
      </c>
      <c r="I45" s="98" t="s">
        <v>42</v>
      </c>
      <c r="J45" s="171" t="s">
        <v>506</v>
      </c>
      <c r="K45" s="178" t="s">
        <v>508</v>
      </c>
      <c r="L45" s="82"/>
    </row>
    <row r="46">
      <c r="A46" s="82"/>
      <c r="B46" s="103" t="s">
        <v>270</v>
      </c>
      <c r="C46" s="92" t="s">
        <v>88</v>
      </c>
      <c r="D46" s="133">
        <v>46239</v>
      </c>
      <c r="E46" s="83">
        <v>0.17</v>
      </c>
      <c r="F46" s="83">
        <v>0.17</v>
      </c>
      <c r="G46" s="92">
        <f>AVERAGE(E46:F46)</f>
        <v>0.17</v>
      </c>
      <c r="H46" s="92" t="s">
        <v>505</v>
      </c>
      <c r="I46" s="92" t="s">
        <v>42</v>
      </c>
      <c r="J46" s="173" t="s">
        <v>506</v>
      </c>
      <c r="K46" s="178" t="s">
        <v>508</v>
      </c>
      <c r="L46" s="82"/>
    </row>
    <row r="47">
      <c r="A47" s="82"/>
      <c r="B47" s="87" t="s">
        <v>493</v>
      </c>
      <c r="C47" s="105" t="s">
        <v>88</v>
      </c>
      <c r="D47" s="108">
        <v>46239</v>
      </c>
      <c r="E47" s="128">
        <f>Inputs!C55</f>
        <v>3.85</v>
      </c>
      <c r="F47" s="128">
        <f>Inputs!C56</f>
        <v>4.15</v>
      </c>
      <c r="G47" s="105">
        <f>AVERAGE(E47:F47)</f>
        <v>4</v>
      </c>
      <c r="H47" s="105" t="s">
        <v>505</v>
      </c>
      <c r="I47" s="105" t="s">
        <v>42</v>
      </c>
      <c r="J47" s="172" t="s">
        <v>506</v>
      </c>
      <c r="K47" s="178" t="s">
        <v>507</v>
      </c>
      <c r="L47" s="82"/>
    </row>
    <row r="48">
      <c r="A48" s="82"/>
      <c r="B48" s="87" t="s">
        <v>498</v>
      </c>
      <c r="C48" s="98" t="s">
        <v>88</v>
      </c>
      <c r="D48" s="108">
        <v>46239</v>
      </c>
      <c r="E48" s="96">
        <v>388</v>
      </c>
      <c r="F48" s="96">
        <v>388</v>
      </c>
      <c r="G48" s="98">
        <f>AVERAGE(E48:F48)</f>
        <v>388</v>
      </c>
      <c r="H48" s="98" t="s">
        <v>505</v>
      </c>
      <c r="I48" s="98" t="s">
        <v>42</v>
      </c>
      <c r="J48" s="171" t="s">
        <v>506</v>
      </c>
      <c r="K48" s="178" t="s">
        <v>508</v>
      </c>
      <c r="L48" s="82"/>
    </row>
    <row r="49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</row>
    <row r="50">
      <c r="A50" s="82"/>
      <c r="B50" s="89" t="s">
        <v>509</v>
      </c>
      <c r="C50" s="82"/>
      <c r="D50" s="82"/>
      <c r="E50" s="82"/>
      <c r="F50" s="82"/>
      <c r="G50" s="82"/>
      <c r="H50" s="82"/>
      <c r="I50" s="82"/>
      <c r="J50" s="82"/>
      <c r="K50" s="82"/>
      <c r="L50" s="82"/>
    </row>
    <row r="51">
      <c r="A51" s="82"/>
      <c r="B51" s="87" t="s">
        <v>510</v>
      </c>
      <c r="C51" s="82"/>
      <c r="D51" s="82"/>
      <c r="E51" s="82"/>
      <c r="F51" s="82"/>
      <c r="G51" s="82"/>
      <c r="H51" s="98">
        <f>AVERAGE(I11,I14,I21,I28,I35)</f>
        <v>124.8</v>
      </c>
      <c r="I51" s="82"/>
      <c r="J51" s="82"/>
      <c r="K51" s="82"/>
      <c r="L51" s="82"/>
    </row>
    <row r="52">
      <c r="A52" s="82"/>
      <c r="B52" s="87" t="s">
        <v>511</v>
      </c>
      <c r="C52" s="82"/>
      <c r="D52" s="82"/>
      <c r="E52" s="82"/>
      <c r="F52" s="82"/>
      <c r="G52" s="82"/>
      <c r="H52" s="105">
        <f>AVERAGE(I13,I19,I26,I33,I40)</f>
        <v>0.2867843955558313</v>
      </c>
      <c r="I52" s="82"/>
      <c r="J52" s="82"/>
      <c r="K52" s="82"/>
      <c r="L52" s="82"/>
    </row>
    <row r="53">
      <c r="A53" s="82"/>
      <c r="B53" s="87" t="s">
        <v>512</v>
      </c>
      <c r="C53" s="82"/>
      <c r="D53" s="82"/>
      <c r="E53" s="82"/>
      <c r="F53" s="82"/>
      <c r="G53" s="82"/>
      <c r="H53" s="151">
        <f>(H19&gt;F19)+(H26&gt;F26)+(H33&gt;F33)+(H40&gt;F40)</f>
        <v>4</v>
      </c>
      <c r="I53" s="82"/>
      <c r="J53" s="82"/>
      <c r="K53" s="82"/>
      <c r="L53" s="82"/>
    </row>
    <row r="54">
      <c r="A54" s="82"/>
      <c r="B54" s="103" t="s">
        <v>513</v>
      </c>
      <c r="C54" s="82"/>
      <c r="D54" s="82"/>
      <c r="E54" s="82"/>
      <c r="F54" s="82"/>
      <c r="G54" s="82"/>
      <c r="H54" s="94">
        <f>AVERAGE(I12,I15,I22,I29,I36)*10000</f>
        <v>213.46666083637268</v>
      </c>
      <c r="I54" s="82"/>
      <c r="J54" s="82"/>
      <c r="K54" s="82"/>
      <c r="L54" s="82"/>
    </row>
    <row r="55">
      <c r="A55" s="82"/>
      <c r="B55" s="87" t="s">
        <v>514</v>
      </c>
      <c r="C55" s="82"/>
      <c r="D55" s="82"/>
      <c r="E55" s="82"/>
      <c r="F55" s="82"/>
      <c r="G55" s="82"/>
      <c r="H55" s="98">
        <f>G42*G43</f>
        <v>2275.5</v>
      </c>
      <c r="I55" s="82"/>
      <c r="J55" s="82"/>
      <c r="K55" s="82"/>
      <c r="L55" s="82"/>
    </row>
    <row r="56">
      <c r="A56" s="82"/>
      <c r="B56" s="87" t="s">
        <v>515</v>
      </c>
      <c r="C56" s="82"/>
      <c r="D56" s="82"/>
      <c r="E56" s="82"/>
      <c r="F56" s="82"/>
      <c r="G56" s="82"/>
      <c r="H56" s="98">
        <f>H55-G44</f>
        <v>1880.5</v>
      </c>
      <c r="I56" s="82"/>
      <c r="J56" s="82"/>
      <c r="K56" s="82"/>
      <c r="L56" s="82"/>
    </row>
    <row r="57">
      <c r="A57" s="82"/>
      <c r="B57" s="87" t="s">
        <v>516</v>
      </c>
      <c r="C57" s="82"/>
      <c r="D57" s="82"/>
      <c r="E57" s="82"/>
      <c r="F57" s="82"/>
      <c r="G57" s="82"/>
      <c r="H57" s="98">
        <f>(H56-G45)*(1-G46)</f>
        <v>1548.365</v>
      </c>
      <c r="I57" s="82"/>
      <c r="J57" s="82"/>
      <c r="K57" s="82"/>
      <c r="L57" s="82"/>
    </row>
    <row r="58">
      <c r="A58" s="82"/>
      <c r="B58" s="89" t="s">
        <v>517</v>
      </c>
      <c r="C58" s="82"/>
      <c r="D58" s="82"/>
      <c r="E58" s="82"/>
      <c r="F58" s="82"/>
      <c r="G58" s="82"/>
      <c r="H58" s="121">
        <f>H57/G48</f>
        <v>3.990631443298969</v>
      </c>
      <c r="I58" s="82"/>
      <c r="J58" s="82"/>
      <c r="K58" s="82"/>
      <c r="L58" s="82"/>
    </row>
    <row r="59">
      <c r="A59" s="82"/>
      <c r="B59" s="87" t="s">
        <v>518</v>
      </c>
      <c r="C59" s="82"/>
      <c r="D59" s="82"/>
      <c r="E59" s="82"/>
      <c r="F59" s="82"/>
      <c r="G59" s="82"/>
      <c r="H59" s="128">
        <f>H58-Inputs!C17</f>
        <v>-0.08936855670103094</v>
      </c>
      <c r="I59" s="82"/>
      <c r="J59" s="82"/>
      <c r="K59" s="82"/>
      <c r="L59" s="82"/>
    </row>
    <row r="60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</row>
    <row r="61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</row>
    <row r="62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L5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</cols>
  <sheetData>
    <row r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>
      <c r="A2" s="82"/>
      <c r="B2" s="109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</row>
    <row r="3">
      <c r="A3" s="82"/>
      <c r="B3" s="89" t="s">
        <v>519</v>
      </c>
      <c r="C3" s="82"/>
      <c r="D3" s="82"/>
      <c r="E3" s="82"/>
      <c r="F3" s="82"/>
      <c r="G3" s="82"/>
      <c r="H3" s="82"/>
      <c r="I3" s="82"/>
      <c r="J3" s="82"/>
      <c r="K3" s="82"/>
      <c r="L3" s="82"/>
    </row>
    <row r="4">
      <c r="A4" s="82"/>
      <c r="B4" s="103" t="s">
        <v>2</v>
      </c>
      <c r="C4" s="82"/>
      <c r="D4" s="82"/>
      <c r="E4" s="82"/>
      <c r="F4" s="82"/>
      <c r="G4" s="82"/>
      <c r="H4" s="82"/>
      <c r="I4" s="82"/>
      <c r="J4" s="82"/>
      <c r="K4" s="82"/>
      <c r="L4" s="82"/>
    </row>
    <row r="5">
      <c r="A5" s="82"/>
      <c r="B5" s="116" t="s">
        <v>3</v>
      </c>
      <c r="C5" s="88"/>
      <c r="D5" s="88"/>
      <c r="E5" s="88"/>
      <c r="F5" s="88"/>
      <c r="G5" s="88"/>
      <c r="H5" s="166"/>
      <c r="I5" s="82"/>
      <c r="J5" s="82"/>
      <c r="K5" s="82"/>
      <c r="L5" s="82"/>
    </row>
    <row r="6">
      <c r="A6" s="82"/>
      <c r="B6" s="113"/>
      <c r="C6" s="106"/>
      <c r="D6" s="106"/>
      <c r="E6" s="106"/>
      <c r="F6" s="106"/>
      <c r="G6" s="106"/>
      <c r="H6" s="168"/>
      <c r="I6" s="82"/>
      <c r="J6" s="82"/>
      <c r="K6" s="82"/>
      <c r="L6" s="82"/>
    </row>
    <row r="7">
      <c r="A7" s="82"/>
      <c r="B7" s="122"/>
      <c r="C7" s="93"/>
      <c r="D7" s="93"/>
      <c r="E7" s="93"/>
      <c r="F7" s="93"/>
      <c r="G7" s="93"/>
      <c r="H7" s="165"/>
      <c r="I7" s="82"/>
      <c r="J7" s="82"/>
      <c r="K7" s="82"/>
      <c r="L7" s="82"/>
    </row>
    <row r="8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</row>
    <row r="9">
      <c r="A9" s="82"/>
      <c r="B9" s="89" t="s">
        <v>520</v>
      </c>
      <c r="C9" s="82"/>
      <c r="D9" s="82"/>
      <c r="E9" s="82"/>
      <c r="F9" s="82"/>
      <c r="G9" s="82"/>
      <c r="H9" s="82"/>
      <c r="I9" s="82"/>
      <c r="J9" s="82"/>
      <c r="K9" s="82"/>
      <c r="L9" s="82"/>
    </row>
    <row r="10" ht="12.75">
      <c r="A10" s="82"/>
      <c r="B10" s="89" t="s">
        <v>521</v>
      </c>
      <c r="C10" s="115" t="s">
        <v>522</v>
      </c>
      <c r="D10" s="115" t="s">
        <v>523</v>
      </c>
      <c r="E10" s="84" t="s">
        <v>524</v>
      </c>
      <c r="F10" s="82"/>
      <c r="G10" s="82"/>
      <c r="H10" s="82"/>
      <c r="I10" s="82"/>
      <c r="J10" s="82"/>
      <c r="K10" s="82"/>
      <c r="L10" s="82"/>
    </row>
    <row r="11" ht="12.75">
      <c r="A11" s="82"/>
      <c r="B11" s="87" t="s">
        <v>525</v>
      </c>
      <c r="C11" s="108">
        <v>46239</v>
      </c>
      <c r="D11" s="108">
        <v>46315</v>
      </c>
      <c r="E11" s="110" t="s">
        <v>526</v>
      </c>
      <c r="F11" s="82"/>
      <c r="G11" s="82"/>
      <c r="H11" s="82"/>
      <c r="I11" s="82"/>
      <c r="J11" s="82"/>
      <c r="K11" s="82"/>
      <c r="L11" s="82"/>
    </row>
    <row r="12" ht="12.75">
      <c r="A12" s="82"/>
      <c r="B12" s="87" t="s">
        <v>527</v>
      </c>
      <c r="C12" s="108">
        <v>46239</v>
      </c>
      <c r="D12" s="108">
        <v>46315</v>
      </c>
      <c r="E12" s="110" t="s">
        <v>528</v>
      </c>
      <c r="F12" s="82"/>
      <c r="G12" s="82"/>
      <c r="H12" s="82"/>
      <c r="I12" s="82"/>
      <c r="J12" s="82"/>
      <c r="K12" s="82"/>
      <c r="L12" s="82"/>
    </row>
    <row r="13" ht="12.75">
      <c r="A13" s="82"/>
      <c r="B13" s="87" t="s">
        <v>529</v>
      </c>
      <c r="C13" s="108">
        <v>45960</v>
      </c>
      <c r="D13" s="108">
        <v>46315</v>
      </c>
      <c r="E13" s="110" t="s">
        <v>530</v>
      </c>
      <c r="F13" s="82"/>
      <c r="G13" s="82"/>
      <c r="H13" s="82"/>
      <c r="I13" s="82"/>
      <c r="J13" s="82"/>
      <c r="K13" s="82"/>
      <c r="L13" s="82"/>
    </row>
    <row r="14" ht="12.75">
      <c r="A14" s="82"/>
      <c r="B14" s="87" t="s">
        <v>531</v>
      </c>
      <c r="C14" s="108">
        <v>46051</v>
      </c>
      <c r="D14" s="108">
        <v>46315</v>
      </c>
      <c r="E14" s="110" t="s">
        <v>532</v>
      </c>
      <c r="F14" s="82"/>
      <c r="G14" s="82"/>
      <c r="H14" s="82"/>
      <c r="I14" s="82"/>
      <c r="J14" s="82"/>
      <c r="K14" s="82"/>
      <c r="L14" s="82"/>
    </row>
    <row r="15" ht="12.75">
      <c r="A15" s="82"/>
      <c r="B15" s="87" t="s">
        <v>533</v>
      </c>
      <c r="C15" s="108">
        <v>46142</v>
      </c>
      <c r="D15" s="108">
        <v>46315</v>
      </c>
      <c r="E15" s="110" t="s">
        <v>534</v>
      </c>
      <c r="F15" s="82"/>
      <c r="G15" s="82"/>
      <c r="H15" s="82"/>
      <c r="I15" s="82"/>
      <c r="J15" s="82"/>
      <c r="K15" s="82"/>
      <c r="L15" s="82"/>
    </row>
    <row r="16" ht="12.75">
      <c r="A16" s="82"/>
      <c r="B16" s="87" t="s">
        <v>535</v>
      </c>
      <c r="C16" s="108">
        <v>46143</v>
      </c>
      <c r="D16" s="108">
        <v>46315</v>
      </c>
      <c r="E16" s="110" t="s">
        <v>536</v>
      </c>
      <c r="F16" s="82"/>
      <c r="G16" s="82"/>
      <c r="H16" s="82"/>
      <c r="I16" s="82"/>
      <c r="J16" s="82"/>
      <c r="K16" s="82"/>
      <c r="L16" s="82"/>
    </row>
    <row r="17" ht="12.75">
      <c r="A17" s="82"/>
      <c r="B17" s="87" t="s">
        <v>537</v>
      </c>
      <c r="C17" s="108">
        <v>46248</v>
      </c>
      <c r="D17" s="108">
        <v>46315</v>
      </c>
      <c r="E17" s="110" t="s">
        <v>538</v>
      </c>
      <c r="F17" s="82"/>
      <c r="G17" s="82"/>
      <c r="H17" s="82"/>
      <c r="I17" s="82"/>
      <c r="J17" s="82"/>
      <c r="K17" s="82"/>
      <c r="L17" s="82"/>
    </row>
    <row r="18" ht="12.75">
      <c r="A18" s="82"/>
      <c r="B18" s="87" t="s">
        <v>539</v>
      </c>
      <c r="C18" s="108">
        <v>45960</v>
      </c>
      <c r="D18" s="108">
        <v>46315</v>
      </c>
      <c r="E18" s="110" t="s">
        <v>540</v>
      </c>
      <c r="F18" s="82"/>
      <c r="G18" s="82"/>
      <c r="H18" s="82"/>
      <c r="I18" s="82"/>
      <c r="J18" s="82"/>
      <c r="K18" s="82"/>
      <c r="L18" s="82"/>
    </row>
    <row r="19" ht="12.75">
      <c r="A19" s="82"/>
      <c r="B19" s="87" t="s">
        <v>541</v>
      </c>
      <c r="C19" s="108">
        <v>46051</v>
      </c>
      <c r="D19" s="108">
        <v>46315</v>
      </c>
      <c r="E19" s="110" t="s">
        <v>542</v>
      </c>
      <c r="F19" s="82"/>
      <c r="G19" s="82"/>
      <c r="H19" s="82"/>
      <c r="I19" s="82"/>
      <c r="J19" s="82"/>
      <c r="K19" s="82"/>
      <c r="L19" s="82"/>
    </row>
    <row r="20" ht="12.75">
      <c r="A20" s="82"/>
      <c r="B20" s="87" t="s">
        <v>543</v>
      </c>
      <c r="C20" s="108">
        <v>46142</v>
      </c>
      <c r="D20" s="108">
        <v>46315</v>
      </c>
      <c r="E20" s="110" t="s">
        <v>544</v>
      </c>
      <c r="F20" s="82"/>
      <c r="G20" s="82"/>
      <c r="H20" s="82"/>
      <c r="I20" s="82"/>
      <c r="J20" s="82"/>
      <c r="K20" s="82"/>
      <c r="L20" s="82"/>
    </row>
    <row r="21" ht="12.75">
      <c r="A21" s="82"/>
      <c r="B21" s="87" t="s">
        <v>545</v>
      </c>
      <c r="C21" s="108">
        <v>46239</v>
      </c>
      <c r="D21" s="108">
        <v>46315</v>
      </c>
      <c r="E21" s="110" t="s">
        <v>546</v>
      </c>
      <c r="F21" s="82"/>
      <c r="G21" s="82"/>
      <c r="H21" s="82"/>
      <c r="I21" s="82"/>
      <c r="J21" s="82"/>
      <c r="K21" s="82"/>
      <c r="L21" s="82"/>
    </row>
    <row r="22" ht="12.75">
      <c r="A22" s="82"/>
      <c r="B22" s="87" t="s">
        <v>547</v>
      </c>
      <c r="C22" s="108">
        <v>46274</v>
      </c>
      <c r="D22" s="108">
        <v>46315</v>
      </c>
      <c r="E22" s="110" t="s">
        <v>548</v>
      </c>
      <c r="F22" s="82"/>
      <c r="G22" s="82"/>
      <c r="H22" s="82"/>
      <c r="I22" s="82"/>
      <c r="J22" s="82"/>
      <c r="K22" s="82"/>
      <c r="L22" s="82"/>
    </row>
    <row r="23" ht="12.75">
      <c r="A23" s="82"/>
      <c r="B23" s="87" t="s">
        <v>549</v>
      </c>
      <c r="C23" s="108">
        <v>45961</v>
      </c>
      <c r="D23" s="108">
        <v>46315</v>
      </c>
      <c r="E23" s="110" t="s">
        <v>550</v>
      </c>
      <c r="F23" s="82"/>
      <c r="G23" s="82"/>
      <c r="H23" s="82"/>
      <c r="I23" s="82"/>
      <c r="J23" s="82"/>
      <c r="K23" s="82"/>
      <c r="L23" s="82"/>
    </row>
    <row r="24" ht="12.75">
      <c r="A24" s="82"/>
      <c r="B24" s="87" t="s">
        <v>551</v>
      </c>
      <c r="C24" s="108">
        <v>46052</v>
      </c>
      <c r="D24" s="108">
        <v>46315</v>
      </c>
      <c r="E24" s="110" t="s">
        <v>552</v>
      </c>
      <c r="F24" s="82"/>
      <c r="G24" s="82"/>
      <c r="H24" s="82"/>
      <c r="I24" s="82"/>
      <c r="J24" s="82"/>
      <c r="K24" s="82"/>
      <c r="L24" s="82"/>
    </row>
    <row r="25" ht="12.75">
      <c r="A25" s="82"/>
      <c r="B25" s="87" t="s">
        <v>553</v>
      </c>
      <c r="C25" s="108">
        <v>46143</v>
      </c>
      <c r="D25" s="108">
        <v>46315</v>
      </c>
      <c r="E25" s="110" t="s">
        <v>554</v>
      </c>
      <c r="F25" s="82"/>
      <c r="G25" s="82"/>
      <c r="H25" s="82"/>
      <c r="I25" s="82"/>
      <c r="J25" s="82"/>
      <c r="K25" s="82"/>
      <c r="L25" s="82"/>
    </row>
    <row r="26" ht="12.75">
      <c r="A26" s="82"/>
      <c r="B26" s="87" t="s">
        <v>555</v>
      </c>
      <c r="C26" s="108">
        <v>46260</v>
      </c>
      <c r="D26" s="108">
        <v>46315</v>
      </c>
      <c r="E26" s="110" t="s">
        <v>556</v>
      </c>
      <c r="F26" s="82"/>
      <c r="G26" s="82"/>
      <c r="H26" s="82"/>
      <c r="I26" s="82"/>
      <c r="J26" s="82"/>
      <c r="K26" s="82"/>
      <c r="L26" s="82"/>
    </row>
    <row r="27" ht="12.75">
      <c r="A27" s="82"/>
      <c r="B27" s="87" t="s">
        <v>557</v>
      </c>
      <c r="C27" s="108">
        <v>46279</v>
      </c>
      <c r="D27" s="108">
        <v>46315</v>
      </c>
      <c r="E27" s="110" t="s">
        <v>558</v>
      </c>
      <c r="F27" s="82"/>
      <c r="G27" s="82"/>
      <c r="H27" s="82"/>
      <c r="I27" s="82"/>
      <c r="J27" s="82"/>
      <c r="K27" s="82"/>
      <c r="L27" s="82"/>
    </row>
    <row r="28" ht="12.75">
      <c r="A28" s="82"/>
      <c r="B28" s="87" t="s">
        <v>559</v>
      </c>
      <c r="C28" s="108">
        <v>46303</v>
      </c>
      <c r="D28" s="108">
        <v>46315</v>
      </c>
      <c r="E28" s="110" t="s">
        <v>560</v>
      </c>
      <c r="F28" s="82"/>
      <c r="G28" s="82"/>
      <c r="H28" s="82"/>
      <c r="I28" s="82"/>
      <c r="J28" s="82"/>
      <c r="K28" s="82"/>
      <c r="L28" s="82"/>
    </row>
    <row r="29" ht="12.75">
      <c r="A29" s="82"/>
      <c r="B29" s="87" t="s">
        <v>561</v>
      </c>
      <c r="C29" s="108">
        <v>46313</v>
      </c>
      <c r="D29" s="104" t="s">
        <v>562</v>
      </c>
      <c r="E29" s="110" t="s">
        <v>563</v>
      </c>
      <c r="F29" s="82"/>
      <c r="G29" s="82"/>
      <c r="H29" s="82"/>
      <c r="I29" s="82"/>
      <c r="J29" s="82"/>
      <c r="K29" s="82"/>
      <c r="L29" s="82"/>
    </row>
    <row r="30" ht="12.75">
      <c r="A30" s="82"/>
      <c r="B30" s="87" t="s">
        <v>564</v>
      </c>
      <c r="C30" s="108">
        <v>46300</v>
      </c>
      <c r="D30" s="108">
        <v>46315</v>
      </c>
      <c r="E30" s="110" t="s">
        <v>565</v>
      </c>
      <c r="F30" s="82"/>
      <c r="G30" s="82"/>
      <c r="H30" s="82"/>
      <c r="I30" s="82"/>
      <c r="J30" s="82"/>
      <c r="K30" s="82"/>
      <c r="L30" s="82"/>
    </row>
    <row r="31" ht="12.75">
      <c r="A31" s="82"/>
      <c r="B31" s="87" t="s">
        <v>566</v>
      </c>
      <c r="C31" s="108">
        <v>46300</v>
      </c>
      <c r="D31" s="108">
        <v>46315</v>
      </c>
      <c r="E31" s="110" t="s">
        <v>567</v>
      </c>
      <c r="F31" s="82"/>
      <c r="G31" s="82"/>
      <c r="H31" s="82"/>
      <c r="I31" s="82"/>
      <c r="J31" s="82"/>
      <c r="K31" s="82"/>
      <c r="L31" s="82"/>
    </row>
    <row r="32" ht="12.75">
      <c r="A32" s="82"/>
      <c r="B32" s="87" t="s">
        <v>568</v>
      </c>
      <c r="C32" s="108">
        <v>46297</v>
      </c>
      <c r="D32" s="108">
        <v>46315</v>
      </c>
      <c r="E32" s="110" t="s">
        <v>569</v>
      </c>
      <c r="F32" s="82"/>
      <c r="G32" s="82"/>
      <c r="H32" s="82"/>
      <c r="I32" s="82"/>
      <c r="J32" s="82"/>
      <c r="K32" s="82"/>
      <c r="L32" s="82"/>
    </row>
    <row r="33" ht="12.75">
      <c r="A33" s="82"/>
      <c r="B33" s="87" t="s">
        <v>570</v>
      </c>
      <c r="C33" s="108">
        <v>46303</v>
      </c>
      <c r="D33" s="108">
        <v>46315</v>
      </c>
      <c r="E33" s="110" t="s">
        <v>571</v>
      </c>
      <c r="F33" s="82"/>
      <c r="G33" s="82"/>
      <c r="H33" s="82"/>
      <c r="I33" s="82"/>
      <c r="J33" s="82"/>
      <c r="K33" s="82"/>
      <c r="L33" s="82"/>
    </row>
    <row r="34" ht="12.75">
      <c r="A34" s="82"/>
      <c r="B34" s="87" t="s">
        <v>572</v>
      </c>
      <c r="C34" s="108">
        <v>45868</v>
      </c>
      <c r="D34" s="108">
        <v>46315</v>
      </c>
      <c r="E34" s="110" t="s">
        <v>573</v>
      </c>
      <c r="F34" s="82"/>
      <c r="G34" s="82"/>
      <c r="H34" s="82"/>
      <c r="I34" s="82"/>
      <c r="J34" s="82"/>
      <c r="K34" s="82"/>
      <c r="L34" s="82"/>
    </row>
    <row r="35" ht="12.75">
      <c r="A35" s="82"/>
      <c r="B35" s="87" t="s">
        <v>574</v>
      </c>
      <c r="C35" s="108">
        <v>45777</v>
      </c>
      <c r="D35" s="108">
        <v>46315</v>
      </c>
      <c r="E35" s="110" t="s">
        <v>575</v>
      </c>
      <c r="F35" s="82"/>
      <c r="G35" s="82"/>
      <c r="H35" s="82"/>
      <c r="I35" s="82"/>
      <c r="J35" s="82"/>
      <c r="K35" s="82"/>
      <c r="L35" s="82"/>
    </row>
    <row r="36" ht="12.75">
      <c r="A36" s="82"/>
      <c r="B36" s="87" t="s">
        <v>576</v>
      </c>
      <c r="C36" s="108">
        <v>46307</v>
      </c>
      <c r="D36" s="108">
        <v>46315</v>
      </c>
      <c r="E36" s="110" t="s">
        <v>577</v>
      </c>
      <c r="F36" s="82"/>
      <c r="G36" s="82"/>
      <c r="H36" s="82"/>
      <c r="I36" s="82"/>
      <c r="J36" s="82"/>
      <c r="K36" s="82"/>
      <c r="L36" s="82"/>
    </row>
    <row r="37" ht="12.75">
      <c r="A37" s="82"/>
      <c r="B37" s="87" t="s">
        <v>578</v>
      </c>
      <c r="C37" s="108">
        <v>46308</v>
      </c>
      <c r="D37" s="108">
        <v>46315</v>
      </c>
      <c r="E37" s="110" t="s">
        <v>579</v>
      </c>
      <c r="F37" s="82"/>
      <c r="G37" s="82"/>
      <c r="H37" s="82"/>
      <c r="I37" s="82"/>
      <c r="J37" s="82"/>
      <c r="K37" s="82"/>
      <c r="L37" s="82"/>
    </row>
    <row r="38" ht="12.75">
      <c r="A38" s="82"/>
      <c r="B38" s="87" t="s">
        <v>580</v>
      </c>
      <c r="C38" s="108">
        <v>46309</v>
      </c>
      <c r="D38" s="108">
        <v>46315</v>
      </c>
      <c r="E38" s="110" t="s">
        <v>581</v>
      </c>
      <c r="F38" s="82"/>
      <c r="G38" s="82"/>
      <c r="H38" s="82"/>
      <c r="I38" s="82"/>
      <c r="J38" s="82"/>
      <c r="K38" s="82"/>
      <c r="L38" s="82"/>
    </row>
    <row r="39" ht="12.75">
      <c r="A39" s="82"/>
      <c r="B39" s="87" t="s">
        <v>582</v>
      </c>
      <c r="C39" s="108">
        <v>46231</v>
      </c>
      <c r="D39" s="108">
        <v>46315</v>
      </c>
      <c r="E39" s="110" t="s">
        <v>583</v>
      </c>
      <c r="F39" s="82"/>
      <c r="G39" s="82"/>
      <c r="H39" s="82"/>
      <c r="I39" s="82"/>
      <c r="J39" s="82"/>
      <c r="K39" s="82"/>
      <c r="L39" s="82"/>
    </row>
    <row r="40" ht="12.75">
      <c r="A40" s="82"/>
      <c r="B40" s="87" t="s">
        <v>584</v>
      </c>
      <c r="C40" s="108">
        <v>46310</v>
      </c>
      <c r="D40" s="108">
        <v>46315</v>
      </c>
      <c r="E40" s="110" t="s">
        <v>585</v>
      </c>
      <c r="F40" s="82"/>
      <c r="G40" s="82"/>
      <c r="H40" s="82"/>
      <c r="I40" s="82"/>
      <c r="J40" s="82"/>
      <c r="K40" s="82"/>
      <c r="L40" s="82"/>
    </row>
    <row r="41" ht="12.75">
      <c r="A41" s="82"/>
      <c r="B41" s="87" t="s">
        <v>586</v>
      </c>
      <c r="C41" s="108">
        <v>46056</v>
      </c>
      <c r="D41" s="108">
        <v>46315</v>
      </c>
      <c r="E41" s="110" t="s">
        <v>587</v>
      </c>
      <c r="F41" s="82"/>
      <c r="G41" s="82"/>
      <c r="H41" s="82"/>
      <c r="I41" s="82"/>
      <c r="J41" s="82"/>
      <c r="K41" s="82"/>
      <c r="L41" s="82"/>
    </row>
    <row r="42" ht="12.75">
      <c r="A42" s="82"/>
      <c r="B42" s="87" t="s">
        <v>588</v>
      </c>
      <c r="C42" s="108">
        <v>46234</v>
      </c>
      <c r="D42" s="108">
        <v>46315</v>
      </c>
      <c r="E42" s="110" t="s">
        <v>589</v>
      </c>
      <c r="F42" s="82"/>
      <c r="G42" s="82"/>
      <c r="H42" s="82"/>
      <c r="I42" s="82"/>
      <c r="J42" s="82"/>
      <c r="K42" s="82"/>
      <c r="L42" s="82"/>
    </row>
    <row r="43" ht="12.7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</row>
    <row r="44" ht="12.75">
      <c r="A44" s="82"/>
      <c r="B44" s="87" t="s">
        <v>590</v>
      </c>
      <c r="C44" s="82"/>
      <c r="D44" s="82"/>
      <c r="E44" s="82"/>
      <c r="F44" s="82"/>
      <c r="G44" s="82"/>
      <c r="H44" s="82"/>
      <c r="I44" s="82"/>
      <c r="J44" s="82"/>
      <c r="K44" s="82"/>
      <c r="L44" s="82"/>
    </row>
    <row r="45" ht="12.75">
      <c r="A45" s="82"/>
      <c r="B45" s="87" t="s">
        <v>591</v>
      </c>
      <c r="C45" s="82"/>
      <c r="D45" s="82"/>
      <c r="E45" s="82"/>
      <c r="F45" s="82"/>
      <c r="G45" s="82"/>
      <c r="H45" s="82"/>
      <c r="I45" s="82"/>
      <c r="J45" s="82"/>
      <c r="K45" s="82"/>
      <c r="L45" s="82"/>
    </row>
    <row r="46" ht="12.75">
      <c r="A46" s="82"/>
      <c r="B46" s="87" t="s">
        <v>592</v>
      </c>
      <c r="C46" s="82"/>
      <c r="D46" s="82"/>
      <c r="E46" s="82"/>
      <c r="F46" s="82"/>
      <c r="G46" s="82"/>
      <c r="H46" s="82"/>
      <c r="I46" s="82"/>
      <c r="J46" s="82"/>
      <c r="K46" s="82"/>
      <c r="L46" s="82"/>
    </row>
    <row r="47" ht="12.75">
      <c r="A47" s="82"/>
      <c r="B47" s="87" t="s">
        <v>593</v>
      </c>
      <c r="C47" s="82"/>
      <c r="D47" s="82"/>
      <c r="E47" s="82"/>
      <c r="F47" s="82"/>
      <c r="G47" s="82"/>
      <c r="H47" s="82"/>
      <c r="I47" s="82"/>
      <c r="J47" s="82"/>
      <c r="K47" s="82"/>
      <c r="L47" s="82"/>
    </row>
    <row r="48" ht="12.75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</row>
    <row r="49" ht="12.7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</row>
    <row r="50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L11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2" customWidth="1"/>
    <col min="10" max="10" width="14" customWidth="1"/>
    <col min="11" max="11" width="12" customWidth="1"/>
    <col min="12" max="12" width="40" customWidth="1"/>
  </cols>
  <sheetData>
    <row r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>
      <c r="A2" s="82"/>
      <c r="B2" s="109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</row>
    <row r="3">
      <c r="A3" s="82"/>
      <c r="B3" s="89" t="s">
        <v>594</v>
      </c>
      <c r="C3" s="82"/>
      <c r="D3" s="82"/>
      <c r="E3" s="82"/>
      <c r="F3" s="82"/>
      <c r="G3" s="82"/>
      <c r="H3" s="82"/>
      <c r="I3" s="82"/>
      <c r="J3" s="82"/>
      <c r="K3" s="82"/>
      <c r="L3" s="82"/>
    </row>
    <row r="4">
      <c r="A4" s="82"/>
      <c r="B4" s="103" t="s">
        <v>2</v>
      </c>
      <c r="C4" s="82"/>
      <c r="D4" s="82"/>
      <c r="E4" s="82"/>
      <c r="F4" s="82"/>
      <c r="G4" s="82"/>
      <c r="H4" s="82"/>
      <c r="I4" s="82"/>
      <c r="J4" s="82"/>
      <c r="K4" s="82"/>
      <c r="L4" s="82"/>
    </row>
    <row r="5">
      <c r="A5" s="82"/>
      <c r="B5" s="116" t="s">
        <v>3</v>
      </c>
      <c r="C5" s="88"/>
      <c r="D5" s="88"/>
      <c r="E5" s="88"/>
      <c r="F5" s="88"/>
      <c r="G5" s="88"/>
      <c r="H5" s="166"/>
      <c r="I5" s="140"/>
      <c r="J5" s="140"/>
      <c r="K5" s="140"/>
      <c r="L5" s="116" t="s">
        <v>4</v>
      </c>
    </row>
    <row r="6">
      <c r="A6" s="82"/>
      <c r="B6" s="113"/>
      <c r="C6" s="106"/>
      <c r="D6" s="106"/>
      <c r="E6" s="106"/>
      <c r="F6" s="106"/>
      <c r="G6" s="106"/>
      <c r="H6" s="168"/>
      <c r="I6" s="86"/>
      <c r="J6" s="86"/>
      <c r="K6" s="86"/>
      <c r="L6" s="86"/>
    </row>
    <row r="7">
      <c r="A7" s="82"/>
      <c r="B7" s="122"/>
      <c r="C7" s="93"/>
      <c r="D7" s="93"/>
      <c r="E7" s="93"/>
      <c r="F7" s="93"/>
      <c r="G7" s="93"/>
      <c r="H7" s="165"/>
      <c r="I7" s="143"/>
      <c r="J7" s="143"/>
      <c r="K7" s="143"/>
      <c r="L7" s="143"/>
    </row>
    <row r="8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</row>
    <row r="9">
      <c r="A9" s="82"/>
      <c r="B9" s="89" t="s">
        <v>595</v>
      </c>
      <c r="C9" s="82"/>
      <c r="D9" s="82"/>
      <c r="E9" s="82"/>
      <c r="F9" s="82"/>
      <c r="G9" s="82"/>
      <c r="H9" s="82"/>
      <c r="I9" s="82"/>
      <c r="J9" s="82"/>
      <c r="K9" s="82"/>
      <c r="L9" s="82"/>
    </row>
    <row r="10">
      <c r="A10" s="82"/>
      <c r="B10" s="87" t="s">
        <v>596</v>
      </c>
      <c r="C10" s="110" t="s">
        <v>597</v>
      </c>
      <c r="D10" s="82"/>
      <c r="E10" s="82"/>
      <c r="F10" s="82"/>
      <c r="G10" s="82"/>
      <c r="H10" s="82"/>
      <c r="I10" s="82"/>
      <c r="J10" s="82"/>
      <c r="K10" s="82"/>
      <c r="L10" s="82"/>
    </row>
    <row r="11">
      <c r="A11" s="82"/>
      <c r="B11" s="87" t="s">
        <v>598</v>
      </c>
      <c r="C11" s="170" t="s">
        <v>11</v>
      </c>
      <c r="D11" s="82"/>
      <c r="E11" s="82"/>
      <c r="F11" s="82"/>
      <c r="G11" s="82"/>
      <c r="H11" s="82"/>
      <c r="I11" s="82"/>
      <c r="J11" s="82"/>
      <c r="K11" s="82"/>
      <c r="L11" s="82"/>
    </row>
    <row r="12">
      <c r="A12" s="82"/>
      <c r="B12" s="87" t="s">
        <v>599</v>
      </c>
      <c r="C12" s="110" t="s">
        <v>600</v>
      </c>
      <c r="D12" s="82"/>
      <c r="E12" s="82"/>
      <c r="F12" s="82"/>
      <c r="G12" s="82"/>
      <c r="H12" s="82"/>
      <c r="I12" s="82"/>
      <c r="J12" s="82"/>
      <c r="K12" s="82"/>
      <c r="L12" s="82"/>
    </row>
    <row r="13">
      <c r="A13" s="82"/>
      <c r="B13" s="87" t="s">
        <v>601</v>
      </c>
      <c r="C13" s="110" t="s">
        <v>602</v>
      </c>
      <c r="D13" s="82"/>
      <c r="E13" s="82"/>
      <c r="F13" s="82"/>
      <c r="G13" s="82"/>
      <c r="H13" s="82"/>
      <c r="I13" s="82"/>
      <c r="J13" s="82"/>
      <c r="K13" s="82"/>
      <c r="L13" s="82"/>
    </row>
    <row r="14">
      <c r="A14" s="82"/>
      <c r="B14" s="87" t="s">
        <v>603</v>
      </c>
      <c r="C14" s="108">
        <v>46295</v>
      </c>
      <c r="D14" s="82"/>
      <c r="E14" s="82"/>
      <c r="F14" s="82"/>
      <c r="G14" s="82"/>
      <c r="H14" s="82"/>
      <c r="I14" s="82"/>
      <c r="J14" s="82"/>
      <c r="K14" s="82"/>
      <c r="L14" s="82"/>
    </row>
    <row r="15">
      <c r="A15" s="82"/>
      <c r="B15" s="87" t="s">
        <v>604</v>
      </c>
      <c r="C15" s="108">
        <v>46313</v>
      </c>
      <c r="D15" s="82"/>
      <c r="E15" s="82"/>
      <c r="F15" s="82"/>
      <c r="G15" s="82"/>
      <c r="H15" s="82"/>
      <c r="I15" s="82"/>
      <c r="J15" s="82"/>
      <c r="K15" s="82"/>
      <c r="L15" s="82"/>
    </row>
    <row r="16">
      <c r="A16" s="82"/>
      <c r="B16" s="87" t="s">
        <v>605</v>
      </c>
      <c r="C16" s="95">
        <v>20</v>
      </c>
      <c r="D16" s="82"/>
      <c r="E16" s="82"/>
      <c r="F16" s="82"/>
      <c r="G16" s="82"/>
      <c r="H16" s="82"/>
      <c r="I16" s="82"/>
      <c r="J16" s="82"/>
      <c r="K16" s="82"/>
      <c r="L16" s="82"/>
    </row>
    <row r="17">
      <c r="A17" s="82"/>
      <c r="B17" s="87" t="s">
        <v>606</v>
      </c>
      <c r="C17" s="118">
        <v>4.08</v>
      </c>
      <c r="D17" s="82"/>
      <c r="E17" s="82"/>
      <c r="F17" s="82"/>
      <c r="G17" s="82"/>
      <c r="H17" s="82"/>
      <c r="I17" s="82"/>
      <c r="J17" s="82"/>
      <c r="K17" s="82"/>
      <c r="L17" s="82"/>
    </row>
    <row r="18">
      <c r="A18" s="82"/>
      <c r="B18" s="87" t="s">
        <v>607</v>
      </c>
      <c r="C18" s="110" t="s">
        <v>608</v>
      </c>
      <c r="D18" s="82"/>
      <c r="E18" s="82"/>
      <c r="F18" s="82"/>
      <c r="G18" s="82"/>
      <c r="H18" s="82"/>
      <c r="I18" s="82"/>
      <c r="J18" s="82"/>
      <c r="K18" s="82"/>
      <c r="L18" s="82"/>
    </row>
    <row r="19">
      <c r="A19" s="82"/>
      <c r="B19" s="87" t="s">
        <v>609</v>
      </c>
      <c r="C19" s="96">
        <v>4138.23</v>
      </c>
      <c r="D19" s="82"/>
      <c r="E19" s="82"/>
      <c r="F19" s="82"/>
      <c r="G19" s="82"/>
      <c r="H19" s="82"/>
      <c r="I19" s="82"/>
      <c r="J19" s="82"/>
      <c r="K19" s="82"/>
      <c r="L19" s="82"/>
    </row>
    <row r="20">
      <c r="A20" s="82"/>
      <c r="B20" s="87" t="s">
        <v>610</v>
      </c>
      <c r="C20" s="170" t="s">
        <v>611</v>
      </c>
      <c r="D20" s="82"/>
      <c r="E20" s="82"/>
      <c r="F20" s="82"/>
      <c r="G20" s="82"/>
      <c r="H20" s="82"/>
      <c r="I20" s="82"/>
      <c r="J20" s="82"/>
      <c r="K20" s="82"/>
      <c r="L20" s="82"/>
    </row>
    <row r="21">
      <c r="A21" s="82"/>
      <c r="B21" s="87" t="s">
        <v>612</v>
      </c>
      <c r="C21" s="110" t="s">
        <v>613</v>
      </c>
      <c r="D21" s="82"/>
      <c r="E21" s="82"/>
      <c r="F21" s="82"/>
      <c r="G21" s="82"/>
      <c r="H21" s="82"/>
      <c r="I21" s="82"/>
      <c r="J21" s="82"/>
      <c r="K21" s="82"/>
      <c r="L21" s="82"/>
    </row>
    <row r="22">
      <c r="A22" s="82"/>
      <c r="B22" s="87" t="s">
        <v>614</v>
      </c>
      <c r="C22" s="110" t="s">
        <v>615</v>
      </c>
      <c r="D22" s="82"/>
      <c r="E22" s="82"/>
      <c r="F22" s="82"/>
      <c r="G22" s="82"/>
      <c r="H22" s="82"/>
      <c r="I22" s="82"/>
      <c r="J22" s="82"/>
      <c r="K22" s="82"/>
      <c r="L22" s="82"/>
    </row>
    <row r="23">
      <c r="A23" s="82"/>
      <c r="B23" s="87" t="s">
        <v>616</v>
      </c>
      <c r="C23" s="170" t="s">
        <v>611</v>
      </c>
      <c r="D23" s="82"/>
      <c r="E23" s="82"/>
      <c r="F23" s="82"/>
      <c r="G23" s="82"/>
      <c r="H23" s="82"/>
      <c r="I23" s="82"/>
      <c r="J23" s="82"/>
      <c r="K23" s="82"/>
      <c r="L23" s="82"/>
    </row>
    <row r="24">
      <c r="A24" s="82"/>
      <c r="B24" s="87" t="s">
        <v>617</v>
      </c>
      <c r="C24" s="170" t="s">
        <v>611</v>
      </c>
      <c r="D24" s="82"/>
      <c r="E24" s="82"/>
      <c r="F24" s="82"/>
      <c r="G24" s="82"/>
      <c r="H24" s="82"/>
      <c r="I24" s="82"/>
      <c r="J24" s="82"/>
      <c r="K24" s="82"/>
      <c r="L24" s="82"/>
    </row>
    <row r="25">
      <c r="A25" s="82"/>
      <c r="B25" s="87" t="s">
        <v>618</v>
      </c>
      <c r="C25" s="110" t="s">
        <v>619</v>
      </c>
      <c r="D25" s="82"/>
      <c r="E25" s="82"/>
      <c r="F25" s="82"/>
      <c r="G25" s="82"/>
      <c r="H25" s="82"/>
      <c r="I25" s="82"/>
      <c r="J25" s="82"/>
      <c r="K25" s="82"/>
      <c r="L25" s="82"/>
    </row>
    <row r="26">
      <c r="A26" s="82"/>
      <c r="B26" s="87" t="s">
        <v>620</v>
      </c>
      <c r="C26" s="170" t="s">
        <v>611</v>
      </c>
      <c r="D26" s="82"/>
      <c r="E26" s="82"/>
      <c r="F26" s="82"/>
      <c r="G26" s="82"/>
      <c r="H26" s="82"/>
      <c r="I26" s="82"/>
      <c r="J26" s="82"/>
      <c r="K26" s="82"/>
      <c r="L26" s="82"/>
    </row>
    <row r="27">
      <c r="A27" s="82"/>
      <c r="B27" s="87" t="s">
        <v>621</v>
      </c>
      <c r="C27" s="170" t="s">
        <v>622</v>
      </c>
      <c r="D27" s="82"/>
      <c r="E27" s="82"/>
      <c r="F27" s="82"/>
      <c r="G27" s="82"/>
      <c r="H27" s="82"/>
      <c r="I27" s="82"/>
      <c r="J27" s="82"/>
      <c r="K27" s="82"/>
      <c r="L27" s="82"/>
    </row>
    <row r="28">
      <c r="A28" s="82"/>
      <c r="B28" s="87" t="s">
        <v>623</v>
      </c>
      <c r="C28" s="110" t="s">
        <v>624</v>
      </c>
      <c r="D28" s="82"/>
      <c r="E28" s="82"/>
      <c r="F28" s="82"/>
      <c r="G28" s="82"/>
      <c r="H28" s="82"/>
      <c r="I28" s="82"/>
      <c r="J28" s="82"/>
      <c r="K28" s="82"/>
      <c r="L28" s="82"/>
    </row>
    <row r="29">
      <c r="A29" s="82"/>
      <c r="B29" s="87" t="s">
        <v>625</v>
      </c>
      <c r="C29" s="110" t="s">
        <v>626</v>
      </c>
      <c r="D29" s="82"/>
      <c r="E29" s="82"/>
      <c r="F29" s="82"/>
      <c r="G29" s="82"/>
      <c r="H29" s="82"/>
      <c r="I29" s="82"/>
      <c r="J29" s="82"/>
      <c r="K29" s="82"/>
      <c r="L29" s="82"/>
    </row>
    <row r="30">
      <c r="A30" s="82"/>
      <c r="B30" s="87" t="s">
        <v>627</v>
      </c>
      <c r="C30" s="110" t="s">
        <v>628</v>
      </c>
      <c r="D30" s="82"/>
      <c r="E30" s="82"/>
      <c r="F30" s="82"/>
      <c r="G30" s="82"/>
      <c r="H30" s="82"/>
      <c r="I30" s="82"/>
      <c r="J30" s="82"/>
      <c r="K30" s="82"/>
      <c r="L30" s="82"/>
    </row>
    <row r="31">
      <c r="A31" s="82"/>
      <c r="B31" s="87" t="s">
        <v>629</v>
      </c>
      <c r="C31" s="110" t="s">
        <v>602</v>
      </c>
      <c r="D31" s="82"/>
      <c r="E31" s="82"/>
      <c r="F31" s="82"/>
      <c r="G31" s="82"/>
      <c r="H31" s="82"/>
      <c r="I31" s="82"/>
      <c r="J31" s="82"/>
      <c r="K31" s="82"/>
      <c r="L31" s="82"/>
    </row>
    <row r="32">
      <c r="A32" s="82"/>
      <c r="B32" s="87" t="s">
        <v>630</v>
      </c>
      <c r="C32" s="170" t="s">
        <v>11</v>
      </c>
      <c r="D32" s="82"/>
      <c r="E32" s="82"/>
      <c r="F32" s="82"/>
      <c r="G32" s="82"/>
      <c r="H32" s="82"/>
      <c r="I32" s="82"/>
      <c r="J32" s="82"/>
      <c r="K32" s="82"/>
      <c r="L32" s="82"/>
    </row>
    <row r="33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</row>
    <row r="34">
      <c r="A34" s="82"/>
      <c r="B34" s="89" t="s">
        <v>631</v>
      </c>
      <c r="C34" s="82"/>
      <c r="D34" s="82"/>
      <c r="E34" s="82"/>
      <c r="F34" s="82"/>
      <c r="G34" s="82"/>
      <c r="H34" s="82"/>
      <c r="I34" s="82"/>
      <c r="J34" s="82"/>
      <c r="K34" s="82"/>
      <c r="L34" s="82"/>
    </row>
    <row r="35">
      <c r="A35" s="82"/>
      <c r="B35" s="87" t="s">
        <v>598</v>
      </c>
      <c r="C35" s="170" t="s">
        <v>11</v>
      </c>
      <c r="D35" s="82"/>
      <c r="E35" s="82"/>
      <c r="F35" s="82"/>
      <c r="G35" s="82"/>
      <c r="H35" s="82"/>
      <c r="I35" s="82"/>
      <c r="J35" s="82"/>
      <c r="K35" s="82"/>
      <c r="L35" s="82"/>
    </row>
    <row r="36">
      <c r="A36" s="82"/>
      <c r="B36" s="87" t="s">
        <v>632</v>
      </c>
      <c r="C36" s="110" t="s">
        <v>600</v>
      </c>
      <c r="D36" s="82"/>
      <c r="E36" s="82"/>
      <c r="F36" s="82"/>
      <c r="G36" s="82"/>
      <c r="H36" s="82"/>
      <c r="I36" s="82"/>
      <c r="J36" s="82"/>
      <c r="K36" s="82"/>
      <c r="L36" s="82"/>
    </row>
    <row r="37">
      <c r="A37" s="82"/>
      <c r="B37" s="87" t="s">
        <v>633</v>
      </c>
      <c r="C37" s="170" t="s">
        <v>634</v>
      </c>
      <c r="D37" s="82"/>
      <c r="E37" s="82"/>
      <c r="F37" s="82"/>
      <c r="G37" s="82"/>
      <c r="H37" s="82"/>
      <c r="I37" s="82"/>
      <c r="J37" s="82"/>
      <c r="K37" s="82"/>
      <c r="L37" s="82"/>
    </row>
    <row r="38">
      <c r="A38" s="82"/>
      <c r="B38" s="87" t="s">
        <v>635</v>
      </c>
      <c r="C38" s="95">
        <v>314057</v>
      </c>
      <c r="D38" s="82"/>
      <c r="E38" s="82"/>
      <c r="F38" s="82"/>
      <c r="G38" s="82"/>
      <c r="H38" s="82"/>
      <c r="I38" s="82"/>
      <c r="J38" s="82"/>
      <c r="K38" s="82"/>
      <c r="L38" s="82"/>
    </row>
    <row r="39">
      <c r="A39" s="82"/>
      <c r="B39" s="87" t="s">
        <v>636</v>
      </c>
      <c r="C39" s="170" t="s">
        <v>611</v>
      </c>
      <c r="D39" s="82"/>
      <c r="E39" s="82"/>
      <c r="F39" s="82"/>
      <c r="G39" s="82"/>
      <c r="H39" s="82"/>
      <c r="I39" s="82"/>
      <c r="J39" s="82"/>
      <c r="K39" s="82"/>
      <c r="L39" s="82"/>
    </row>
    <row r="40">
      <c r="A40" s="82"/>
      <c r="B40" s="87" t="s">
        <v>637</v>
      </c>
      <c r="C40" s="170" t="s">
        <v>638</v>
      </c>
      <c r="D40" s="82"/>
      <c r="E40" s="82"/>
      <c r="F40" s="82"/>
      <c r="G40" s="82"/>
      <c r="H40" s="82"/>
      <c r="I40" s="82"/>
      <c r="J40" s="82"/>
      <c r="K40" s="82"/>
      <c r="L40" s="82"/>
    </row>
    <row r="41">
      <c r="A41" s="82"/>
      <c r="B41" s="87" t="s">
        <v>639</v>
      </c>
      <c r="C41" s="110" t="s">
        <v>602</v>
      </c>
      <c r="D41" s="82"/>
      <c r="E41" s="82"/>
      <c r="F41" s="82"/>
      <c r="G41" s="82"/>
      <c r="H41" s="82"/>
      <c r="I41" s="82"/>
      <c r="J41" s="82"/>
      <c r="K41" s="82"/>
      <c r="L41" s="82"/>
    </row>
    <row r="42">
      <c r="A42" s="82"/>
      <c r="B42" s="87" t="s">
        <v>640</v>
      </c>
      <c r="C42" s="108">
        <v>46295</v>
      </c>
      <c r="D42" s="82"/>
      <c r="E42" s="82"/>
      <c r="F42" s="82"/>
      <c r="G42" s="82"/>
      <c r="H42" s="82"/>
      <c r="I42" s="82"/>
      <c r="J42" s="82"/>
      <c r="K42" s="82"/>
      <c r="L42" s="82"/>
    </row>
    <row r="43">
      <c r="A43" s="82"/>
      <c r="B43" s="87" t="s">
        <v>641</v>
      </c>
      <c r="C43" s="108">
        <v>46324</v>
      </c>
      <c r="D43" s="82"/>
      <c r="E43" s="82"/>
      <c r="F43" s="82"/>
      <c r="G43" s="82"/>
      <c r="H43" s="82"/>
      <c r="I43" s="82"/>
      <c r="J43" s="82"/>
      <c r="K43" s="82"/>
      <c r="L43" s="82"/>
    </row>
    <row r="44">
      <c r="A44" s="82"/>
      <c r="B44" s="87" t="s">
        <v>607</v>
      </c>
      <c r="C44" s="110" t="s">
        <v>642</v>
      </c>
      <c r="D44" s="82"/>
      <c r="E44" s="82"/>
      <c r="F44" s="82"/>
      <c r="G44" s="82"/>
      <c r="H44" s="82"/>
      <c r="I44" s="82"/>
      <c r="J44" s="82"/>
      <c r="K44" s="82"/>
      <c r="L44" s="82"/>
    </row>
    <row r="45">
      <c r="A45" s="82"/>
      <c r="B45" s="87" t="s">
        <v>643</v>
      </c>
      <c r="C45" s="95">
        <v>20</v>
      </c>
      <c r="D45" s="82"/>
      <c r="E45" s="82"/>
      <c r="F45" s="82"/>
      <c r="G45" s="82"/>
      <c r="H45" s="82"/>
      <c r="I45" s="82"/>
      <c r="J45" s="82"/>
      <c r="K45" s="82"/>
      <c r="L45" s="82"/>
    </row>
    <row r="46">
      <c r="A46" s="82"/>
      <c r="B46" s="87" t="s">
        <v>644</v>
      </c>
      <c r="C46" s="95">
        <v>20</v>
      </c>
      <c r="D46" s="82"/>
      <c r="E46" s="82"/>
      <c r="F46" s="82"/>
      <c r="G46" s="82"/>
      <c r="H46" s="82"/>
      <c r="I46" s="82"/>
      <c r="J46" s="82"/>
      <c r="K46" s="82"/>
      <c r="L46" s="82"/>
    </row>
    <row r="47">
      <c r="A47" s="82"/>
      <c r="B47" s="87" t="s">
        <v>645</v>
      </c>
      <c r="C47" s="82"/>
      <c r="D47" s="82"/>
      <c r="E47" s="82"/>
      <c r="F47" s="82"/>
      <c r="G47" s="82"/>
      <c r="H47" s="82"/>
      <c r="I47" s="82"/>
      <c r="J47" s="82"/>
      <c r="K47" s="82"/>
      <c r="L47" s="82"/>
    </row>
    <row r="48">
      <c r="A48" s="82"/>
      <c r="B48" s="87" t="s">
        <v>646</v>
      </c>
      <c r="C48" s="118">
        <v>4.08</v>
      </c>
      <c r="D48" s="82"/>
      <c r="E48" s="82"/>
      <c r="F48" s="82"/>
      <c r="G48" s="82"/>
      <c r="H48" s="82"/>
      <c r="I48" s="82"/>
      <c r="J48" s="82"/>
      <c r="K48" s="82"/>
      <c r="L48" s="82"/>
    </row>
    <row r="49">
      <c r="A49" s="82"/>
      <c r="B49" s="87" t="s">
        <v>647</v>
      </c>
      <c r="C49" s="118">
        <v>4.02</v>
      </c>
      <c r="D49" s="82"/>
      <c r="E49" s="82"/>
      <c r="F49" s="82"/>
      <c r="G49" s="82"/>
      <c r="H49" s="82"/>
      <c r="I49" s="82"/>
      <c r="J49" s="82"/>
      <c r="K49" s="82"/>
      <c r="L49" s="82"/>
    </row>
    <row r="50">
      <c r="A50" s="82"/>
      <c r="B50" s="87" t="s">
        <v>648</v>
      </c>
      <c r="C50" s="118">
        <v>4.4</v>
      </c>
      <c r="D50" s="82"/>
      <c r="E50" s="82"/>
      <c r="F50" s="82"/>
      <c r="G50" s="82"/>
      <c r="H50" s="82"/>
      <c r="I50" s="82"/>
      <c r="J50" s="82"/>
      <c r="K50" s="82"/>
      <c r="L50" s="82"/>
    </row>
    <row r="51">
      <c r="A51" s="82"/>
      <c r="B51" s="87" t="s">
        <v>649</v>
      </c>
      <c r="C51" s="118">
        <v>4</v>
      </c>
      <c r="D51" s="82"/>
      <c r="E51" s="82"/>
      <c r="F51" s="82"/>
      <c r="G51" s="82"/>
      <c r="H51" s="82"/>
      <c r="I51" s="82"/>
      <c r="J51" s="82"/>
      <c r="K51" s="82"/>
      <c r="L51" s="82"/>
    </row>
    <row r="52">
      <c r="A52" s="82"/>
      <c r="B52" s="87" t="s">
        <v>650</v>
      </c>
      <c r="C52" s="118">
        <v>0.11</v>
      </c>
      <c r="D52" s="82"/>
      <c r="E52" s="82"/>
      <c r="F52" s="82"/>
      <c r="G52" s="82"/>
      <c r="H52" s="82"/>
      <c r="I52" s="82"/>
      <c r="J52" s="82"/>
      <c r="K52" s="82"/>
      <c r="L52" s="82"/>
    </row>
    <row r="53">
      <c r="A53" s="82"/>
      <c r="B53" s="87" t="s">
        <v>651</v>
      </c>
      <c r="C53" s="95">
        <v>20</v>
      </c>
      <c r="D53" s="82"/>
      <c r="E53" s="82"/>
      <c r="F53" s="82"/>
      <c r="G53" s="82"/>
      <c r="H53" s="82"/>
      <c r="I53" s="82"/>
      <c r="J53" s="82"/>
      <c r="K53" s="82"/>
      <c r="L53" s="82"/>
    </row>
    <row r="54">
      <c r="A54" s="82"/>
      <c r="B54" s="87" t="s">
        <v>652</v>
      </c>
      <c r="C54" s="82"/>
      <c r="D54" s="82"/>
      <c r="E54" s="82"/>
      <c r="F54" s="82"/>
      <c r="G54" s="82"/>
      <c r="H54" s="82"/>
      <c r="I54" s="82"/>
      <c r="J54" s="82"/>
      <c r="K54" s="82"/>
      <c r="L54" s="82"/>
    </row>
    <row r="55">
      <c r="A55" s="82"/>
      <c r="B55" s="87" t="s">
        <v>653</v>
      </c>
      <c r="C55" s="118">
        <v>3.85</v>
      </c>
      <c r="D55" s="82"/>
      <c r="E55" s="82"/>
      <c r="F55" s="82"/>
      <c r="G55" s="82"/>
      <c r="H55" s="82"/>
      <c r="I55" s="82"/>
      <c r="J55" s="82"/>
      <c r="K55" s="82"/>
      <c r="L55" s="82"/>
    </row>
    <row r="56">
      <c r="A56" s="82"/>
      <c r="B56" s="87" t="s">
        <v>654</v>
      </c>
      <c r="C56" s="118">
        <v>4.15</v>
      </c>
      <c r="D56" s="82"/>
      <c r="E56" s="82"/>
      <c r="F56" s="82"/>
      <c r="G56" s="82"/>
      <c r="H56" s="82"/>
      <c r="I56" s="82"/>
      <c r="J56" s="82"/>
      <c r="K56" s="82"/>
      <c r="L56" s="82"/>
    </row>
    <row r="57">
      <c r="A57" s="82"/>
      <c r="B57" s="87" t="s">
        <v>655</v>
      </c>
      <c r="C57" s="118">
        <v>3.78</v>
      </c>
      <c r="D57" s="82"/>
      <c r="E57" s="82"/>
      <c r="F57" s="82"/>
      <c r="G57" s="82"/>
      <c r="H57" s="82"/>
      <c r="I57" s="82"/>
      <c r="J57" s="82"/>
      <c r="K57" s="82"/>
      <c r="L57" s="82"/>
    </row>
    <row r="58">
      <c r="A58" s="82"/>
      <c r="B58" s="87" t="s">
        <v>656</v>
      </c>
      <c r="C58" s="118">
        <v>3.83</v>
      </c>
      <c r="D58" s="82"/>
      <c r="E58" s="82"/>
      <c r="F58" s="82"/>
      <c r="G58" s="82"/>
      <c r="H58" s="82"/>
      <c r="I58" s="82"/>
      <c r="J58" s="82"/>
      <c r="K58" s="82"/>
      <c r="L58" s="82"/>
    </row>
    <row r="59">
      <c r="A59" s="82"/>
      <c r="B59" s="87" t="s">
        <v>657</v>
      </c>
      <c r="C59" s="118">
        <v>3.85</v>
      </c>
      <c r="D59" s="82"/>
      <c r="E59" s="82"/>
      <c r="F59" s="82"/>
      <c r="G59" s="82"/>
      <c r="H59" s="82"/>
      <c r="I59" s="82"/>
      <c r="J59" s="82"/>
      <c r="K59" s="82"/>
      <c r="L59" s="82"/>
    </row>
    <row r="60">
      <c r="A60" s="82"/>
      <c r="B60" s="87" t="s">
        <v>658</v>
      </c>
      <c r="C60" s="118">
        <v>3.66</v>
      </c>
      <c r="D60" s="82"/>
      <c r="E60" s="82"/>
      <c r="F60" s="82"/>
      <c r="G60" s="82"/>
      <c r="H60" s="82"/>
      <c r="I60" s="82"/>
      <c r="J60" s="82"/>
      <c r="K60" s="82"/>
      <c r="L60" s="82"/>
    </row>
    <row r="61">
      <c r="A61" s="82"/>
      <c r="B61" s="87" t="s">
        <v>659</v>
      </c>
      <c r="C61" s="118">
        <v>0.07</v>
      </c>
      <c r="D61" s="82"/>
      <c r="E61" s="82"/>
      <c r="F61" s="82"/>
      <c r="G61" s="82"/>
      <c r="H61" s="82"/>
      <c r="I61" s="82"/>
      <c r="J61" s="82"/>
      <c r="K61" s="82"/>
      <c r="L61" s="82"/>
    </row>
    <row r="62">
      <c r="A62" s="82"/>
      <c r="B62" s="87" t="s">
        <v>660</v>
      </c>
      <c r="C62" s="95">
        <v>5</v>
      </c>
      <c r="D62" s="82"/>
      <c r="E62" s="82"/>
      <c r="F62" s="82"/>
      <c r="G62" s="82"/>
      <c r="H62" s="82"/>
      <c r="I62" s="82"/>
      <c r="J62" s="82"/>
      <c r="K62" s="82"/>
      <c r="L62" s="82"/>
    </row>
    <row r="63">
      <c r="A63" s="82"/>
      <c r="B63" s="87" t="s">
        <v>661</v>
      </c>
      <c r="C63" s="82"/>
      <c r="D63" s="82"/>
      <c r="E63" s="82"/>
      <c r="F63" s="82"/>
      <c r="G63" s="82"/>
      <c r="H63" s="82"/>
      <c r="I63" s="82"/>
      <c r="J63" s="82"/>
      <c r="K63" s="82"/>
      <c r="L63" s="82"/>
    </row>
    <row r="64">
      <c r="A64" s="82"/>
      <c r="B64" s="87" t="s">
        <v>662</v>
      </c>
      <c r="C64" s="82"/>
      <c r="D64" s="82"/>
      <c r="E64" s="82"/>
      <c r="F64" s="82"/>
      <c r="G64" s="82"/>
      <c r="H64" s="82"/>
      <c r="I64" s="82"/>
      <c r="J64" s="82"/>
      <c r="K64" s="82"/>
      <c r="L64" s="82"/>
    </row>
    <row r="65">
      <c r="A65" s="82"/>
      <c r="B65" s="87" t="s">
        <v>663</v>
      </c>
      <c r="C65" s="82"/>
      <c r="D65" s="82"/>
      <c r="E65" s="82"/>
      <c r="F65" s="82"/>
      <c r="G65" s="82"/>
      <c r="H65" s="82"/>
      <c r="I65" s="82"/>
      <c r="J65" s="82"/>
      <c r="K65" s="82"/>
      <c r="L65" s="82"/>
    </row>
    <row r="66">
      <c r="A66" s="82"/>
      <c r="B66" s="87" t="s">
        <v>664</v>
      </c>
      <c r="C66" s="96">
        <v>4138.23</v>
      </c>
      <c r="D66" s="82"/>
      <c r="E66" s="82"/>
      <c r="F66" s="82"/>
      <c r="G66" s="82"/>
      <c r="H66" s="82"/>
      <c r="I66" s="82"/>
      <c r="J66" s="82"/>
      <c r="K66" s="82"/>
      <c r="L66" s="82"/>
    </row>
    <row r="67">
      <c r="A67" s="82"/>
      <c r="B67" s="87" t="s">
        <v>665</v>
      </c>
      <c r="C67" s="96">
        <v>4117</v>
      </c>
      <c r="D67" s="82"/>
      <c r="E67" s="82"/>
      <c r="F67" s="82"/>
      <c r="G67" s="82"/>
      <c r="H67" s="82"/>
      <c r="I67" s="82"/>
      <c r="J67" s="82"/>
      <c r="K67" s="82"/>
      <c r="L67" s="82"/>
    </row>
    <row r="68">
      <c r="A68" s="82"/>
      <c r="B68" s="87" t="s">
        <v>666</v>
      </c>
      <c r="C68" s="96">
        <v>4269.89</v>
      </c>
      <c r="D68" s="82"/>
      <c r="E68" s="82"/>
      <c r="F68" s="82"/>
      <c r="G68" s="82"/>
      <c r="H68" s="82"/>
      <c r="I68" s="82"/>
      <c r="J68" s="82"/>
      <c r="K68" s="82"/>
      <c r="L68" s="82"/>
    </row>
    <row r="69">
      <c r="A69" s="82"/>
      <c r="B69" s="87" t="s">
        <v>667</v>
      </c>
      <c r="C69" s="96">
        <v>4100</v>
      </c>
      <c r="D69" s="82"/>
      <c r="E69" s="82"/>
      <c r="F69" s="82"/>
      <c r="G69" s="82"/>
      <c r="H69" s="82"/>
      <c r="I69" s="82"/>
      <c r="J69" s="82"/>
      <c r="K69" s="82"/>
      <c r="L69" s="82"/>
    </row>
    <row r="70">
      <c r="A70" s="82"/>
      <c r="B70" s="87" t="s">
        <v>668</v>
      </c>
      <c r="C70" s="96">
        <v>46.48</v>
      </c>
      <c r="D70" s="82"/>
      <c r="E70" s="82"/>
      <c r="F70" s="82"/>
      <c r="G70" s="82"/>
      <c r="H70" s="82"/>
      <c r="I70" s="82"/>
      <c r="J70" s="82"/>
      <c r="K70" s="82"/>
      <c r="L70" s="82"/>
    </row>
    <row r="71">
      <c r="A71" s="82"/>
      <c r="B71" s="87" t="s">
        <v>669</v>
      </c>
      <c r="C71" s="95">
        <v>19</v>
      </c>
      <c r="D71" s="82"/>
      <c r="E71" s="82"/>
      <c r="F71" s="82"/>
      <c r="G71" s="82"/>
      <c r="H71" s="82"/>
      <c r="I71" s="82"/>
      <c r="J71" s="82"/>
      <c r="K71" s="82"/>
      <c r="L71" s="82"/>
    </row>
    <row r="72">
      <c r="A72" s="82"/>
      <c r="B72" s="87" t="s">
        <v>670</v>
      </c>
      <c r="C72" s="82"/>
      <c r="D72" s="82"/>
      <c r="E72" s="82"/>
      <c r="F72" s="82"/>
      <c r="G72" s="82"/>
      <c r="H72" s="82"/>
      <c r="I72" s="82"/>
      <c r="J72" s="82"/>
      <c r="K72" s="82"/>
      <c r="L72" s="82"/>
    </row>
    <row r="73">
      <c r="A73" s="82"/>
      <c r="B73" s="87" t="s">
        <v>671</v>
      </c>
      <c r="C73" s="96">
        <v>4000</v>
      </c>
      <c r="D73" s="82"/>
      <c r="E73" s="82"/>
      <c r="F73" s="82"/>
      <c r="G73" s="82"/>
      <c r="H73" s="82"/>
      <c r="I73" s="82"/>
      <c r="J73" s="82"/>
      <c r="K73" s="82"/>
      <c r="L73" s="82"/>
    </row>
    <row r="74">
      <c r="A74" s="82"/>
      <c r="B74" s="87" t="s">
        <v>672</v>
      </c>
      <c r="C74" s="96">
        <v>4200</v>
      </c>
      <c r="D74" s="82"/>
      <c r="E74" s="82"/>
      <c r="F74" s="82"/>
      <c r="G74" s="82"/>
      <c r="H74" s="82"/>
      <c r="I74" s="82"/>
      <c r="J74" s="82"/>
      <c r="K74" s="82"/>
      <c r="L74" s="82"/>
    </row>
    <row r="75">
      <c r="A75" s="82"/>
      <c r="B75" s="87" t="s">
        <v>673</v>
      </c>
      <c r="C75" s="96">
        <v>2099.12</v>
      </c>
      <c r="D75" s="82"/>
      <c r="E75" s="82"/>
      <c r="F75" s="82"/>
      <c r="G75" s="82"/>
      <c r="H75" s="82"/>
      <c r="I75" s="82"/>
      <c r="J75" s="82"/>
      <c r="K75" s="82"/>
      <c r="L75" s="169" t="s">
        <v>674</v>
      </c>
    </row>
    <row r="76">
      <c r="A76" s="82"/>
      <c r="B76" s="87" t="s">
        <v>675</v>
      </c>
      <c r="C76" s="96">
        <v>1909.47</v>
      </c>
      <c r="D76" s="82"/>
      <c r="E76" s="82"/>
      <c r="F76" s="82"/>
      <c r="G76" s="82"/>
      <c r="H76" s="82"/>
      <c r="I76" s="82"/>
      <c r="J76" s="82"/>
      <c r="K76" s="82"/>
      <c r="L76" s="82"/>
    </row>
    <row r="77">
      <c r="A77" s="82"/>
      <c r="B77" s="87" t="s">
        <v>676</v>
      </c>
      <c r="C77" s="96">
        <v>1899.62</v>
      </c>
      <c r="D77" s="82"/>
      <c r="E77" s="82"/>
      <c r="F77" s="82"/>
      <c r="G77" s="82"/>
      <c r="H77" s="82"/>
      <c r="I77" s="82"/>
      <c r="J77" s="82"/>
      <c r="K77" s="82"/>
      <c r="L77" s="82"/>
    </row>
    <row r="78">
      <c r="A78" s="82"/>
      <c r="B78" s="87" t="s">
        <v>677</v>
      </c>
      <c r="C78" s="96">
        <v>1879.23</v>
      </c>
      <c r="D78" s="82"/>
      <c r="E78" s="82"/>
      <c r="F78" s="82"/>
      <c r="G78" s="82"/>
      <c r="H78" s="82"/>
      <c r="I78" s="82"/>
      <c r="J78" s="82"/>
      <c r="K78" s="82"/>
      <c r="L78" s="82"/>
    </row>
    <row r="79">
      <c r="A79" s="82"/>
      <c r="B79" s="87" t="s">
        <v>678</v>
      </c>
      <c r="C79" s="96">
        <v>1585.68</v>
      </c>
      <c r="D79" s="82"/>
      <c r="E79" s="82"/>
      <c r="F79" s="82"/>
      <c r="G79" s="82"/>
      <c r="H79" s="82"/>
      <c r="I79" s="82"/>
      <c r="J79" s="82"/>
      <c r="K79" s="82"/>
      <c r="L79" s="82"/>
    </row>
    <row r="80">
      <c r="A80" s="82"/>
      <c r="B80" s="87" t="s">
        <v>679</v>
      </c>
      <c r="C80" s="96">
        <v>1508</v>
      </c>
      <c r="D80" s="82"/>
      <c r="E80" s="82"/>
      <c r="F80" s="82"/>
      <c r="G80" s="82"/>
      <c r="H80" s="82"/>
      <c r="I80" s="82"/>
      <c r="J80" s="82"/>
      <c r="K80" s="82"/>
      <c r="L80" s="82"/>
    </row>
    <row r="81">
      <c r="A81" s="82"/>
      <c r="B81" s="87" t="s">
        <v>680</v>
      </c>
      <c r="C81" s="82"/>
      <c r="D81" s="82"/>
      <c r="E81" s="82"/>
      <c r="F81" s="82"/>
      <c r="G81" s="82"/>
      <c r="H81" s="82"/>
      <c r="I81" s="82"/>
      <c r="J81" s="82"/>
      <c r="K81" s="82"/>
      <c r="L81" s="82"/>
    </row>
    <row r="82">
      <c r="A82" s="82"/>
      <c r="B82" s="87" t="s">
        <v>681</v>
      </c>
      <c r="C82" s="82"/>
      <c r="D82" s="82"/>
      <c r="E82" s="82"/>
      <c r="F82" s="82"/>
      <c r="G82" s="82"/>
      <c r="H82" s="82"/>
      <c r="I82" s="82"/>
      <c r="J82" s="82"/>
      <c r="K82" s="82"/>
      <c r="L82" s="82"/>
    </row>
    <row r="83">
      <c r="A83" s="82"/>
      <c r="B83" s="87" t="s">
        <v>682</v>
      </c>
      <c r="C83" s="82"/>
      <c r="D83" s="82"/>
      <c r="E83" s="82"/>
      <c r="F83" s="82"/>
      <c r="G83" s="82"/>
      <c r="H83" s="82"/>
      <c r="I83" s="82"/>
      <c r="J83" s="82"/>
      <c r="K83" s="82"/>
      <c r="L83" s="82"/>
    </row>
    <row r="84">
      <c r="A84" s="82"/>
      <c r="B84" s="87" t="s">
        <v>683</v>
      </c>
      <c r="C84" s="82"/>
      <c r="D84" s="82"/>
      <c r="E84" s="82"/>
      <c r="F84" s="82"/>
      <c r="G84" s="82"/>
      <c r="H84" s="82"/>
      <c r="I84" s="82"/>
      <c r="J84" s="82"/>
      <c r="K84" s="82"/>
      <c r="L84" s="82"/>
    </row>
    <row r="85">
      <c r="A85" s="82"/>
      <c r="B85" s="87" t="s">
        <v>684</v>
      </c>
      <c r="C85" s="82"/>
      <c r="D85" s="82"/>
      <c r="E85" s="82"/>
      <c r="F85" s="82"/>
      <c r="G85" s="82"/>
      <c r="H85" s="82"/>
      <c r="I85" s="82"/>
      <c r="J85" s="82"/>
      <c r="K85" s="82"/>
      <c r="L85" s="82"/>
    </row>
    <row r="86">
      <c r="A86" s="82"/>
      <c r="B86" s="87" t="s">
        <v>685</v>
      </c>
      <c r="C86" s="82"/>
      <c r="D86" s="82"/>
      <c r="E86" s="82"/>
      <c r="F86" s="82"/>
      <c r="G86" s="82"/>
      <c r="H86" s="82"/>
      <c r="I86" s="82"/>
      <c r="J86" s="82"/>
      <c r="K86" s="82"/>
      <c r="L86" s="82"/>
    </row>
    <row r="87">
      <c r="A87" s="82"/>
      <c r="B87" s="87" t="s">
        <v>686</v>
      </c>
      <c r="C87" s="96">
        <v>-14.88</v>
      </c>
      <c r="D87" s="82"/>
      <c r="E87" s="82"/>
      <c r="F87" s="82"/>
      <c r="G87" s="82"/>
      <c r="H87" s="82"/>
      <c r="I87" s="82"/>
      <c r="J87" s="82"/>
      <c r="K87" s="82"/>
      <c r="L87" s="82"/>
    </row>
    <row r="88">
      <c r="A88" s="82"/>
      <c r="B88" s="87" t="s">
        <v>687</v>
      </c>
      <c r="C88" s="96">
        <v>-1315</v>
      </c>
      <c r="D88" s="82"/>
      <c r="E88" s="82"/>
      <c r="F88" s="82"/>
      <c r="G88" s="82"/>
      <c r="H88" s="82"/>
      <c r="I88" s="82"/>
      <c r="J88" s="82"/>
      <c r="K88" s="82"/>
      <c r="L88" s="82"/>
    </row>
    <row r="89">
      <c r="A89" s="82"/>
      <c r="B89" s="87" t="s">
        <v>688</v>
      </c>
      <c r="C89" s="82"/>
      <c r="D89" s="82"/>
      <c r="E89" s="82"/>
      <c r="F89" s="82"/>
      <c r="G89" s="82"/>
      <c r="H89" s="82"/>
      <c r="I89" s="82"/>
      <c r="J89" s="82"/>
      <c r="K89" s="82"/>
      <c r="L89" s="82"/>
    </row>
    <row r="90">
      <c r="A90" s="82"/>
      <c r="B90" s="87" t="s">
        <v>689</v>
      </c>
      <c r="C90" s="82"/>
      <c r="D90" s="82"/>
      <c r="E90" s="82"/>
      <c r="F90" s="82"/>
      <c r="G90" s="82"/>
      <c r="H90" s="82"/>
      <c r="I90" s="82"/>
      <c r="J90" s="82"/>
      <c r="K90" s="82"/>
      <c r="L90" s="82"/>
    </row>
    <row r="91">
      <c r="A91" s="82"/>
      <c r="B91" s="87" t="s">
        <v>690</v>
      </c>
      <c r="C91" s="118">
        <v>656.83</v>
      </c>
      <c r="D91" s="82"/>
      <c r="E91" s="82"/>
      <c r="F91" s="82"/>
      <c r="G91" s="82"/>
      <c r="H91" s="82"/>
      <c r="I91" s="82"/>
      <c r="J91" s="82"/>
      <c r="K91" s="82"/>
      <c r="L91" s="82"/>
    </row>
    <row r="92">
      <c r="A92" s="82"/>
      <c r="B92" s="87" t="s">
        <v>691</v>
      </c>
      <c r="C92" s="118">
        <v>640</v>
      </c>
      <c r="D92" s="82"/>
      <c r="E92" s="82"/>
      <c r="F92" s="82"/>
      <c r="G92" s="82"/>
      <c r="H92" s="82"/>
      <c r="I92" s="82"/>
      <c r="J92" s="82"/>
      <c r="K92" s="82"/>
      <c r="L92" s="82"/>
    </row>
    <row r="93">
      <c r="A93" s="82"/>
      <c r="B93" s="87" t="s">
        <v>692</v>
      </c>
      <c r="C93" s="118">
        <v>1050</v>
      </c>
      <c r="D93" s="82"/>
      <c r="E93" s="82"/>
      <c r="F93" s="82"/>
      <c r="G93" s="82"/>
      <c r="H93" s="82"/>
      <c r="I93" s="82"/>
      <c r="J93" s="82"/>
      <c r="K93" s="82"/>
      <c r="L93" s="82"/>
    </row>
    <row r="94">
      <c r="A94" s="82"/>
      <c r="B94" s="87" t="s">
        <v>693</v>
      </c>
      <c r="C94" s="118">
        <v>420</v>
      </c>
      <c r="D94" s="82"/>
      <c r="E94" s="82"/>
      <c r="F94" s="82"/>
      <c r="G94" s="82"/>
      <c r="H94" s="82"/>
      <c r="I94" s="82"/>
      <c r="J94" s="82"/>
      <c r="K94" s="82"/>
      <c r="L94" s="82"/>
    </row>
    <row r="95">
      <c r="A95" s="82"/>
      <c r="B95" s="87" t="s">
        <v>694</v>
      </c>
      <c r="C95" s="118">
        <v>149.49</v>
      </c>
      <c r="D95" s="82"/>
      <c r="E95" s="82"/>
      <c r="F95" s="82"/>
      <c r="G95" s="82"/>
      <c r="H95" s="82"/>
      <c r="I95" s="82"/>
      <c r="J95" s="82"/>
      <c r="K95" s="82"/>
      <c r="L95" s="82"/>
    </row>
    <row r="96">
      <c r="A96" s="82"/>
      <c r="B96" s="87" t="s">
        <v>695</v>
      </c>
      <c r="C96" s="95">
        <v>24</v>
      </c>
      <c r="D96" s="82"/>
      <c r="E96" s="82"/>
      <c r="F96" s="82"/>
      <c r="G96" s="82"/>
      <c r="H96" s="82"/>
      <c r="I96" s="82"/>
      <c r="J96" s="82"/>
      <c r="K96" s="82"/>
      <c r="L96" s="82"/>
    </row>
    <row r="97">
      <c r="A97" s="82"/>
      <c r="B97" s="87" t="s">
        <v>696</v>
      </c>
      <c r="C97" s="170" t="s">
        <v>697</v>
      </c>
      <c r="D97" s="82"/>
      <c r="E97" s="82"/>
      <c r="F97" s="82"/>
      <c r="G97" s="82"/>
      <c r="H97" s="82"/>
      <c r="I97" s="82"/>
      <c r="J97" s="82"/>
      <c r="K97" s="82"/>
      <c r="L97" s="82"/>
    </row>
    <row r="98">
      <c r="A98" s="82"/>
      <c r="B98" s="87" t="s">
        <v>698</v>
      </c>
      <c r="C98" s="158">
        <v>1.5</v>
      </c>
      <c r="D98" s="82"/>
      <c r="E98" s="82"/>
      <c r="F98" s="82"/>
      <c r="G98" s="82"/>
      <c r="H98" s="82"/>
      <c r="I98" s="82"/>
      <c r="J98" s="82"/>
      <c r="K98" s="82"/>
      <c r="L98" s="82"/>
    </row>
    <row r="99">
      <c r="A99" s="82"/>
      <c r="B99" s="87" t="s">
        <v>699</v>
      </c>
      <c r="C99" s="118">
        <v>332</v>
      </c>
      <c r="D99" s="82"/>
      <c r="E99" s="82"/>
      <c r="F99" s="82"/>
      <c r="G99" s="82"/>
      <c r="H99" s="82"/>
      <c r="I99" s="82"/>
      <c r="J99" s="82"/>
      <c r="K99" s="82"/>
      <c r="L99" s="82"/>
    </row>
    <row r="100">
      <c r="A100" s="82"/>
      <c r="B100" s="87" t="s">
        <v>700</v>
      </c>
      <c r="C100" s="110" t="s">
        <v>701</v>
      </c>
      <c r="D100" s="82"/>
      <c r="E100" s="82"/>
      <c r="F100" s="82"/>
      <c r="G100" s="82"/>
      <c r="H100" s="82"/>
      <c r="I100" s="82"/>
      <c r="J100" s="82"/>
      <c r="K100" s="82"/>
      <c r="L100" s="82"/>
    </row>
    <row r="101">
      <c r="A101" s="82"/>
      <c r="B101" s="87" t="s">
        <v>702</v>
      </c>
      <c r="C101" s="108">
        <v>46313</v>
      </c>
      <c r="D101" s="82"/>
      <c r="E101" s="82"/>
      <c r="F101" s="82"/>
      <c r="G101" s="82"/>
      <c r="H101" s="82"/>
      <c r="I101" s="82"/>
      <c r="J101" s="82"/>
      <c r="K101" s="82"/>
      <c r="L101" s="82"/>
    </row>
    <row r="102">
      <c r="A102" s="82"/>
      <c r="B102" s="87" t="s">
        <v>703</v>
      </c>
      <c r="C102" s="110" t="s">
        <v>704</v>
      </c>
      <c r="D102" s="82"/>
      <c r="E102" s="82"/>
      <c r="F102" s="82"/>
      <c r="G102" s="82"/>
      <c r="H102" s="82"/>
      <c r="I102" s="82"/>
      <c r="J102" s="82"/>
      <c r="K102" s="82"/>
      <c r="L102" s="82"/>
    </row>
    <row r="103">
      <c r="A103" s="82"/>
      <c r="B103" s="82"/>
      <c r="C103" s="82"/>
      <c r="D103" s="82"/>
      <c r="E103" s="82"/>
      <c r="F103" s="82"/>
      <c r="G103" s="82"/>
      <c r="H103" s="82"/>
      <c r="I103" s="82"/>
      <c r="J103" s="82"/>
      <c r="K103" s="82"/>
      <c r="L103" s="82"/>
    </row>
    <row r="104">
      <c r="A104" s="82"/>
      <c r="B104" s="89" t="s">
        <v>705</v>
      </c>
      <c r="C104" s="82"/>
      <c r="D104" s="82"/>
      <c r="E104" s="82"/>
      <c r="F104" s="82"/>
      <c r="G104" s="82"/>
      <c r="H104" s="82"/>
      <c r="I104" s="82"/>
      <c r="J104" s="82"/>
      <c r="K104" s="82"/>
      <c r="L104" s="82"/>
    </row>
    <row r="105">
      <c r="A105" s="82"/>
      <c r="B105" s="89" t="s">
        <v>603</v>
      </c>
      <c r="C105" s="115" t="s">
        <v>706</v>
      </c>
      <c r="D105" s="167" t="s">
        <v>707</v>
      </c>
      <c r="E105" s="115" t="s">
        <v>708</v>
      </c>
      <c r="F105" s="167" t="s">
        <v>709</v>
      </c>
      <c r="G105" s="115" t="s">
        <v>710</v>
      </c>
      <c r="H105" s="115" t="s">
        <v>711</v>
      </c>
      <c r="I105" s="115" t="s">
        <v>712</v>
      </c>
      <c r="J105" s="167" t="s">
        <v>713</v>
      </c>
      <c r="K105" s="115" t="s">
        <v>714</v>
      </c>
      <c r="L105" s="82"/>
    </row>
    <row r="106">
      <c r="A106" s="82"/>
      <c r="B106" s="153">
        <v>45747</v>
      </c>
      <c r="C106" s="108">
        <v>45777</v>
      </c>
      <c r="D106" s="118">
        <v>1.11</v>
      </c>
      <c r="E106" s="118">
        <v>1.36</v>
      </c>
      <c r="F106" s="118">
        <v>1.01</v>
      </c>
      <c r="G106" s="118">
        <v>2.11</v>
      </c>
      <c r="H106" s="96">
        <v>2483.94</v>
      </c>
      <c r="I106" s="96">
        <v>2294</v>
      </c>
      <c r="J106" s="105">
        <f>E106-D106</f>
        <v>0.25</v>
      </c>
      <c r="K106" s="104" t="b">
        <f>E106&gt;D106</f>
        <v>1</v>
      </c>
      <c r="L106" s="82"/>
    </row>
    <row r="107">
      <c r="A107" s="82"/>
      <c r="B107" s="153">
        <v>45838</v>
      </c>
      <c r="C107" s="108">
        <v>45868</v>
      </c>
      <c r="D107" s="118">
        <v>1.48</v>
      </c>
      <c r="E107" s="118">
        <v>1.66</v>
      </c>
      <c r="F107" s="118">
        <v>1.35</v>
      </c>
      <c r="G107" s="118">
        <v>0.75</v>
      </c>
      <c r="H107" s="96">
        <v>2473.28</v>
      </c>
      <c r="I107" s="96">
        <v>2605</v>
      </c>
      <c r="J107" s="105">
        <f>E107-D107</f>
        <v>0.17999999999999994</v>
      </c>
      <c r="K107" s="104" t="b">
        <f>E107&gt;D107</f>
        <v>1</v>
      </c>
      <c r="L107" s="82"/>
    </row>
    <row r="108">
      <c r="A108" s="82"/>
      <c r="B108" s="153">
        <v>45930</v>
      </c>
      <c r="C108" s="108">
        <v>45960</v>
      </c>
      <c r="D108" s="118">
        <v>1.58</v>
      </c>
      <c r="E108" s="118">
        <v>1.78</v>
      </c>
      <c r="F108" s="118">
        <v>1.45</v>
      </c>
      <c r="G108" s="118">
        <v>3.07</v>
      </c>
      <c r="H108" s="96">
        <v>2730.37</v>
      </c>
      <c r="I108" s="96">
        <v>2818</v>
      </c>
      <c r="J108" s="105">
        <f>E108-D108</f>
        <v>0.19999999999999996</v>
      </c>
      <c r="K108" s="104" t="b">
        <f>E108&gt;D108</f>
        <v>1</v>
      </c>
      <c r="L108" s="82"/>
    </row>
    <row r="109">
      <c r="A109" s="82"/>
      <c r="B109" s="153">
        <v>46022</v>
      </c>
      <c r="C109" s="108">
        <v>46051</v>
      </c>
      <c r="D109" s="118">
        <v>1.93</v>
      </c>
      <c r="E109" s="118">
        <v>2.13</v>
      </c>
      <c r="F109" s="118">
        <v>1.75</v>
      </c>
      <c r="G109" s="118">
        <v>4.73</v>
      </c>
      <c r="H109" s="96">
        <v>2936.88</v>
      </c>
      <c r="I109" s="96">
        <v>3017</v>
      </c>
      <c r="J109" s="105">
        <f>E109-D109</f>
        <v>0.19999999999999996</v>
      </c>
      <c r="K109" s="104" t="b">
        <f>E109&gt;D109</f>
        <v>1</v>
      </c>
      <c r="L109" s="82"/>
    </row>
    <row r="110">
      <c r="A110" s="82"/>
      <c r="B110" s="153">
        <v>46112</v>
      </c>
      <c r="C110" s="108">
        <v>46142</v>
      </c>
      <c r="D110" s="118">
        <v>2.39</v>
      </c>
      <c r="E110" s="118">
        <v>2.72</v>
      </c>
      <c r="F110" s="118">
        <v>2.14</v>
      </c>
      <c r="G110" s="118">
        <v>8.2</v>
      </c>
      <c r="H110" s="96">
        <v>3247.63</v>
      </c>
      <c r="I110" s="96">
        <v>3337</v>
      </c>
      <c r="J110" s="105">
        <f>E110-D110</f>
        <v>0.33000000000000007</v>
      </c>
      <c r="K110" s="104" t="b">
        <f>E110&gt;D110</f>
        <v>1</v>
      </c>
      <c r="L110" s="82"/>
    </row>
    <row r="111">
      <c r="A111" s="82"/>
      <c r="B111" s="153">
        <v>46203</v>
      </c>
      <c r="C111" s="108">
        <v>46239</v>
      </c>
      <c r="D111" s="118">
        <v>3.3</v>
      </c>
      <c r="E111" s="118">
        <v>3.56</v>
      </c>
      <c r="F111" s="118">
        <v>3.03</v>
      </c>
      <c r="G111" s="118">
        <v>8.21</v>
      </c>
      <c r="H111" s="96">
        <v>3698.75</v>
      </c>
      <c r="I111" s="96">
        <v>3747</v>
      </c>
      <c r="J111" s="105">
        <f>E111-D111</f>
        <v>0.26000000000000023</v>
      </c>
      <c r="K111" s="104" t="b">
        <f>E111&gt;D111</f>
        <v>1</v>
      </c>
      <c r="L111" s="82"/>
    </row>
    <row r="112">
      <c r="A112" s="82"/>
      <c r="B112" s="89" t="s">
        <v>715</v>
      </c>
      <c r="C112" s="82"/>
      <c r="D112" s="82"/>
      <c r="E112" s="82"/>
      <c r="F112" s="82"/>
      <c r="G112" s="82"/>
      <c r="H112" s="82"/>
      <c r="I112" s="82"/>
      <c r="J112" s="121">
        <f>AVERAGE(J106:J111)</f>
        <v>0.2366666666666667</v>
      </c>
      <c r="K112" s="82"/>
      <c r="L112" s="82"/>
    </row>
    <row r="113">
      <c r="A113" s="82"/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</row>
    <row r="114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</row>
    <row r="115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</row>
  </sheetData>
</worksheet>
</file>