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comments10.xml" ContentType="application/vnd.openxmlformats-officedocument.spreadsheetml.comments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r:id="rId1" name="Cover" sheetId="1"/>
    <sheet r:id="rId2" name="Revenue summary" sheetId="2"/>
    <sheet r:id="rId3" name="Segment - Freight" sheetId="3"/>
    <sheet r:id="rId4" name="Segment - Transit" sheetId="4"/>
    <sheet r:id="rId5" name="Income Statement" sheetId="5"/>
    <sheet r:id="rId6" name="Balance Sheet" sheetId="6"/>
    <sheet r:id="rId7" name="Cash Flow Statement" sheetId="7"/>
    <sheet r:id="rId8" name="Geo" sheetId="8"/>
    <sheet r:id="rId9" name="Share Count" sheetId="9"/>
    <sheet r:id="rId10" name="Guidance" sheetId="10"/>
    <sheet r:id="rId11" name="Sources" sheetId="11"/>
    <sheet r:id="rId12" name="Inputs" sheetId="12"/>
  </sheets>
  <calcPr calcId="0" iterateCount="100" iterateDelta="0.001"/>
</workbook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api</author>
  </authors>
  <commentList>
    <comment ref="F35" authorId="0">
      <text>
        <r>
          <rPr>
            <sz val="9"/>
            <color rgb="FF000000"/>
            <rFont val="Arial"/>
            <family val="2"/>
          </rPr>
          <t>www_sec_gov_Archives_edgar_data_943452_000162828026049105_a2_0d24afe7.md | 2Q26 release, YTD Adjusted Results | $5.46</t>
        </r>
      </text>
    </comment>
  </commentList>
</comments>
</file>

<file path=xl/sharedStrings.xml><?xml version="1.0" encoding="utf-8"?>
<sst xmlns="http://schemas.openxmlformats.org/spreadsheetml/2006/main" count="894" uniqueCount="894">
  <si>
    <t>Westinghouse Air Brake Technologies Corporation (NYSE: WAB)</t>
  </si>
  <si>
    <t>Cover</t>
  </si>
  <si>
    <t>$ millions, except per share</t>
  </si>
  <si>
    <t>Period</t>
  </si>
  <si>
    <t>3Q25A</t>
  </si>
  <si>
    <t>4Q25A</t>
  </si>
  <si>
    <t>FY25A</t>
  </si>
  <si>
    <t>1Q26A</t>
  </si>
  <si>
    <t>2Q26A</t>
  </si>
  <si>
    <t>3Q26E</t>
  </si>
  <si>
    <t>Notes</t>
  </si>
  <si>
    <t>Period end</t>
  </si>
  <si>
    <t>Days in period</t>
  </si>
  <si>
    <t>Reference tab: the period band in rows 4-6 is a template header only; columns below are not financial periods (see row 20 and row 32 column headers)</t>
  </si>
  <si>
    <t>Company Model — built by Shortcut</t>
  </si>
  <si>
    <t>Author: Shortcut (Shortcut company model)</t>
  </si>
  <si>
    <t>Company</t>
  </si>
  <si>
    <t>Westinghouse Air Brake Technologies Corporation (Wabtec)</t>
  </si>
  <si>
    <t>Ticker / exchange</t>
  </si>
  <si>
    <t>WAB / New York Stock Exchange</t>
  </si>
  <si>
    <t>Fiscal year end</t>
  </si>
  <si>
    <t>December 31 (FQ3 2026 = quarter ended 30-Sep-2026; supplied label 2026-09-30 matches issuer quarter end)</t>
  </si>
  <si>
    <t>Reporting currency / units</t>
  </si>
  <si>
    <t>USD; $ millions, except per share</t>
  </si>
  <si>
    <t>EPS basis</t>
  </si>
  <si>
    <t>Adjusted (non-GAAP) diluted EPS per ordinary share, USD = CapIQ normalized diluted EPS</t>
  </si>
  <si>
    <t>Information cutoff</t>
  </si>
  <si>
    <t>2026-10-18 21:34:46 UTC</t>
  </si>
  <si>
    <t>Expected report date</t>
  </si>
  <si>
    <t>2026-10-21, before market open (issuer-confirmed 1-Oct-26; CapIQ supplied 2026-10-21)</t>
  </si>
  <si>
    <t>Consensus snapshot</t>
  </si>
  <si>
    <t>S&amp;P Capital IQ, captured 2026-10-18 (11 EPS / 10 revenue estimates) - frozen scoring baseline</t>
  </si>
  <si>
    <t>3Q26E headline ($m, except per share)</t>
  </si>
  <si>
    <t>Shortcut est.</t>
  </si>
  <si>
    <t>Consensus</t>
  </si>
  <si>
    <t>Variance</t>
  </si>
  <si>
    <t>Variance %</t>
  </si>
  <si>
    <t>FY26 guide mid</t>
  </si>
  <si>
    <t>2H26 implied</t>
  </si>
  <si>
    <t>Net sales</t>
  </si>
  <si>
    <t>Adjusted net income attributable (consensus basis)</t>
  </si>
  <si>
    <t>n.a.</t>
  </si>
  <si>
    <t>Consensus = CapIQ net income excl. exceptional items; no net income guidance given</t>
  </si>
  <si>
    <t>Adjusted diluted EPS (consensus basis)</t>
  </si>
  <si>
    <t>GAAP net income attributable</t>
  </si>
  <si>
    <t>Consensus = CapIQ net_income_gaap (memo); contributor set/count not supplied and may differ from GAAP EPS set (n=6); not scored</t>
  </si>
  <si>
    <t>GAAP diluted EPS</t>
  </si>
  <si>
    <t>CapIQ GAAP mean (6 estimates) mixes bases; GAAP guidance not provided by issuer</t>
  </si>
  <si>
    <t>Adjusted operating margin</t>
  </si>
  <si>
    <t>Consensus = CapIQ EBIT / revenue; variance column in bps. CapIQ EBIT basis vs issuer adjusted income from operations unknown (memo, not scored)</t>
  </si>
  <si>
    <t>History/linkage/structural check (incl. 3Q26E construction identities; not independent financial validation)</t>
  </si>
  <si>
    <t>PASS</t>
  </si>
  <si>
    <t>AND of inline structural/linkage checks across tabs. Most 3Q26E checks are identities by construction (IS G24/G128/G144, CF G18/G44, RS G85, Freight G87, Transit G55, Share Count G37, Cover B30); only BS G30 (balance) is substantive for 3Q26E. IS G15 cost of sales and G25 SG&amp;A are derived residuals, not independent expense builds. Check list: artifacts/checks.md (outside workbook).</t>
  </si>
  <si>
    <t>P(beat consensus EPS): judgmental 50/50 blend (Inputs!B167)</t>
  </si>
  <si>
    <t>Confidence</t>
  </si>
  <si>
    <t>medium</t>
  </si>
  <si>
    <t>Check: Cover headline ties to Income Statement (sum of absolute differences)</t>
  </si>
  <si>
    <t>Other consensus observed before cutoff (memo; not the scoring baseline)</t>
  </si>
  <si>
    <t>EPS</t>
  </si>
  <si>
    <t>Revenue</t>
  </si>
  <si>
    <t>Date</t>
  </si>
  <si>
    <t>Zacks (S21)</t>
  </si>
  <si>
    <t>MarketBeat (S22)</t>
  </si>
  <si>
    <t>Tradestie (S30)</t>
  </si>
  <si>
    <t>S30 dated 14-Oct-26 per cached search result (URL slug '-20261021' is the report date, not publication); older than the frozen 18-Oct-26 CapIQ baseline; memo only, not scoring</t>
  </si>
  <si>
    <t>Revenue summary</t>
  </si>
  <si>
    <t>Net sales by reported segment</t>
  </si>
  <si>
    <t>Freight net sales</t>
  </si>
  <si>
    <t>Linked from Segment - Freight (driver build)</t>
  </si>
  <si>
    <t>Prior-year period (memo)</t>
  </si>
  <si>
    <t>% Y/Y</t>
  </si>
  <si>
    <t>Y/Y change ($)</t>
  </si>
  <si>
    <t>% Q/Q</t>
  </si>
  <si>
    <t>Q/Q change ($)</t>
  </si>
  <si>
    <t>% of total net sales</t>
  </si>
  <si>
    <t>Acquisitions (% Y/Y)</t>
  </si>
  <si>
    <t>Portfolio optimization (% Y/Y)</t>
  </si>
  <si>
    <t>FX impact (% Y/Y)</t>
  </si>
  <si>
    <t>Organic growth (issuer, % Y/Y)</t>
  </si>
  <si>
    <t>Organic growth (formula)</t>
  </si>
  <si>
    <t>Transit net sales</t>
  </si>
  <si>
    <t>Linked from Segment - Transit (driver build)</t>
  </si>
  <si>
    <t>Total net sales</t>
  </si>
  <si>
    <t>Acquisitions ($)</t>
  </si>
  <si>
    <t>Portfolio optimization ($)</t>
  </si>
  <si>
    <t>Foreign exchange ($)</t>
  </si>
  <si>
    <t>Organic ($, issuer)</t>
  </si>
  <si>
    <t>Organic growth (formula: (1+Y/Y)/((1+M&amp;A)(1+FX))-1)</t>
  </si>
  <si>
    <t>Total net sales, as reported</t>
  </si>
  <si>
    <t>Consolidated income statement (S03, S05, S07, S09)</t>
  </si>
  <si>
    <t>Check: segments sum - reported total</t>
  </si>
  <si>
    <t>CapIQ revenue actual / 3Q26 consensus (Inputs)</t>
  </si>
  <si>
    <t>WAB_history.csv revenue_m_actual; 3Q26E = frozen CapIQ revenue_mean</t>
  </si>
  <si>
    <t>Check: model total - CapIQ actual</t>
  </si>
  <si>
    <t>3Q26E vs consensus (%)</t>
  </si>
  <si>
    <t>Net sales by type (10-Q/10-K income statement)</t>
  </si>
  <si>
    <t>Sales of goods</t>
  </si>
  <si>
    <t>4Q25A = FY25 (10-K) less 9M25 (3Q25 10-Q)</t>
  </si>
  <si>
    <t>Sales of goods, 9M25 YTD (memo)</t>
  </si>
  <si>
    <t>Sales of goods, 9M24 YTD (memo)</t>
  </si>
  <si>
    <t>Y/Y change (bps)</t>
  </si>
  <si>
    <t>Q/Q change (bps)</t>
  </si>
  <si>
    <t>M&amp;A / portfolio impact (% Y/Y)</t>
  </si>
  <si>
    <t>n.d.</t>
  </si>
  <si>
    <t>Unavailable: M&amp;A, FX and organic not disclosed by goods/services split</t>
  </si>
  <si>
    <t>Sales of services</t>
  </si>
  <si>
    <t>Sales of services, 9M25 YTD (memo)</t>
  </si>
  <si>
    <t>Services share of sales assumption (3Q26E)</t>
  </si>
  <si>
    <t>16%: 3Q25 16.0%, 2Q26 16.0%</t>
  </si>
  <si>
    <t>Sales of services, 9M24 YTD (memo)</t>
  </si>
  <si>
    <t>Check: goods + services - total net sales</t>
  </si>
  <si>
    <t>Backlog summary (linked from segment ladders)</t>
  </si>
  <si>
    <t>Total multi-year backlog</t>
  </si>
  <si>
    <t>Prior-year closing (memo)</t>
  </si>
  <si>
    <t>12-month backlog</t>
  </si>
  <si>
    <t>Geography: disclosed annually only (10-K Note 19); see Geo tab</t>
  </si>
  <si>
    <t>~48% of FY25 net sales shipped to U.S. destinations; quarterly geographic split not disclosed in 10-Qs (S04, S08, S11)</t>
  </si>
  <si>
    <t>Segment - Freight</t>
  </si>
  <si>
    <t>Product-line net sales (drivers)</t>
  </si>
  <si>
    <t>Services</t>
  </si>
  <si>
    <t>Freight product-line sales, earnings release Appendix F</t>
  </si>
  <si>
    <t>Y/Y growth assumption (3Q26E)</t>
  </si>
  <si>
    <t>+7.5%: modernization deliveries ramp in 2H26 returning Services to growth vs weak 3Q25 base (-11.6%); FY26 Services still guided down (S12). Street +8.8% (S20)</t>
  </si>
  <si>
    <t>Prior-year quarter/year as reported (3Q24, 4Q24, FY24, 1Q25, 2Q25); 3Q26E column = 3Q25A</t>
  </si>
  <si>
    <t>3Q25A Q/Q vs 2Q25 (prior-year memo of 2Q26A); FY column n.a.</t>
  </si>
  <si>
    <t>% of segment net sales</t>
  </si>
  <si>
    <t>Mix change Y/Y (bps)</t>
  </si>
  <si>
    <t>Mix change Q/Q (bps)</t>
  </si>
  <si>
    <t>Organic change ($, issuer-reported)</t>
  </si>
  <si>
    <t>n.f.</t>
  </si>
  <si>
    <t>10-Q/10-K MD&amp;A organic bridge by product line; 4Q25A = FY25 less 9M25; 3Q26E organic not split by product line (n.f. = not forecast)</t>
  </si>
  <si>
    <t>Organic change, 9M25 YTD (memo)</t>
  </si>
  <si>
    <t>3Q25 10-Q nine-month organic bridge (S04)</t>
  </si>
  <si>
    <t>Unavailable: acquisitions/divestitures not disclosed by product line (segment level only)</t>
  </si>
  <si>
    <t>Unavailable: FX not disclosed by product line</t>
  </si>
  <si>
    <t>Not computable at product-line level because M&amp;A and FX are not disclosed; see segment decomposition below</t>
  </si>
  <si>
    <t>Equipment</t>
  </si>
  <si>
    <t>Locomotives (new), mining, marine</t>
  </si>
  <si>
    <t>+8.0%: mgmt expects Equipment growth to stay positive at a very moderate pace vs +43% in 1H26 (S12); $1.0bn Australia order; Street +7.5% (S20)</t>
  </si>
  <si>
    <t>Components</t>
  </si>
  <si>
    <t>Freight-car and industrial components</t>
  </si>
  <si>
    <t>+1.0%: ~flat for six quarters; NA railcar build -21% in 2026 offset by flow/industrial (S12). Street +1.5% (S20)</t>
  </si>
  <si>
    <t>Digital Intelligence</t>
  </si>
  <si>
    <t>Includes Inspection Technologies (from 1-Jul-25) and Frauscher (from 1-Dec-25)</t>
  </si>
  <si>
    <t>+18.5% total Y/Y = modeller judgment (assumption). Rough components do NOT reconcile exactly: Frauscher ~$43m/qtr (43/297 = 14.5%; EUR145m 2025 revenue, closed 1-Dec-25, S17) not in 3Q25 base + ~3% organic ≈ 17.5% vs 18.5% input (implies ~4.0% organic if Frauscher held); approximation residual, not verified growth. Inspection Technologies lapped (closed 1-Jul-25, S18). Street +19.9% (S20)</t>
  </si>
  <si>
    <t>Sum of product lines (built from drivers)</t>
  </si>
  <si>
    <t>Segment net sales in prior-year period (bridge start)</t>
  </si>
  <si>
    <t>Freight net sales, as reported</t>
  </si>
  <si>
    <t>Earnings release segment table</t>
  </si>
  <si>
    <t>Check: product lines - reported segment sales</t>
  </si>
  <si>
    <t>Growth decomposition (issuer bridge, vs prior-year period)</t>
  </si>
  <si>
    <t>3Q26E: Frauscher only (Inspection Technologies lapped 1-Jul-26). $43m is a rounded judgment: EUR145m/yr x ~1.1507 USD/EUR / 4 ≈ $41.7m (S17, S25); ~$1.3m gap is an unreconciled approximation, not verified data</t>
  </si>
  <si>
    <t>Portfolio optimization: divestitures/exits ($)</t>
  </si>
  <si>
    <t>3Q26E: run-rate of recent exits (-$10m/-$11m in 1H26)</t>
  </si>
  <si>
    <t>3Q26E: EUR/USD avg ~1.151 vs ~1.168 in 3Q25 (-1.5%); modest Freight exposure (S25)</t>
  </si>
  <si>
    <t>3Q26E organic = residual of product-line build less M&amp;A, portfolio and FX assumptions</t>
  </si>
  <si>
    <t>Check: prior-year + bridge - net sales</t>
  </si>
  <si>
    <t>M&amp;A incl. portfolio optimization (% Y/Y)</t>
  </si>
  <si>
    <t>Total Y/Y growth</t>
  </si>
  <si>
    <t>Multiplicative organic growth; differs slightly from issuer additive organic %</t>
  </si>
  <si>
    <t>Backlog ladder (multi-year and 12-month)</t>
  </si>
  <si>
    <t>Opening total backlog</t>
  </si>
  <si>
    <t>Prior period closing backlog (3Q25A opening = 30-Jun-25; FY opening = 31-Dec-24)</t>
  </si>
  <si>
    <t>Implied orders incl. FX &amp; M&amp;A (derived)</t>
  </si>
  <si>
    <t>Closing - opening + net sales; includes acquired backlog and FX translation (not issuer-reported orders)</t>
  </si>
  <si>
    <t>Less: net sales recognized</t>
  </si>
  <si>
    <t>Closing total backlog</t>
  </si>
  <si>
    <t>Earnings release backlog table</t>
  </si>
  <si>
    <t>Average total backlog</t>
  </si>
  <si>
    <t>Prior-year closing backlog (memo)</t>
  </si>
  <si>
    <t>% Y/Y (closing backlog)</t>
  </si>
  <si>
    <t>Change vs opening ($)</t>
  </si>
  <si>
    <t>Book-to-bill (implied orders / net sales, x)</t>
  </si>
  <si>
    <t>Book-to-bill assumption (3Q26E, x)</t>
  </si>
  <si>
    <t>Mgmt expects "a couple of significant deals" in 2H26 (S12); MRS Logistica $254m (S28), Kyrgyzstan locos, Texmaco/Africa ES43ACi orders in 3Q26</t>
  </si>
  <si>
    <t>Q/Q change (x)</t>
  </si>
  <si>
    <t>3Q25A vs 2Q25 implied book-to-bill from prior-year memo backlog and sales</t>
  </si>
  <si>
    <t>Y/Y change (x)</t>
  </si>
  <si>
    <t>Prior-year implied book-to-bill needs the backlog one quarter before the prior-year period; 3Q25A/FY25A n.d. (30-Jun-24 / 31-Dec-23 backlog not in model)</t>
  </si>
  <si>
    <t>Opening 12-month backlog</t>
  </si>
  <si>
    <t>Closing 12-month backlog</t>
  </si>
  <si>
    <t>12-month backlog is a subset of total backlog</t>
  </si>
  <si>
    <t>12-month backlog Q/Q change assumption (3Q26E)</t>
  </si>
  <si>
    <t>Held flat vs 30-Jun-26</t>
  </si>
  <si>
    <t>Prior-year closing 12-month backlog (memo)</t>
  </si>
  <si>
    <t>% Y/Y (12-month backlog)</t>
  </si>
  <si>
    <t>12-month backlog as % of total backlog</t>
  </si>
  <si>
    <t>Net sales / opening 12-month backlog</t>
  </si>
  <si>
    <t>Conversion of 12-month backlog into reported sales (FY column = full-year sales / opening)</t>
  </si>
  <si>
    <t>Prior-year opening 12-month backlog for 3Q24 (30-Jun-24) and FY24 (31-Dec-23) not in model: n.d.</t>
  </si>
  <si>
    <t>Segment profitability (GAAP and adjusted)</t>
  </si>
  <si>
    <t>Adjusted gross profit</t>
  </si>
  <si>
    <t>Segment reconciliation table (Appendix G)</t>
  </si>
  <si>
    <t>Adjusted gross margin</t>
  </si>
  <si>
    <t>Adjusted gross margin assumption (3Q26E)</t>
  </si>
  <si>
    <t>37.8%: between 3Q25 (37.0%) and 1H26 (38.1-38.3%); mix shifts back toward Services in 2H</t>
  </si>
  <si>
    <t>Restructuring in cost of sales (GP-level)</t>
  </si>
  <si>
    <t>Inventory purchase-accounting charge</t>
  </si>
  <si>
    <t>Inspection Technologies / Frauscher inventory step-up; fully run off by 2Q26</t>
  </si>
  <si>
    <t>Gross profit (GAAP)</t>
  </si>
  <si>
    <t>Gross margin (GAAP)</t>
  </si>
  <si>
    <t>Check: GAAP GP + GP adjustments - adjusted GP</t>
  </si>
  <si>
    <t>Adjusted income from operations</t>
  </si>
  <si>
    <t>Adjusted operating margin assumption (3Q26E)</t>
  </si>
  <si>
    <t>25.5% (+100 bps Y/Y): mgmt guides 3Q margin growth ~0.5pt consolidated, consistent with 1H (S12); Freight +80 bps in 2Q26. Street implies ~25.6% (S20)</t>
  </si>
  <si>
    <t>Adjusted operating expenses (derived)</t>
  </si>
  <si>
    <t>% of net sales</t>
  </si>
  <si>
    <t>Restructuring &amp; portfolio optimization (OI-level)</t>
  </si>
  <si>
    <t>Includes cost-of-sales portion</t>
  </si>
  <si>
    <t>Inventory purchase-accounting charge (OI-level)</t>
  </si>
  <si>
    <t>Transaction costs</t>
  </si>
  <si>
    <t>Non-cash amortization expense</t>
  </si>
  <si>
    <t>Run-rate of 1H26 ($76m/qtr)</t>
  </si>
  <si>
    <t>Total segment adjustments</t>
  </si>
  <si>
    <t>Income from operations (GAAP)</t>
  </si>
  <si>
    <t>Operating margin (GAAP)</t>
  </si>
  <si>
    <t>Operating expenses, GAAP (derived)</t>
  </si>
  <si>
    <t>Check: GAAP OI + adjustments - adjusted OI</t>
  </si>
  <si>
    <t>Segment - Transit</t>
  </si>
  <si>
    <t>Original Equipment Manufacturer</t>
  </si>
  <si>
    <t>Transit product-line sales, Appendix F</t>
  </si>
  <si>
    <t>+12%: Dellner (closed 10-Feb-26, ~$38m OE/qtr in 2Q26 bridge) + ~3% organic, ~-1% FX (S09, S19)</t>
  </si>
  <si>
    <t>Aftermarket</t>
  </si>
  <si>
    <t>Transit aftermarket</t>
  </si>
  <si>
    <t>+14.5% total Y/Y = modeller judgment (assumption). Rough components do NOT reconcile exactly: Dellner ~$30m/qtr (30/426 = 7.0%) + ~7% organic - ~1% FX ≈ 13.0%. Holding Dellner and FX, 14.5% implies Aftermarket organic ~8.5% (2Q26 organic +13%); the ~1.5pt gap is an approximation residual, not verified growth</t>
  </si>
  <si>
    <t>Transit net sales, as reported</t>
  </si>
  <si>
    <t>3Q26E: Dellner (closed 10-Feb-26; $69m in 2Q26 bridge), slightly lower seasonal run-rate. $66m is a judgment; product-line notes (~$38m OE + ~$30m aftermarket ≈ $68m) are rough and do not reconcile exactly</t>
  </si>
  <si>
    <t>3Q26E: residual exits</t>
  </si>
  <si>
    <t>3Q26E: EUR/USD ~-1.5% Y/Y; Transit ~half Europe-denominated (S25)</t>
  </si>
  <si>
    <t>Transit book-to-bill ~1.0x (2Q26 implied 0.97x); car-builder backlogs strong (S12)</t>
  </si>
  <si>
    <t>32.6%: 3Q25 31.8%, 1H26 33.2-33.3%; 3Q25 benefited from production level-loading (S12)</t>
  </si>
  <si>
    <t>Dellner inventory step-up (3Q26E tail assumed $2m)</t>
  </si>
  <si>
    <t>17.3% (+180 bps Y/Y): Dellner accretion and productivity; 2Q26 17.7% (+250 bps). Street ~17.7% (S20)</t>
  </si>
  <si>
    <t>Full quarter of Dellner intangibles (2Q26 $15m)</t>
  </si>
  <si>
    <t>Income Statement</t>
  </si>
  <si>
    <t>Income statement (GAAP, as reported)</t>
  </si>
  <si>
    <t>Linked from Revenue summary (segment build)</t>
  </si>
  <si>
    <t>Cost of sales</t>
  </si>
  <si>
    <t>Gross profit</t>
  </si>
  <si>
    <t>Freight + Transit segment gross profit (consolidated gross profit equals the segment sum in every reported period)</t>
  </si>
  <si>
    <t>Gross margin</t>
  </si>
  <si>
    <t>Check: net sales + cost of sales - gross profit</t>
  </si>
  <si>
    <t>Selling, general &amp; administrative</t>
  </si>
  <si>
    <t>3Q26E SG&amp;A derived so that operating income ties to the segment build</t>
  </si>
  <si>
    <t>Engineering expenses</t>
  </si>
  <si>
    <t>3Q26E: -$65m (1H26 avg $63m; 3Q25 $59m)</t>
  </si>
  <si>
    <t>Amortization expense</t>
  </si>
  <si>
    <t>Total operating expenses</t>
  </si>
  <si>
    <t>Income from operations</t>
  </si>
  <si>
    <t>Operating margin</t>
  </si>
  <si>
    <t>Income from operations, as reported</t>
  </si>
  <si>
    <t>Check: computed - reported operating income</t>
  </si>
  <si>
    <t>Interest expense, net</t>
  </si>
  <si>
    <t>3Q26E: -$79m (2Q26 -$80m on $6.57bn debt; modest debt paydown)</t>
  </si>
  <si>
    <t>Other income (expense), net</t>
  </si>
  <si>
    <t>3Q26E: +$3m (4-quarter average ex-1Q26 FX gain ~$0-6m)</t>
  </si>
  <si>
    <t>Income before income taxes</t>
  </si>
  <si>
    <t>Income tax expense</t>
  </si>
  <si>
    <t>3Q26E = adjusted tax less tax effect of adjustments</t>
  </si>
  <si>
    <t>Effective tax rate</t>
  </si>
  <si>
    <t>Prior-year income tax expense (memo)</t>
  </si>
  <si>
    <t>Prior-year income before taxes (memo)</t>
  </si>
  <si>
    <t>Net income</t>
  </si>
  <si>
    <t>Less: net income attributable to noncontrolling interest</t>
  </si>
  <si>
    <t>3Q26E: -$2m (recent range -$1m to -$3m)</t>
  </si>
  <si>
    <t>Net income attributable to Wabtec shareholders</t>
  </si>
  <si>
    <t>Net margin</t>
  </si>
  <si>
    <t>Net income attributable, as reported</t>
  </si>
  <si>
    <t>Check: computed - reported net income attributable</t>
  </si>
  <si>
    <t>Shares and GAAP EPS</t>
  </si>
  <si>
    <t>Weighted average basic shares (m)</t>
  </si>
  <si>
    <t>Weighted average diluted shares (m)</t>
  </si>
  <si>
    <t>GAAP basic EPS</t>
  </si>
  <si>
    <t>3Q26E prior-year memo = as-reported 3Q25 GAAP diluted EPS (B74 = $1.81), same basis as B69:F69 history</t>
  </si>
  <si>
    <t>Y/Y change ($/share)</t>
  </si>
  <si>
    <t>Q/Q change ($/share)</t>
  </si>
  <si>
    <t>GAAP diluted EPS, as reported</t>
  </si>
  <si>
    <t>Check: |computed - reported| &lt; $0.015 (two-class rounding)</t>
  </si>
  <si>
    <t>CapIQ GAAP EPS actual / 3Q26 consensus (Inputs)</t>
  </si>
  <si>
    <t>Check: reported GAAP EPS = CapIQ GAAP actual</t>
  </si>
  <si>
    <t>GAAP to adjusted (non-GAAP) bridge, pre-tax, one row per adjustment</t>
  </si>
  <si>
    <t>Restructuring &amp; portfolio optimization costs</t>
  </si>
  <si>
    <t>Integration 3.0 ($80-100m program) and portfolio optimization</t>
  </si>
  <si>
    <t>Equals Freight + Transit segment PPA charges in every reported period</t>
  </si>
  <si>
    <t>Transaction costs (operating)</t>
  </si>
  <si>
    <t>Equals Freight + Transit segment amortization add-backs in every reported period</t>
  </si>
  <si>
    <t>Total operating adjustments</t>
  </si>
  <si>
    <t>Transaction (gains)/costs in interest &amp; other</t>
  </si>
  <si>
    <t>Derivative/FX items tied to acquisitions; 3Q26E none assumed</t>
  </si>
  <si>
    <t>Total pre-tax adjustments</t>
  </si>
  <si>
    <t>Tax effect of adjustments</t>
  </si>
  <si>
    <t>Tax rate on adjustments</t>
  </si>
  <si>
    <t>Prior-year rate = (adjusted tax - GAAP tax) / (adjusted pre-tax - GAAP pre-tax) from prior-year memo rows</t>
  </si>
  <si>
    <t>Tax rate on adjustments assumption (3Q26E)</t>
  </si>
  <si>
    <t>23.5%: 2Q26 23.7%, 1Q26 20.5%, 3Q25 25.6%</t>
  </si>
  <si>
    <t>Adjusted net income attributable, as reported</t>
  </si>
  <si>
    <t>Check: bridge - reported adjusted net income</t>
  </si>
  <si>
    <t>Adjusted diluted EPS (consensus basis = CapIQ normalized)</t>
  </si>
  <si>
    <t>Issuer adjusted diluted EPS excludes restructuring, PPA, transaction costs and non-cash amortization; CapIQ normalized actuals equal issuer adjusted EPS for all six history quarters</t>
  </si>
  <si>
    <t>3Q26E prior-year memo = as-reported 3Q25 adjusted diluted EPS (B105 = $2.32 = CapIQ Inputs!B120), same basis as B100:F100 history</t>
  </si>
  <si>
    <t>Adjusted diluted EPS, as reported</t>
  </si>
  <si>
    <t>Check: |computed - reported| &lt; $0.015 (per-share rounding)</t>
  </si>
  <si>
    <t>CapIQ normalized EPS actual / 3Q26 consensus (Inputs)</t>
  </si>
  <si>
    <t>Check: reported adjusted EPS = CapIQ normalized actual</t>
  </si>
  <si>
    <t>3Q26E estimate - consensus ($/share)</t>
  </si>
  <si>
    <t>Adjusted P&amp;L build (issuer non-GAAP definitions)</t>
  </si>
  <si>
    <t>Mgmt (2Q26 call): 3Q26 margin growth ~0.5pt, similar to 1H26; majority of FY margin expansion in 4Q26 (S12)</t>
  </si>
  <si>
    <t>Adjusted income from operations, as reported</t>
  </si>
  <si>
    <t>Check: adjusted OI - reported (hist) / - segment build (3Q26E)</t>
  </si>
  <si>
    <t>Adjusted operating expenses</t>
  </si>
  <si>
    <t>Adjusted interest &amp; other expense</t>
  </si>
  <si>
    <t>Adjusted income before taxes</t>
  </si>
  <si>
    <t>Adjusted income tax expense</t>
  </si>
  <si>
    <t>Adjusted effective tax rate</t>
  </si>
  <si>
    <t>Adjusted tax rate assumption (3Q26E)</t>
  </si>
  <si>
    <t>24.5% = FY26 guided tax rate (S10 'Tax rate ~24.5%'), used for 3Q26E as a modeller judgment; not a source-proven 3Q26 rate. 1H26 adjusted rate ~22.9% (E135:F135 / E134:F134) included prior-period audit settlements and discrete equity-comp deductions (S11, 10-Q Note 10). Sensitivity only (not applied): if the ~24.5% guide covers full FY26 incl. those discretes and 4Q26 PBT ≈ 3Q26E, 2H26 needs ~26.1%, giving EPS ~$2.659. Guide basis (incl./excl. discretes) unresolved without cached proof. 3Q25 adjusted 26.2%</t>
  </si>
  <si>
    <t>Prior-year adjusted income tax (memo)</t>
  </si>
  <si>
    <t>Prior-year adjusted income before taxes (memo)</t>
  </si>
  <si>
    <t>Adjusted net income</t>
  </si>
  <si>
    <t>Adjusted net income attributable (P&amp;L build)</t>
  </si>
  <si>
    <t>Check: P&amp;L build - bridge</t>
  </si>
  <si>
    <t>Segment operating income reconciliation</t>
  </si>
  <si>
    <t>Freight income from operations (GAAP)</t>
  </si>
  <si>
    <t>Transit income from operations (GAAP)</t>
  </si>
  <si>
    <t>Corporate &amp; eliminations (GAAP)</t>
  </si>
  <si>
    <t>Freight adjusted income from operations</t>
  </si>
  <si>
    <t>Transit adjusted income from operations</t>
  </si>
  <si>
    <t>Corporate &amp; eliminations (adjusted)</t>
  </si>
  <si>
    <t>3Q26E: -$45m (3Q25 -$29m, 4Q25 -$65m, 1Q26 -$43m, 2Q26 -$48m)</t>
  </si>
  <si>
    <t>Corporate restructuring (3Q26E assumption)</t>
  </si>
  <si>
    <t>Corporate transaction costs (3Q26E assumption)</t>
  </si>
  <si>
    <t>EBITDA (issuer definition: operating income + other income + D&amp;A; adjusted adds restructuring/transaction/PPA)</t>
  </si>
  <si>
    <t>Depreciation (3Q26E assumption)</t>
  </si>
  <si>
    <t>2Q26 D&amp;A $142m less amortization $91m = $51m; 3Q26E $53m</t>
  </si>
  <si>
    <t>Depreciation &amp; amortization (EBITDA basis)</t>
  </si>
  <si>
    <t>EBITDA</t>
  </si>
  <si>
    <t>EBITDA, as reported</t>
  </si>
  <si>
    <t>Check: computed - reported EBITDA</t>
  </si>
  <si>
    <t>Restructuring, transaction &amp; PPA add-backs</t>
  </si>
  <si>
    <t>As reported in EBITDA reconciliation (4Q25/FY25 add-backs differ by $2-6m from the EPS bridge)</t>
  </si>
  <si>
    <t>Adjusted EBITDA</t>
  </si>
  <si>
    <t>Prior-year adjusted EBITDA (memo)</t>
  </si>
  <si>
    <t>Adjusted EBITDA margin</t>
  </si>
  <si>
    <t>Adjusted EBITDA, as reported</t>
  </si>
  <si>
    <t>Check: computed - reported adjusted EBITDA</t>
  </si>
  <si>
    <t>Memo: 1H25 as reported (six months ended 30-Jun-25), used to build FY25 = 1H25 + 3Q25 + 4Q25</t>
  </si>
  <si>
    <t>2Q26 earnings release, six months 2025 column (S09)</t>
  </si>
  <si>
    <t>SG&amp;A</t>
  </si>
  <si>
    <t>Engineering</t>
  </si>
  <si>
    <t>Other income, net</t>
  </si>
  <si>
    <t>Noncontrolling interest</t>
  </si>
  <si>
    <t>Restructuring adj.</t>
  </si>
  <si>
    <t>Transaction costs adj. (operating)</t>
  </si>
  <si>
    <t>Transaction items in interest &amp; other</t>
  </si>
  <si>
    <t>D&amp;A (EBITDA basis)</t>
  </si>
  <si>
    <t>EBITDA add-backs</t>
  </si>
  <si>
    <t>Balance Sheet</t>
  </si>
  <si>
    <t>Assets</t>
  </si>
  <si>
    <t>Cash, cash equivalents &amp; restricted cash</t>
  </si>
  <si>
    <t>Condensed balance sheet, earnings releases; FY25A = 31-Dec-25</t>
  </si>
  <si>
    <t>Receivables, net</t>
  </si>
  <si>
    <t>Inventories, net</t>
  </si>
  <si>
    <t>Other current assets</t>
  </si>
  <si>
    <t>Total current assets</t>
  </si>
  <si>
    <t>Property, plant &amp; equipment, net</t>
  </si>
  <si>
    <t>Goodwill</t>
  </si>
  <si>
    <t>Other intangible assets, net</t>
  </si>
  <si>
    <t>Other noncurrent assets</t>
  </si>
  <si>
    <t>Total assets</t>
  </si>
  <si>
    <t>Total assets, as reported</t>
  </si>
  <si>
    <t>Check: computed - reported total assets</t>
  </si>
  <si>
    <t>Liabilities and equity</t>
  </si>
  <si>
    <t>Current liabilities</t>
  </si>
  <si>
    <t>Long-term debt</t>
  </si>
  <si>
    <t>Other long-term liabilities</t>
  </si>
  <si>
    <t>Total liabilities</t>
  </si>
  <si>
    <t>Shareholders' equity</t>
  </si>
  <si>
    <t>3Q26E roll-forward: + NI attributable + dividends + buybacks + other non-cash (SBC) + other financing + FX</t>
  </si>
  <si>
    <t>Total equity</t>
  </si>
  <si>
    <t>Total liabilities and equity</t>
  </si>
  <si>
    <t>Check: assets - liabilities - equity</t>
  </si>
  <si>
    <t>Balance sheet metrics</t>
  </si>
  <si>
    <t>Total debt (memo)</t>
  </si>
  <si>
    <t>Total debt per earnings release (incl. current portion within current liabilities)</t>
  </si>
  <si>
    <t>Net debt</t>
  </si>
  <si>
    <t>Prior-year total debt (memo)</t>
  </si>
  <si>
    <t>31-Dec-24 = long-term debt $3,480m + current portion $500m (FY25 10-K); other prior-year quarter-end debt not in sources reviewed (n.d.)</t>
  </si>
  <si>
    <t>Prior-year cash (memo)</t>
  </si>
  <si>
    <t>Net debt Y/Y change ($)</t>
  </si>
  <si>
    <t>Net debt Q/Q change ($)</t>
  </si>
  <si>
    <t>Days sales outstanding</t>
  </si>
  <si>
    <t>Receivables / period net sales x days in period</t>
  </si>
  <si>
    <t>Y/Y change (days)</t>
  </si>
  <si>
    <t>FY24 receivables $1,702m (10-K); prior-year quarter-end balances not in model (n.d.)</t>
  </si>
  <si>
    <t>Prior-year receivables (memo, 31-Dec-24)</t>
  </si>
  <si>
    <t>Q/Q change (days)</t>
  </si>
  <si>
    <t>Days inventory outstanding</t>
  </si>
  <si>
    <t>FY24 prior-year DSO (D40) and DIO (D44) use the FY24 day count derived from period-end dates (366, leap year)</t>
  </si>
  <si>
    <t>Prior-year inventories (memo, 31-Dec-24)</t>
  </si>
  <si>
    <t>Prior-year cost of sales (memo, FY24)</t>
  </si>
  <si>
    <t>Cash Flow Statement</t>
  </si>
  <si>
    <t>Operating activities</t>
  </si>
  <si>
    <t>Non-cash expense (D&amp;A, SBC, other)</t>
  </si>
  <si>
    <t>Memo: of which other non-cash items, already in row 10 (3Q26E)</t>
  </si>
  <si>
    <t>1H26 non-cash $310m less D&amp;A $279m = $31m (~$15m/qtr); 3Q26E $10m. G10 = IS D&amp;A (G158) + G11 and G16 sums G10 only, so G11 is not double-counted</t>
  </si>
  <si>
    <t>Receivables (3Q26E: assumption)</t>
  </si>
  <si>
    <t>Inventories (3Q26E: assumption)</t>
  </si>
  <si>
    <t>Accounts payable (3Q26E: assumption)</t>
  </si>
  <si>
    <t>Other operating activities (3Q26E: assumption)</t>
  </si>
  <si>
    <t>Net cash provided by operating activities</t>
  </si>
  <si>
    <t>CFO derived from YTD as reported (memo)</t>
  </si>
  <si>
    <t>Check: operating components - CFO</t>
  </si>
  <si>
    <t>Prior-year CFO (memo)</t>
  </si>
  <si>
    <t>3Q24/4Q24/FY24/1Q25/2Q25 cash from operations per earnings releases</t>
  </si>
  <si>
    <t>Investing activities</t>
  </si>
  <si>
    <t>Purchase of property, plant &amp; equipment (capex)</t>
  </si>
  <si>
    <t>Capex as % of sales assumption (3Q26E)</t>
  </si>
  <si>
    <t>FY26 guidance: capex ~2% of sales (S10)</t>
  </si>
  <si>
    <t>Acquisitions, net of cash acquired (3Q26E assumption: none)</t>
  </si>
  <si>
    <t>Other investing activities (history derived; 3Q26E assumption)</t>
  </si>
  <si>
    <t>Net cash used for investing activities</t>
  </si>
  <si>
    <t>CFI derived from YTD as reported (memo)</t>
  </si>
  <si>
    <t>Financing activities</t>
  </si>
  <si>
    <t>Net debt issuance / (repayment)</t>
  </si>
  <si>
    <t>3Q26E: -$100m paydown from free cash flow (assumption)</t>
  </si>
  <si>
    <t>Proceeds from debt (memo, derived from YTD)</t>
  </si>
  <si>
    <t>Payments of debt (memo, derived from YTD)</t>
  </si>
  <si>
    <t>Repurchase of stock</t>
  </si>
  <si>
    <t>Cash dividends</t>
  </si>
  <si>
    <t>Other financing activities (history derived; 3Q26E assumption)</t>
  </si>
  <si>
    <t>Tax withholding on share-based comp, NCI distributions; 3Q26E -$5m</t>
  </si>
  <si>
    <t>Net cash provided by (used for) financing activities</t>
  </si>
  <si>
    <t>CFF derived from YTD as reported (memo)</t>
  </si>
  <si>
    <t>Effect of exchange rates on cash (3Q26E assumption: nil)</t>
  </si>
  <si>
    <t>Increase / (decrease) in cash</t>
  </si>
  <si>
    <t>Cash, equivalents &amp; restricted cash, beginning</t>
  </si>
  <si>
    <t>3Q25 opening = 30-Jun-25 balance (2Q25 release); FY opening = 31-Dec-24</t>
  </si>
  <si>
    <t>Cash, equivalents &amp; restricted cash, ending</t>
  </si>
  <si>
    <t>Balance sheet cash (link)</t>
  </si>
  <si>
    <t>Check: ending cash - balance sheet cash</t>
  </si>
  <si>
    <t>Cash flow metrics</t>
  </si>
  <si>
    <t>Free cash flow (CFO less capex; not issuer-defined)</t>
  </si>
  <si>
    <t>Wabtec does not guide to an FCF definition; shown as CFO less capex</t>
  </si>
  <si>
    <t>FCF margin</t>
  </si>
  <si>
    <t>Prior-year quarterly capex not in model: history n.d.</t>
  </si>
  <si>
    <t>2Q25 quarterly cash flow not in model: 3Q25A n.d.</t>
  </si>
  <si>
    <t>Capex as % of net sales</t>
  </si>
  <si>
    <t>D&amp;A incl. deferred debt cost amortization (cash-conversion basis)</t>
  </si>
  <si>
    <t>Deferred debt-cost amortization (3Q26E assumption)</t>
  </si>
  <si>
    <t>Cash-conversion D&amp;A has run ~$1-3m above EBITDA D&amp;A</t>
  </si>
  <si>
    <t>D&amp;A cash-conversion basis, 1H25 (memo)</t>
  </si>
  <si>
    <t>Operating cash flow conversion (issuer: CFO / (net income + D&amp;A))</t>
  </si>
  <si>
    <t>FY26 guidance &gt;90% (long-term framework)</t>
  </si>
  <si>
    <t>Cash conversion, as reported</t>
  </si>
  <si>
    <t>YTD cash flow as reported (10-Q/10-K) used to derive discrete quarters</t>
  </si>
  <si>
    <t>Net income, YTD as reported</t>
  </si>
  <si>
    <t>Columns: 9M25 | FY25 | FY25 | 3M26 | 6M26 (S03-S11)</t>
  </si>
  <si>
    <t>Net income, 6M25 YTD (memo)</t>
  </si>
  <si>
    <t>Non-cash expense (D&amp;A, SBC, other), YTD as reported</t>
  </si>
  <si>
    <t>Non-cash expense (D&amp;A, SBC, other), 6M25 YTD (memo)</t>
  </si>
  <si>
    <t>Receivables, YTD as reported</t>
  </si>
  <si>
    <t>Receivables, 6M25 YTD (memo)</t>
  </si>
  <si>
    <t>Inventories, YTD as reported</t>
  </si>
  <si>
    <t>Inventories, 6M25 YTD (memo)</t>
  </si>
  <si>
    <t>Accounts payable, YTD as reported</t>
  </si>
  <si>
    <t>Accounts payable, 6M25 YTD (memo)</t>
  </si>
  <si>
    <t>Other operating activities, YTD as reported</t>
  </si>
  <si>
    <t>Other operating activities, 6M25 YTD (memo)</t>
  </si>
  <si>
    <t>Net cash provided by operating activities, YTD as reported</t>
  </si>
  <si>
    <t>Net cash provided by operating activities, 6M25 YTD (memo)</t>
  </si>
  <si>
    <t>Capex, YTD as reported</t>
  </si>
  <si>
    <t>Capex, 6M25 YTD (memo)</t>
  </si>
  <si>
    <t>Acquisitions, net, YTD as reported</t>
  </si>
  <si>
    <t>Acquisitions, net, 6M25 YTD (memo)</t>
  </si>
  <si>
    <t>Net cash used for investing, YTD as reported</t>
  </si>
  <si>
    <t>Net cash used for investing, 6M25 YTD (memo)</t>
  </si>
  <si>
    <t>Proceeds from debt, YTD as reported</t>
  </si>
  <si>
    <t>Proceeds from debt, 6M25 YTD (memo)</t>
  </si>
  <si>
    <t>Payments of debt, YTD as reported</t>
  </si>
  <si>
    <t>Payments of debt, 6M25 YTD (memo)</t>
  </si>
  <si>
    <t>Repurchase of stock, YTD as reported</t>
  </si>
  <si>
    <t>Repurchase of stock, 6M25 YTD (memo)</t>
  </si>
  <si>
    <t>Cash dividends, YTD as reported</t>
  </si>
  <si>
    <t>Cash dividends, 6M25 YTD (memo)</t>
  </si>
  <si>
    <t>Net cash from financing, YTD as reported</t>
  </si>
  <si>
    <t>Net cash from financing, 6M25 YTD (memo)</t>
  </si>
  <si>
    <t>FX effect on cash, YTD as reported</t>
  </si>
  <si>
    <t>FX effect on cash, 6M25 YTD (memo)</t>
  </si>
  <si>
    <t>Geo</t>
  </si>
  <si>
    <t>Net sales by shipment destination (10-K Note 19; annual disclosure only)</t>
  </si>
  <si>
    <t>United States</t>
  </si>
  <si>
    <t>FY25 10-K geographic data (S06, R97)</t>
  </si>
  <si>
    <t>FY24 (memo)</t>
  </si>
  <si>
    <t>% of total</t>
  </si>
  <si>
    <t>Unavailable: issuer does not split M&amp;A, FX or organic growth by geography</t>
  </si>
  <si>
    <t>Canada</t>
  </si>
  <si>
    <t>Mexico</t>
  </si>
  <si>
    <t>North America</t>
  </si>
  <si>
    <t>South America</t>
  </si>
  <si>
    <t>France</t>
  </si>
  <si>
    <t>Germany</t>
  </si>
  <si>
    <t>United Kingdom</t>
  </si>
  <si>
    <t>Italy</t>
  </si>
  <si>
    <t>Other Europe</t>
  </si>
  <si>
    <t>Europe</t>
  </si>
  <si>
    <t>India</t>
  </si>
  <si>
    <t>Australia / New Zealand</t>
  </si>
  <si>
    <t>Kazakhstan / CIS</t>
  </si>
  <si>
    <t>China</t>
  </si>
  <si>
    <t>Other Asia / Middle East</t>
  </si>
  <si>
    <t>Africa</t>
  </si>
  <si>
    <t>Total net sales (geographic)</t>
  </si>
  <si>
    <t>Revenue summary total net sales (link)</t>
  </si>
  <si>
    <t>Check: geographic total - Revenue summary total</t>
  </si>
  <si>
    <t>Quarterly columns and 3Q26E: unavailable (not disclosed quarterly; not forecast)</t>
  </si>
  <si>
    <t>10-Qs checked (3Q25, 1Q26, 2Q26) do not disclose sales by geography</t>
  </si>
  <si>
    <t>Share Count</t>
  </si>
  <si>
    <t>Weighted average shares (millions)</t>
  </si>
  <si>
    <t>Opening shares outstanding (3Q26E)</t>
  </si>
  <si>
    <t>Equals shares outstanding at 17-Jul-26 (2Q26 10-Q cover). Convention (unresolved): 30-Jun-26 count not in model; any 1-17 Jul repurchases may be partly double-counted by the half-quarter buyback weighting in G20 (~+$0.001 EPS sensitivity)</t>
  </si>
  <si>
    <t>Share repurchases ($m)</t>
  </si>
  <si>
    <t>10-Q/10-K cash flow; 3Q26E assumption $200m (1H26 avg $228m/qtr; $760m authorization remaining at 30-Jun-26, S11)</t>
  </si>
  <si>
    <t>Average repurchase price ($/share)</t>
  </si>
  <si>
    <t>3Q26E: ~$287 = average of Jul/Aug/Sep 2026 month-end closes ($290.56/$285.93/$287.18, S32)</t>
  </si>
  <si>
    <t>Shares repurchased (m)</t>
  </si>
  <si>
    <t>Equity statements; 2Q26 = 817,959 shares (S11); 4Q25 C12 = FY25 1.1m less 9M25 0.7m, both rounded to 0.1m in source, so 0.4m and C11 $187.50 are indicative only (range ~$167-$214), not exact transactions</t>
  </si>
  <si>
    <t>Shares repurchased, 9M25 (memo)</t>
  </si>
  <si>
    <t>Shares issued under employee plans (3Q26E assumption)</t>
  </si>
  <si>
    <t>Historical issuance not separately disclosed per quarter (n.d.)</t>
  </si>
  <si>
    <t>Mid-period weighting factor for repurchases/issuance (3Q26E)</t>
  </si>
  <si>
    <t>Assumes buybacks/issuance spread evenly through the quarter</t>
  </si>
  <si>
    <t>Shares outstanding (period-end / latest cover date)</t>
  </si>
  <si>
    <t>3Q25: 17-Oct-25 cover; 4Q25: 31-Dec-25 balance sheet; 1Q26: 17-Apr-26 cover; 2Q26: 17-Jul-26 cover</t>
  </si>
  <si>
    <t>Prior-year shares outstanding (memo)</t>
  </si>
  <si>
    <t>31-Dec-24 171.3m (FY25 10-K); prior-year cover-date counts not in model (n.d.); 3Q26E Y/Y compares the 30-Sep-26 estimate with the 17-Oct-25 cover count (snapshot, not period end)</t>
  </si>
  <si>
    <t>Y/Y change (m)</t>
  </si>
  <si>
    <t>Q/Q change (m)</t>
  </si>
  <si>
    <t>Weighted average basic shares</t>
  </si>
  <si>
    <t>3Q26E: opening less half-period weighting of repurchases plus issuance</t>
  </si>
  <si>
    <t>Dilutive securities</t>
  </si>
  <si>
    <t>3Q26E: 0.5m, in line with 2Q26 (0.5m)</t>
  </si>
  <si>
    <t>Weighted average diluted shares</t>
  </si>
  <si>
    <t>Diluted share count behind the 3Q26E EPS</t>
  </si>
  <si>
    <t>Dividends</t>
  </si>
  <si>
    <t>Dividend declared per share ($)</t>
  </si>
  <si>
    <t>$0.31 declared 15-Jul-26 (paid 1-Sep-26) and 14-Oct-26 (S33)</t>
  </si>
  <si>
    <t>Cash dividends paid ($m)</t>
  </si>
  <si>
    <t>EPS share-count tie-out (3Q26E)</t>
  </si>
  <si>
    <t>Adjusted net income attributable ($m)</t>
  </si>
  <si>
    <t>Adjusted EPS = adjusted NI / diluted shares</t>
  </si>
  <si>
    <t>Check: equals Income Statement adjusted EPS</t>
  </si>
  <si>
    <t>Guidance</t>
  </si>
  <si>
    <t>Reference tab: the period band in rows 4-6 is a template header only; columns below are not financial periods (see row 8 column headers)</t>
  </si>
  <si>
    <t>Metric</t>
  </si>
  <si>
    <t>Date given</t>
  </si>
  <si>
    <t>Low</t>
  </si>
  <si>
    <t>High</t>
  </si>
  <si>
    <t>Midpoint</t>
  </si>
  <si>
    <t>Actual</t>
  </si>
  <si>
    <t>vs midpoint</t>
  </si>
  <si>
    <t>Revenue ($m)</t>
  </si>
  <si>
    <t>FY2025</t>
  </si>
  <si>
    <t>Beat</t>
  </si>
  <si>
    <t>S14</t>
  </si>
  <si>
    <t>Adjusted diluted EPS ($)</t>
  </si>
  <si>
    <t>Operating cash flow conversion</t>
  </si>
  <si>
    <t>S15</t>
  </si>
  <si>
    <t>S16</t>
  </si>
  <si>
    <t>S03</t>
  </si>
  <si>
    <t>FY2026</t>
  </si>
  <si>
    <t>pending</t>
  </si>
  <si>
    <t>S05</t>
  </si>
  <si>
    <t>S07</t>
  </si>
  <si>
    <t>S09</t>
  </si>
  <si>
    <t>Tax rate (~)</t>
  </si>
  <si>
    <t>S10</t>
  </si>
  <si>
    <t>Capex as % of sales (~)</t>
  </si>
  <si>
    <t>Adjusted operating margin change Y/Y (pts, call commentary)</t>
  </si>
  <si>
    <t>3Q2026</t>
  </si>
  <si>
    <t>S12 | Column G Actual intentionally blank until reported (not a model estimate). Model 3Q26E adjusted operating margin change (+71 bps) is a memo at Income Statement!G125</t>
  </si>
  <si>
    <t>Guidance-implied 2H26 vs model (FY26 guidance midpoint less 1H26 actual)</t>
  </si>
  <si>
    <t>FY26 revenue guidance midpoint ($m)</t>
  </si>
  <si>
    <t>1H26 net sales, actual ($m)</t>
  </si>
  <si>
    <t>2H26 implied net sales ($m)</t>
  </si>
  <si>
    <t>3Q26E net sales, model ($m)</t>
  </si>
  <si>
    <t>3Q26E as % of 2H26 implied</t>
  </si>
  <si>
    <t>FY26 adjusted EPS guidance midpoint ($)</t>
  </si>
  <si>
    <t>1H26 adjusted diluted EPS, issuer-reported YTD ($)</t>
  </si>
  <si>
    <t>Issuer-reported 1H26 YTD adjusted diluted EPS $5.46 (S09 2Q26 release, Appendix D YTD reconciliation; 170.1m diluted shares). Sum of quarters 2.71 + 2.76 = 5.47 differs because denominators differ</t>
  </si>
  <si>
    <t>2H26 implied adjusted EPS ($)</t>
  </si>
  <si>
    <t>Approximate: per-share periods with different share counts are not strictly additive; not an exact 2H26/4Q26 EPS forecast. Memo outside scored EPS</t>
  </si>
  <si>
    <t>3Q26E adjusted EPS, model ($)</t>
  </si>
  <si>
    <t>FY25 record: final adjusted EPS vs initial guidance midpoint ($)</t>
  </si>
  <si>
    <t>Conservative guider: FY25 adjusted EPS finished $0.42 above the Feb-25 midpoint; guidance raised at every quarterly report since</t>
  </si>
  <si>
    <t>Sources</t>
  </si>
  <si>
    <t>ID / source</t>
  </si>
  <si>
    <t>Published</t>
  </si>
  <si>
    <t>Publisher</t>
  </si>
  <si>
    <t>Feeds</t>
  </si>
  <si>
    <t>URL or file</t>
  </si>
  <si>
    <t>S01  WAB_history.csv (CapIQ six-quarter EPS/revenue history)</t>
  </si>
  <si>
    <t>S&amp;P Capital IQ</t>
  </si>
  <si>
    <t>Inputs C; checks on IS/RS</t>
  </si>
  <si>
    <t>file: WAB_history.csv (sha256 ee44ba51...)</t>
  </si>
  <si>
    <t>S02  WAB_consensus.json (CapIQ consensus snapshot, frozen scoring baseline)</t>
  </si>
  <si>
    <t>Inputs A-B; Cover consensus</t>
  </si>
  <si>
    <t>file: WAB_consensus.json (sha256 64c2a1bf...)</t>
  </si>
  <si>
    <t>S03  3Q25 earnings release (8-K Ex.99.1)</t>
  </si>
  <si>
    <t>Wabtec / SEC</t>
  </si>
  <si>
    <t>All tabs 3Q25A; FY25 guidance</t>
  </si>
  <si>
    <t>https://www.sec.gov/Archives/edgar/data/943452/000162828025045773/a3q25pressreleaseword.htm</t>
  </si>
  <si>
    <t>S04  3Q25 Form 10-Q</t>
  </si>
  <si>
    <t>Organic by product line; 9M cash flow; goods/services</t>
  </si>
  <si>
    <t>https://www.sec.gov/Archives/edgar/data/943452/000162828025045790/wab-20250930.htm</t>
  </si>
  <si>
    <t>S05  4Q25 earnings release; FY26 guidance</t>
  </si>
  <si>
    <t>4Q25A, FY25A; Guidance</t>
  </si>
  <si>
    <t>https://www.sec.gov/Archives/edgar/data/943452/000162828026007113/a4q2025pressrelease.htm</t>
  </si>
  <si>
    <t>S06  FY25 Form 10-K (incl. XBRL R7 cash flow, R97 geography)</t>
  </si>
  <si>
    <t>FY25 CF detail, Geo, goods/services</t>
  </si>
  <si>
    <t>https://www.sec.gov/Archives/edgar/data/943452/000162828026008067/wab-20251231.htm</t>
  </si>
  <si>
    <t>S07  1Q26 earnings release</t>
  </si>
  <si>
    <t>1Q26A all tabs; Guidance</t>
  </si>
  <si>
    <t>https://www.sec.gov/Archives/edgar/data/943452/000162828026026384/a1q26pressreleaseword.htm</t>
  </si>
  <si>
    <t>S08  1Q26 Form 10-Q</t>
  </si>
  <si>
    <t>Capex, buybacks, organic by product line</t>
  </si>
  <si>
    <t>https://www.sec.gov/Archives/edgar/data/943452/000162828026026422/wab-20260331.htm</t>
  </si>
  <si>
    <t>S09  2Q26 earnings release (incl. 1H25 comparatives)</t>
  </si>
  <si>
    <t>2Q26A all tabs; 1H25 memo; Guidance</t>
  </si>
  <si>
    <t>https://www.sec.gov/Archives/edgar/data/943452/000162828026049105/a2q26pressreleaseword.htm</t>
  </si>
  <si>
    <t>S10  2Q26 earnings presentation (guidance assumptions)</t>
  </si>
  <si>
    <t>Tax ~24.5%, capex ~2% of sales</t>
  </si>
  <si>
    <t>https://www.sec.gov/Archives/edgar/data/943452/000162828026049105/a2q26earningspresentatio.htm</t>
  </si>
  <si>
    <t>S11  2Q26 Form 10-Q</t>
  </si>
  <si>
    <t>Cash flow, buybacks, shares outstanding</t>
  </si>
  <si>
    <t>https://www.sec.gov/Archives/edgar/data/943452/000162828026049139/wab-20260630.htm</t>
  </si>
  <si>
    <t>S12  2Q26 earnings call transcript</t>
  </si>
  <si>
    <t>StockAnalysis (transcript)</t>
  </si>
  <si>
    <t>3Q cadence, margins, product lines</t>
  </si>
  <si>
    <t>https://stockanalysis.com/stocks/wab/transcripts/652927-q2-2026/</t>
  </si>
  <si>
    <t>S13  Third-quarter 2026 earnings release date announcement</t>
  </si>
  <si>
    <t>Wabtec</t>
  </si>
  <si>
    <t>Cover expected report date</t>
  </si>
  <si>
    <t>https://www.wabteccorp.com/newsroom/press-releases/wabtec-announces-third-quarter-2026-earnings-release-date</t>
  </si>
  <si>
    <t>S14  4Q24 earnings release; initial FY25 guidance</t>
  </si>
  <si>
    <t>Guidance record</t>
  </si>
  <si>
    <t>https://www.sec.gov/Archives/edgar/data/943452/000162828025005014/a4q2024pressrelease.htm</t>
  </si>
  <si>
    <t>S15  1Q25 earnings release</t>
  </si>
  <si>
    <t>https://www.sec.gov/Archives/edgar/data/943452/000162828025018921/a1q25pressreleaseword.htm</t>
  </si>
  <si>
    <t>S16  2Q25 earnings release</t>
  </si>
  <si>
    <t>Guidance record; 30-Jun-25 cash</t>
  </si>
  <si>
    <t>https://www.sec.gov/Archives/edgar/data/943452/000162828025035831/a2q25pressreleaseword.htm</t>
  </si>
  <si>
    <t>S17  Frauscher acquisition completed (EUR675m EV; ~EUR145m 2025 revenue)</t>
  </si>
  <si>
    <t>Freight M&amp;A assumption</t>
  </si>
  <si>
    <t>https://www.wabteccorp.com/newsroom/press-releases/wabtec-finalizes-frauscher-sensor-technology-group-acquisition</t>
  </si>
  <si>
    <t>S18  Inspection Technologies acquisition completed (1-Jul-25)</t>
  </si>
  <si>
    <t>Lapping of M&amp;A in 3Q26</t>
  </si>
  <si>
    <t>https://www.sec.gov/Archives/edgar/data/943452/000114036125024383/ef20051463_ex99-1.htm</t>
  </si>
  <si>
    <t>S19  Dellner Couplers acquisition completed (10-Feb-26)</t>
  </si>
  <si>
    <t>Transit M&amp;A assumption</t>
  </si>
  <si>
    <t>https://ir.wabteccorp.com/news-releases/news-release-details/wabtec-finalizes-acquisition-dellner-couplers</t>
  </si>
  <si>
    <t>S20  Zacks 3Q26 preview: product-line consensus</t>
  </si>
  <si>
    <t>Zacks via Yahoo Finance</t>
  </si>
  <si>
    <t>Street cross-check (not scoring baseline)</t>
  </si>
  <si>
    <t>https://finance.yahoo.com/markets/stocks/articles/wabtec-wab-q3-earnings-preview-121524256.html</t>
  </si>
  <si>
    <t>S21  Zacks: Wabtec gears up to report Q3 (EPS $2.72, sales $3.18bn)</t>
  </si>
  <si>
    <t>Older consensus memo (16-Oct; pre-dates frozen 18-Oct baseline; not scoring)</t>
  </si>
  <si>
    <t>https://finance.yahoo.com/markets/stocks/articles/wabtec-gears-report-q3-earnings-170800236.html</t>
  </si>
  <si>
    <t>S22  MarketBeat: expected to release earnings (EPS $2.73, rev $3.20bn)</t>
  </si>
  <si>
    <t>MarketBeat</t>
  </si>
  <si>
    <t>Older consensus memo (14-Oct; pre-dates frozen 18-Oct baseline; not scoring)</t>
  </si>
  <si>
    <t>https://www.marketbeat.com/instant-alerts/upcoming-wabtec-wab-expected-to-release-earnings-on-wednesday-2026-10-14/</t>
  </si>
  <si>
    <t>S23  Market capitalization (~$48.4bn, Oct-2026)</t>
  </si>
  <si>
    <t>companiesmarketcap / StatMuse</t>
  </si>
  <si>
    <t>Calibration size bucket</t>
  </si>
  <si>
    <t>https://companiesmarketcap.com/wabtec/marketcap/</t>
  </si>
  <si>
    <t>S24  S&amp;P 500 membership (joined 27-Feb-2019)</t>
  </si>
  <si>
    <t>S&amp;P Dow Jones Indices</t>
  </si>
  <si>
    <t>Calibration cohort</t>
  </si>
  <si>
    <t>https://press.spglobal.com/2019-02-21-Wabtec-Set-to-Join-S-P-500-and-The-Goodyear-Tire-Rubber-to-Join-S-P-MidCap-400</t>
  </si>
  <si>
    <t>S25  EUR/USD monthly averages Jul-Sep 2026 (1.142/1.159/1.151)</t>
  </si>
  <si>
    <t>currencynews.co.uk</t>
  </si>
  <si>
    <t>FX assumptions</t>
  </si>
  <si>
    <t>https://www.currencynews.co.uk/rates-history/euro-to-dollar_eurusd</t>
  </si>
  <si>
    <t>S26  AAR weekly rail traffic, week ending 26-Sep-26 (NA YTD +3.1%)</t>
  </si>
  <si>
    <t>Association of American Railroads</t>
  </si>
  <si>
    <t>Freight flow-business context</t>
  </si>
  <si>
    <t>https://ebs.publicnow.com/view/0F3645D22BCBB9AAC993961C80840765BB6AB752</t>
  </si>
  <si>
    <t>S27  Citi trims WAB target to $338 ahead of 3Q (positive price-cost)</t>
  </si>
  <si>
    <t>ad-hoc-news (Markets Insider)</t>
  </si>
  <si>
    <t>Sentiment context</t>
  </si>
  <si>
    <t>https://www.ad-hoc-news.de/boerse/news/nebenwerte/citi-cut-target-for-wabtec-stock-from-usd-341-00-to-usd-338-00/70329134</t>
  </si>
  <si>
    <t>S28  MRS Logistica ~$254m locomotive/services agreement</t>
  </si>
  <si>
    <t>Freight backlog assumption</t>
  </si>
  <si>
    <t>https://www.wabteccorp.com/newsroom/press-releases/mrs-log-stica-invests-us254m-to-strengthen-brazil-s-logistics-infrastructure-and-renew-its-fleet-with-wabtec</t>
  </si>
  <si>
    <t>S29  Greenbrier fiscal 4Q26 railcar orders (3,400 cars)</t>
  </si>
  <si>
    <t>Greenbrier</t>
  </si>
  <si>
    <t>Railcar/components context</t>
  </si>
  <si>
    <t>https://pressroom.gbrx.com/2026-09-22-Greenbrier-Announces-3,400-Railcar-Orders-Valued-at-600-Million-in-Fiscal-Fourth-Quarter</t>
  </si>
  <si>
    <t>S30  Tradestie preview: consensus $2.7354, range $2.65-$2.82; rev $3.197bn</t>
  </si>
  <si>
    <t>Tradestie</t>
  </si>
  <si>
    <t>https://tradestie.com/news/wab-earnings-oct-21-274-eps-expected-key-levels-to-watch-20261021/</t>
  </si>
  <si>
    <t>S31  Kyrgyzstan orders Wabtec freight locomotives</t>
  </si>
  <si>
    <t>Railway Gazette</t>
  </si>
  <si>
    <t>Freight orders context</t>
  </si>
  <si>
    <t>https://www.railwaygazette.com/kyrgyzstan/2026/09/24/kyrgyzstan-orders-wabtec-freight-locos/</t>
  </si>
  <si>
    <t>S32  WAB month-end closes and shares outstanding (StatMuse)</t>
  </si>
  <si>
    <t>StatMuse Money</t>
  </si>
  <si>
    <t>Buyback price assumption; market cap</t>
  </si>
  <si>
    <t>https://www.statmuse.com/money/ask/what-is-the-market-cap-of-westinghouse-air-brake-technologies</t>
  </si>
  <si>
    <t>S33  Dividend declarations ($0.31, 15-Jul-26 and 14-Oct-26)</t>
  </si>
  <si>
    <t>Share Count DPS</t>
  </si>
  <si>
    <t>https://ir.wabteccorp.com/investor-relations/financial-releases/</t>
  </si>
  <si>
    <t>Tab coverage: all standard tabs carry content; no tab omitted.</t>
  </si>
  <si>
    <t>Geo: FY25 by destination from 10-K Note 19 (S06); 10-Qs S04/S08/S11 checked - no quarterly geography disclosed.</t>
  </si>
  <si>
    <t>Publication dates are before the cutoff 2026-10-18T21:34:46Z per publisher/search-result dates (not timestamp-verified). Retrieved 2026-10-19 UTC; retrieved copies are not frozen snapshots. S30 URL slug '-20261021' is the report date.</t>
  </si>
  <si>
    <t>Target-quarter (3Q26) results not released before cutoff (issuer date 21-Oct-26, S13); no actuals seen.</t>
  </si>
  <si>
    <t>Inputs</t>
  </si>
  <si>
    <t>A. CapIQ summary row, raw (WAB_consensus.json -&gt; summary_row); blank source values preserved as empty cells</t>
  </si>
  <si>
    <t>Field</t>
  </si>
  <si>
    <t>Value</t>
  </si>
  <si>
    <t>ticker</t>
  </si>
  <si>
    <t>WAB</t>
  </si>
  <si>
    <t>company_name</t>
  </si>
  <si>
    <t>Westinghouse Air Brake Technologies Corporation</t>
  </si>
  <si>
    <t>exchange_ticker</t>
  </si>
  <si>
    <t>NYSE:WAB</t>
  </si>
  <si>
    <t>capiq_company_id</t>
  </si>
  <si>
    <t>currency_basis</t>
  </si>
  <si>
    <t>USD</t>
  </si>
  <si>
    <t>fiscal_year_end</t>
  </si>
  <si>
    <t>Dec-31</t>
  </si>
  <si>
    <t>fiscal_quarter</t>
  </si>
  <si>
    <t>FQ3 2026 - Sep 2026</t>
  </si>
  <si>
    <t>quarter_end_date</t>
  </si>
  <si>
    <t>expected_report_date</t>
  </si>
  <si>
    <t>eps_basis</t>
  </si>
  <si>
    <t>normalized diluted and GAAP diluted, as labelled</t>
  </si>
  <si>
    <t>eps_normalized_estimates</t>
  </si>
  <si>
    <t>eps_normalized_contributors</t>
  </si>
  <si>
    <t>detail_tab_total_contributors</t>
  </si>
  <si>
    <t>blank in source</t>
  </si>
  <si>
    <t>eps_normalized_mean</t>
  </si>
  <si>
    <t>eps_normalized_median</t>
  </si>
  <si>
    <t>eps_normalized_high</t>
  </si>
  <si>
    <t>eps_normalized_low</t>
  </si>
  <si>
    <t>eps_normalized_std_dev</t>
  </si>
  <si>
    <t>eps_normalized_n_est</t>
  </si>
  <si>
    <t>eps_normalized_guidance</t>
  </si>
  <si>
    <t>eps_normalized_guidance_low</t>
  </si>
  <si>
    <t>eps_normalized_guidance_high</t>
  </si>
  <si>
    <t>eps_gaap_mean</t>
  </si>
  <si>
    <t>eps_gaap_median</t>
  </si>
  <si>
    <t>eps_gaap_high</t>
  </si>
  <si>
    <t>eps_gaap_low</t>
  </si>
  <si>
    <t>eps_gaap_std_dev</t>
  </si>
  <si>
    <t>eps_gaap_n_est</t>
  </si>
  <si>
    <t>eps_gaap_guidance</t>
  </si>
  <si>
    <t>eps_gaap_guidance_low</t>
  </si>
  <si>
    <t>eps_gaap_guidance_high</t>
  </si>
  <si>
    <t>revenue_mean</t>
  </si>
  <si>
    <t>revenue_median</t>
  </si>
  <si>
    <t>revenue_high</t>
  </si>
  <si>
    <t>revenue_low</t>
  </si>
  <si>
    <t>revenue_std_dev</t>
  </si>
  <si>
    <t>revenue_n_est</t>
  </si>
  <si>
    <t>revenue_guidance</t>
  </si>
  <si>
    <t>revenue_guidance_low</t>
  </si>
  <si>
    <t>revenue_guidance_high</t>
  </si>
  <si>
    <t>ebitda</t>
  </si>
  <si>
    <t>ebit</t>
  </si>
  <si>
    <t>ebt_excl_excep</t>
  </si>
  <si>
    <t>ebt_gaap</t>
  </si>
  <si>
    <t>net_income_excl_excep</t>
  </si>
  <si>
    <t>net_income_gaap</t>
  </si>
  <si>
    <t>gross_margin_pct</t>
  </si>
  <si>
    <t>effective_tax_rate_pct</t>
  </si>
  <si>
    <t>d_and_a</t>
  </si>
  <si>
    <t>capex</t>
  </si>
  <si>
    <t>cfo</t>
  </si>
  <si>
    <t>fcf</t>
  </si>
  <si>
    <t>interest_expense</t>
  </si>
  <si>
    <t>net_debt</t>
  </si>
  <si>
    <t>nav</t>
  </si>
  <si>
    <t>roe_pct</t>
  </si>
  <si>
    <t>target_price_mean</t>
  </si>
  <si>
    <t>target_price_median</t>
  </si>
  <si>
    <t>target_price_high</t>
  </si>
  <si>
    <t>target_price_low</t>
  </si>
  <si>
    <t>target_price_std_dev</t>
  </si>
  <si>
    <t>target_price_n_est</t>
  </si>
  <si>
    <t>recommendation</t>
  </si>
  <si>
    <t>Buy</t>
  </si>
  <si>
    <t>recommendation_score</t>
  </si>
  <si>
    <t>last_close_price</t>
  </si>
  <si>
    <t>wk52_high_low</t>
  </si>
  <si>
    <t>306.64/186.06</t>
  </si>
  <si>
    <t>estimates_captured_at</t>
  </si>
  <si>
    <t>notes</t>
  </si>
  <si>
    <t>a GAAP EPS "Guidance 0.31" value looks like a different line item and was excluded</t>
  </si>
  <si>
    <t>B. CapIQ consensus file, top-level fields</t>
  </si>
  <si>
    <t>source</t>
  </si>
  <si>
    <t>company</t>
  </si>
  <si>
    <t>fiscal_period</t>
  </si>
  <si>
    <t>period_end_date</t>
  </si>
  <si>
    <t>as_of_date</t>
  </si>
  <si>
    <t>analyst_count</t>
  </si>
  <si>
    <t>consensus_eps</t>
  </si>
  <si>
    <t>Normalized diluted EPS per ordinary/common share, USD; verify issuer adjustments and share identity</t>
  </si>
  <si>
    <t>consensus_revenue_m</t>
  </si>
  <si>
    <t>currency</t>
  </si>
  <si>
    <t>summary_sha256</t>
  </si>
  <si>
    <t>e59b846434f90c9b5de8c2ed951fd1b25c1f6d0217c680f72dea41992051a49d</t>
  </si>
  <si>
    <t>captured_precision</t>
  </si>
  <si>
    <t>date only, user confirmed</t>
  </si>
  <si>
    <t>currency_units_status</t>
  </si>
  <si>
    <t>metric_units.eps_currency</t>
  </si>
  <si>
    <t>metric_units.eps_share_unit</t>
  </si>
  <si>
    <t>diluted ordinary/common share</t>
  </si>
  <si>
    <t>metric_units.revenue_currency</t>
  </si>
  <si>
    <t>metric_units.financial_amount_scale</t>
  </si>
  <si>
    <t>millions</t>
  </si>
  <si>
    <t>target_manifest.targets</t>
  </si>
  <si>
    <t>total_revenue, net_income_to_common, normalized_diluted_eps, gaap_diluted_eps, diluted_shares, revenue_growth, material_segment_revenue, operating_income, operating_margin, gross_profit, gross_margin, issuer_defined_ebitda, organic_revenue_growth, operating_cash_flow, capital_expenditures, issuer_defined_free_cash_flow</t>
  </si>
  <si>
    <t>target_manifest.policy</t>
  </si>
  <si>
    <t>Track applicable disclosed lines; record unavailable/not applicable with a reason. Only normalized EPS is scored.</t>
  </si>
  <si>
    <t>C. WAB_history.csv, raw (6 rows; columns A-H as in file)</t>
  </si>
  <si>
    <t>report_date</t>
  </si>
  <si>
    <t>eps_normalized_consensus</t>
  </si>
  <si>
    <t>eps_normalized_actual</t>
  </si>
  <si>
    <t>eps_gaap_consensus</t>
  </si>
  <si>
    <t>eps_gaap_actual</t>
  </si>
  <si>
    <t>revenue_m_consensus</t>
  </si>
  <si>
    <t>revenue_m_actual</t>
  </si>
  <si>
    <t>D. Linked history fields used by the model (formulas into section C)</t>
  </si>
  <si>
    <t>Q1 2025-03-31 normalized EPS consensus</t>
  </si>
  <si>
    <t>Q1 2025-03-31 normalized EPS actual</t>
  </si>
  <si>
    <t>Q1 2025-03-31 GAAP EPS actual</t>
  </si>
  <si>
    <t>Q1 2025-03-31 revenue actual ($m)</t>
  </si>
  <si>
    <t>Q2 2025-06-30 normalized EPS consensus</t>
  </si>
  <si>
    <t>Q2 2025-06-30 normalized EPS actual</t>
  </si>
  <si>
    <t>Q2 2025-06-30 GAAP EPS actual</t>
  </si>
  <si>
    <t>Q2 2025-06-30 revenue actual ($m)</t>
  </si>
  <si>
    <t>Q3 2025-09-30 normalized EPS consensus</t>
  </si>
  <si>
    <t>Q3 2025-09-30 normalized EPS actual</t>
  </si>
  <si>
    <t>Q3 2025-09-30 GAAP EPS actual</t>
  </si>
  <si>
    <t>Q3 2025-09-30 revenue actual ($m)</t>
  </si>
  <si>
    <t>Q4 2025-12-31 normalized EPS consensus</t>
  </si>
  <si>
    <t>Q4 2025-12-31 normalized EPS actual</t>
  </si>
  <si>
    <t>Q4 2025-12-31 GAAP EPS actual</t>
  </si>
  <si>
    <t>Q4 2025-12-31 revenue actual ($m)</t>
  </si>
  <si>
    <t>Q1 2026-03-31 normalized EPS consensus</t>
  </si>
  <si>
    <t>Q1 2026-03-31 normalized EPS actual</t>
  </si>
  <si>
    <t>Q1 2026-03-31 GAAP EPS actual</t>
  </si>
  <si>
    <t>Q1 2026-03-31 revenue actual ($m)</t>
  </si>
  <si>
    <t>Q2 2026-06-30 normalized EPS consensus</t>
  </si>
  <si>
    <t>Q2 2026-06-30 normalized EPS actual</t>
  </si>
  <si>
    <t>Q2 2026-06-30 GAAP EPS actual</t>
  </si>
  <si>
    <t>Q2 2026-06-30 revenue actual ($m)</t>
  </si>
  <si>
    <t>E. Beat-probability calibration (playbook v2: size and issuer history)</t>
  </si>
  <si>
    <t>Norm. cons.</t>
  </si>
  <si>
    <t>Norm. actual</t>
  </si>
  <si>
    <t>Surprise $</t>
  </si>
  <si>
    <t>Beat (1/0)</t>
  </si>
  <si>
    <t>Surprise %</t>
  </si>
  <si>
    <t>b = strict beats</t>
  </si>
  <si>
    <t>n = valid pairs (all six same basis: normalized = issuer adjusted EPS)</t>
  </si>
  <si>
    <t>Mean historical surprise ($/share)</t>
  </si>
  <si>
    <t>Min / max historical surprise ($/share)</t>
  </si>
  <si>
    <t>3Q25 surprise (seasonal comparable, $/share)</t>
  </si>
  <si>
    <t>Market capitalization ($bn), 16-18 Oct 2026</t>
  </si>
  <si>
    <t>168.91m shares x $286.82 close = $48.4bn (companiesmarketcap/StatMuse, S23); blank in CapIQ export</t>
  </si>
  <si>
    <t>S&amp;P 500 member (TRUE/FALSE)</t>
  </si>
  <si>
    <t>Member since 27-Feb-2019 per S&amp;P DJI inclusion release (S24, dated 21-Feb-2019). Current (Oct-2026) membership not proven by a dated pre-cutoff constituent source (unresolved); size bucket is 'large' on market cap alone (B149 &gt; B151), so B157 prior is unaffected</t>
  </si>
  <si>
    <t>Large-cap threshold ($bn, above)</t>
  </si>
  <si>
    <t>Mid-cap threshold ($bn, at or above)</t>
  </si>
  <si>
    <t>Cohort prior: large cap or S&amp;P 500</t>
  </si>
  <si>
    <t>Cohort prior: mid cap</t>
  </si>
  <si>
    <t>Cohort prior: small cap</t>
  </si>
  <si>
    <t>Size bucket</t>
  </si>
  <si>
    <t>large</t>
  </si>
  <si>
    <t>Cohort prior (applied once)</t>
  </si>
  <si>
    <t>Pseudo-observations</t>
  </si>
  <si>
    <t>Starting P(beat) = (k x prior + b) / (k + n)</t>
  </si>
  <si>
    <t>Model 3Q26E adjusted EPS (Income Statement)</t>
  </si>
  <si>
    <t>Frozen consensus EPS (CapIQ eps_normalized_mean)</t>
  </si>
  <si>
    <t>Half-cent rounding (EPS reported to $0.01; strictly above = at least consensus + $0.01)</t>
  </si>
  <si>
    <t>Strict-beat threshold for continuous model EPS</t>
  </si>
  <si>
    <t>Model EPS error s.d. ($/share)</t>
  </si>
  <si>
    <t>Judgment: historical surprise range $0.02-$0.25; CapIQ estimate s.d. $0.05</t>
  </si>
  <si>
    <t>Model-implied P(EPS &gt;= threshold) (normal)</t>
  </si>
  <si>
    <t>Weight on size/history starting probability</t>
  </si>
  <si>
    <t>Quarter-specific update: equal weight to issuer beat history and quarter-specific model distribution</t>
  </si>
  <si>
    <t>Final P(beat): judgmental 50/50 blend of B159 and B165</t>
  </si>
  <si>
    <t>Judgmental blend, distinct from the size/history prior formula (B159 = 87.4%): weight B166 = 0.5 and normal-model s.d. B164 = $0.07 are analyst judgment (unsourced). Display only; not an EPS input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</si>
</sst>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1207" formatCode="0.0%"/>
    <numFmt numFmtId="11208" formatCode="yyyy-mm-dd"/>
    <numFmt numFmtId="11210" formatCode="#,##0.0_);(#,##0.0);–_)"/>
    <numFmt numFmtId="11212" formatCode="#,##0.00_);(#,##0.00);–_)"/>
    <numFmt numFmtId="11213" formatCode="0.0%_);(0.0%);–_)"/>
    <numFmt numFmtId="11218" formatCode="$0.00"/>
    <numFmt numFmtId="11233" formatCode="#,##0_);(#,##0);–_)"/>
    <numFmt numFmtId="11245" formatCode="0.0&quot;x&quot;"/>
    <numFmt numFmtId="11262" formatCode="$0.00_);($0.00)"/>
  </numFmts>
  <fonts count="16">
    <font>
      <b val="0"/>
      <i val="0"/>
      <sz val="11"/>
      <color auto="1"/>
      <name val="Calibri"/>
    </font>
    <font>
      <b val="0"/>
      <i/>
      <sz val="10"/>
      <color rgb="FF000000"/>
      <name val="Arial"/>
    </font>
    <font>
      <b/>
      <i/>
      <sz val="10"/>
      <color rgb="FF000000"/>
      <name val="Arial"/>
    </font>
    <font>
      <b val="0"/>
      <i val="0"/>
      <sz val="10"/>
      <color rgb="FF000000"/>
      <name val="Arial"/>
    </font>
    <font>
      <b val="0"/>
      <i val="0"/>
      <sz val="10"/>
      <color rgb="FF0000FF"/>
      <name val="Arial"/>
    </font>
    <font>
      <b/>
      <i val="0"/>
      <sz val="10"/>
      <color rgb="FF000000"/>
      <name val="Arial"/>
    </font>
    <font>
      <b/>
      <i val="0"/>
      <sz val="10"/>
      <color rgb="FF0000FF"/>
      <name val="Arial"/>
    </font>
    <font>
      <b val="0"/>
      <i val="0"/>
      <sz val="10"/>
      <color rgb="FF006100"/>
      <name val="Arial"/>
    </font>
    <font>
      <b val="0"/>
      <i/>
      <sz val="10"/>
      <color rgb="FF595959"/>
      <name val="Arial"/>
    </font>
    <font>
      <b val="0"/>
      <i/>
      <sz val="10"/>
      <color rgb="FF006100"/>
      <name val="Arial"/>
    </font>
    <font>
      <b/>
      <i val="0"/>
      <sz val="12"/>
      <color rgb="FF000000"/>
      <name val="Arial"/>
    </font>
    <font>
      <b/>
      <i val="0"/>
      <sz val="11"/>
      <color rgb="FF000000"/>
      <name val="Arial"/>
    </font>
    <font>
      <b val="0"/>
      <i/>
      <sz val="10"/>
      <color rgb="FF0000FF"/>
      <name val="Arial"/>
    </font>
    <font>
      <b/>
      <i val="0"/>
      <sz val="10"/>
      <color rgb="FF006100"/>
      <name val="Arial"/>
    </font>
    <font>
      <b/>
      <i/>
      <sz val="10"/>
      <color rgb="FF006100"/>
      <name val="Arial"/>
    </font>
    <font>
      <b/>
      <i val="0"/>
      <sz val="14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E8EEF7"/>
      </patternFill>
    </fill>
  </fills>
  <borders count="6">
    <border>
      <left/>
      <right/>
      <top/>
      <bottom/>
    </border>
    <border>
      <left/>
      <right/>
      <top/>
      <bottom/>
      <diagonal/>
    </border>
    <border>
      <bottom style="thin">
        <color rgb="FF808080"/>
      </bottom>
    </border>
    <border>
      <top style="thin">
        <color rgb="FF808080"/>
      </top>
    </border>
    <border>
      <left/>
      <right/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1"/>
  </cellStyleXfs>
  <cellXfs count="105">
    <xf numFmtId="0" fontId="0" fillId="0" borderId="1" xfId="0"/>
    <xf numFmtId="0" fontId="10" fillId="0" borderId="1" xfId="0">
      <alignment horizontal="left" vertical="bottom" indent="9"/>
    </xf>
    <xf numFmtId="0" fontId="10" fillId="0" borderId="1" xfId="0">
      <alignment horizontal="left" vertical="bottom"/>
    </xf>
    <xf numFmtId="0" fontId="3" fillId="0" borderId="1" xfId="0"/>
    <xf numFmtId="0" fontId="11" fillId="0" borderId="1" xfId="0">
      <alignment horizontal="left" vertical="bottom" indent="9"/>
    </xf>
    <xf numFmtId="0" fontId="11" fillId="0" borderId="1" xfId="0">
      <alignment horizontal="left" vertical="bottom"/>
    </xf>
    <xf numFmtId="0" fontId="1" fillId="0" borderId="1" xfId="0">
      <alignment horizontal="left" vertical="bottom" indent="9"/>
    </xf>
    <xf numFmtId="0" fontId="1" fillId="0" borderId="1" xfId="0">
      <alignment horizontal="left" vertical="bottom"/>
    </xf>
    <xf numFmtId="0" fontId="3" fillId="2" borderId="4" xfId="0"/>
    <xf numFmtId="0" fontId="5" fillId="2" borderId="4" xfId="0">
      <alignment horizontal="right" vertical="bottom"/>
    </xf>
    <xf numFmtId="0" fontId="5" fillId="3" borderId="4" xfId="0">
      <alignment horizontal="right" vertical="bottom"/>
    </xf>
    <xf numFmtId="0" fontId="5" fillId="2" borderId="4" xfId="0"/>
    <xf numFmtId="0" fontId="3" fillId="2" borderId="1" xfId="0"/>
    <xf numFmtId="11208" fontId="3" fillId="2" borderId="1" xfId="0">
      <alignment horizontal="right" vertical="bottom"/>
    </xf>
    <xf numFmtId="11208" fontId="3" fillId="3" borderId="1" xfId="0">
      <alignment horizontal="right" vertical="bottom"/>
    </xf>
    <xf numFmtId="0" fontId="3" fillId="2" borderId="5" xfId="0"/>
    <xf numFmtId="1" fontId="3" fillId="2" borderId="5" xfId="0">
      <alignment horizontal="right" vertical="bottom"/>
    </xf>
    <xf numFmtId="1" fontId="3" fillId="3" borderId="5" xfId="0">
      <alignment horizontal="right" vertical="bottom"/>
    </xf>
    <xf numFmtId="0" fontId="8" fillId="0" borderId="1" xfId="0"/>
    <xf numFmtId="0" fontId="15" fillId="0" borderId="1" xfId="0">
      <alignment vertical="top"/>
    </xf>
    <xf numFmtId="0" fontId="5" fillId="0" borderId="1" xfId="0"/>
    <xf numFmtId="0" fontId="1" fillId="0" borderId="1" xfId="0">
      <alignment vertical="top" wrapText="1"/>
    </xf>
    <xf numFmtId="0" fontId="3" fillId="0" borderId="1" xfId="0">
      <alignment vertical="top" wrapText="1"/>
    </xf>
    <xf numFmtId="0" fontId="3" fillId="0" borderId="1" xfId="0">
      <alignment horizontal="left" vertical="bottom"/>
    </xf>
    <xf numFmtId="0" fontId="5" fillId="0" borderId="5" xfId="0">
      <alignment vertical="bottom" wrapText="1"/>
    </xf>
    <xf numFmtId="0" fontId="5" fillId="0" borderId="5" xfId="0">
      <alignment horizontal="right" vertical="bottom" wrapText="1"/>
    </xf>
    <xf numFmtId="11210" fontId="7" fillId="0" borderId="1" xfId="0">
      <alignment horizontal="right" vertical="bottom"/>
    </xf>
    <xf numFmtId="11210" fontId="3" fillId="0" borderId="1" xfId="0">
      <alignment horizontal="right" vertical="bottom"/>
    </xf>
    <xf numFmtId="11213" fontId="3" fillId="0" borderId="1" xfId="0">
      <alignment horizontal="right" vertical="bottom"/>
    </xf>
    <xf numFmtId="0" fontId="5" fillId="0" borderId="1" xfId="0">
      <alignment vertical="top" wrapText="1"/>
    </xf>
    <xf numFmtId="11262" fontId="13" fillId="0" borderId="1" xfId="0">
      <alignment horizontal="right" vertical="bottom"/>
    </xf>
    <xf numFmtId="11262" fontId="5" fillId="0" borderId="1" xfId="0">
      <alignment horizontal="right" vertical="bottom"/>
    </xf>
    <xf numFmtId="11213" fontId="5" fillId="0" borderId="1" xfId="0">
      <alignment horizontal="right" vertical="bottom"/>
    </xf>
    <xf numFmtId="11262" fontId="7" fillId="0" borderId="1" xfId="0">
      <alignment horizontal="right" vertical="bottom"/>
    </xf>
    <xf numFmtId="11262" fontId="3" fillId="0" borderId="1" xfId="0">
      <alignment horizontal="right" vertical="bottom"/>
    </xf>
    <xf numFmtId="11213" fontId="9" fillId="0" borderId="1" xfId="0">
      <alignment horizontal="right" vertical="bottom"/>
    </xf>
    <xf numFmtId="11233" fontId="1" fillId="0" borderId="1" xfId="0">
      <alignment horizontal="right" vertical="bottom"/>
    </xf>
    <xf numFmtId="11213" fontId="1" fillId="0" borderId="1" xfId="0">
      <alignment horizontal="right" vertical="bottom"/>
    </xf>
    <xf numFmtId="0" fontId="8" fillId="0" borderId="1" xfId="0">
      <alignment vertical="top" wrapText="1"/>
    </xf>
    <xf numFmtId="1" fontId="13" fillId="0" borderId="1" xfId="0">
      <alignment horizontal="right" vertical="bottom"/>
    </xf>
    <xf numFmtId="0" fontId="5" fillId="0" borderId="1" xfId="0">
      <alignment horizontal="left" vertical="bottom"/>
    </xf>
    <xf numFmtId="0" fontId="2" fillId="0" borderId="1" xfId="0">
      <alignment vertical="top" wrapText="1"/>
    </xf>
    <xf numFmtId="11207" fontId="14" fillId="0" borderId="1" xfId="0">
      <alignment horizontal="right" vertical="bottom"/>
    </xf>
    <xf numFmtId="11207" fontId="2" fillId="0" borderId="1" xfId="0">
      <alignment horizontal="right" vertical="bottom"/>
    </xf>
    <xf numFmtId="1" fontId="5" fillId="0" borderId="1" xfId="0">
      <alignment horizontal="right" vertical="bottom"/>
    </xf>
    <xf numFmtId="0" fontId="1" fillId="0" borderId="1" xfId="0">
      <alignment horizontal="left" vertical="top" wrapText="1" indent="1"/>
    </xf>
    <xf numFmtId="11210" fontId="9" fillId="0" borderId="1" xfId="0">
      <alignment horizontal="right" vertical="bottom"/>
    </xf>
    <xf numFmtId="11210" fontId="1" fillId="0" borderId="1" xfId="0">
      <alignment horizontal="right" vertical="bottom"/>
    </xf>
    <xf numFmtId="11262" fontId="4" fillId="0" borderId="1" xfId="0">
      <alignment horizontal="right" vertical="bottom"/>
    </xf>
    <xf numFmtId="11210" fontId="4" fillId="0" borderId="1" xfId="0">
      <alignment horizontal="right" vertical="bottom"/>
    </xf>
    <xf numFmtId="11208" fontId="4" fillId="0" borderId="1" xfId="0">
      <alignment horizontal="right" vertical="bottom"/>
    </xf>
    <xf numFmtId="0" fontId="3" fillId="0" borderId="1" xfId="0">
      <alignment horizontal="right" vertical="bottom"/>
    </xf>
    <xf numFmtId="0" fontId="10" fillId="0" borderId="1" xfId="0"/>
    <xf numFmtId="0" fontId="11" fillId="0" borderId="1" xfId="0"/>
    <xf numFmtId="0" fontId="1" fillId="0" borderId="1" xfId="0"/>
    <xf numFmtId="0" fontId="5" fillId="0" borderId="1" xfId="0">
      <alignment vertical="top"/>
    </xf>
    <xf numFmtId="0" fontId="5" fillId="3" borderId="1" xfId="0"/>
    <xf numFmtId="11210" fontId="7" fillId="3" borderId="1" xfId="0">
      <alignment horizontal="right" vertical="bottom"/>
    </xf>
    <xf numFmtId="0" fontId="3" fillId="0" borderId="1" xfId="0">
      <alignment horizontal="left" vertical="top" wrapText="1" indent="1"/>
    </xf>
    <xf numFmtId="11213" fontId="1" fillId="3" borderId="1" xfId="0">
      <alignment horizontal="right" vertical="bottom"/>
    </xf>
    <xf numFmtId="11210" fontId="3" fillId="3" borderId="1" xfId="0">
      <alignment horizontal="right" vertical="bottom"/>
    </xf>
    <xf numFmtId="11213" fontId="9" fillId="3" borderId="1" xfId="0">
      <alignment horizontal="right" vertical="bottom"/>
    </xf>
    <xf numFmtId="11210" fontId="5" fillId="0" borderId="4" xfId="0">
      <alignment horizontal="right" vertical="bottom"/>
    </xf>
    <xf numFmtId="11210" fontId="5" fillId="3" borderId="4" xfId="0">
      <alignment horizontal="right" vertical="bottom"/>
    </xf>
    <xf numFmtId="11210" fontId="1" fillId="3" borderId="1" xfId="0">
      <alignment horizontal="right" vertical="bottom"/>
    </xf>
    <xf numFmtId="0" fontId="3" fillId="3" borderId="1" xfId="0"/>
    <xf numFmtId="0" fontId="3" fillId="0" borderId="1" xfId="0">
      <alignment horizontal="left" vertical="top" wrapText="1" indent="2"/>
    </xf>
    <xf numFmtId="11233" fontId="1" fillId="3" borderId="1" xfId="0">
      <alignment horizontal="right" vertical="bottom"/>
    </xf>
    <xf numFmtId="0" fontId="1" fillId="0" borderId="1" xfId="0">
      <alignment horizontal="left" vertical="top" wrapText="1" indent="2"/>
    </xf>
    <xf numFmtId="11213" fontId="12" fillId="3" borderId="1" xfId="0">
      <alignment horizontal="right" vertical="bottom"/>
    </xf>
    <xf numFmtId="11210" fontId="13" fillId="0" borderId="4" xfId="0">
      <alignment horizontal="right" vertical="bottom"/>
    </xf>
    <xf numFmtId="11210" fontId="13" fillId="3" borderId="4" xfId="0">
      <alignment horizontal="right" vertical="bottom"/>
    </xf>
    <xf numFmtId="0" fontId="1" fillId="3" borderId="1" xfId="0"/>
    <xf numFmtId="11210" fontId="4" fillId="3" borderId="1" xfId="0">
      <alignment horizontal="right" vertical="bottom"/>
    </xf>
    <xf numFmtId="11210" fontId="6" fillId="0" borderId="4" xfId="0">
      <alignment horizontal="right" vertical="bottom"/>
    </xf>
    <xf numFmtId="11245" fontId="3" fillId="0" borderId="1" xfId="0">
      <alignment horizontal="right" vertical="bottom"/>
    </xf>
    <xf numFmtId="11245" fontId="3" fillId="3" borderId="1" xfId="0">
      <alignment horizontal="right" vertical="bottom"/>
    </xf>
    <xf numFmtId="11245" fontId="4" fillId="3" borderId="1" xfId="0">
      <alignment horizontal="right" vertical="bottom"/>
    </xf>
    <xf numFmtId="0" fontId="5" fillId="0" borderId="1" xfId="0">
      <alignment horizontal="left" vertical="top" wrapText="1" indent="1"/>
    </xf>
    <xf numFmtId="11262" fontId="3" fillId="3" borderId="1" xfId="0">
      <alignment horizontal="right" vertical="bottom"/>
    </xf>
    <xf numFmtId="11262" fontId="5" fillId="0" borderId="4" xfId="0">
      <alignment horizontal="right" vertical="bottom"/>
    </xf>
    <xf numFmtId="11262" fontId="5" fillId="3" borderId="4" xfId="0">
      <alignment horizontal="right" vertical="bottom"/>
    </xf>
    <xf numFmtId="0" fontId="1" fillId="0" borderId="1" xfId="0">
      <alignment horizontal="right" vertical="bottom"/>
    </xf>
    <xf numFmtId="0" fontId="1" fillId="3" borderId="1" xfId="0">
      <alignment horizontal="right" vertical="bottom"/>
    </xf>
    <xf numFmtId="11262" fontId="7" fillId="3" borderId="1" xfId="0">
      <alignment horizontal="right" vertical="bottom"/>
    </xf>
    <xf numFmtId="11210" fontId="9" fillId="3" borderId="1" xfId="0">
      <alignment horizontal="right" vertical="bottom"/>
    </xf>
    <xf numFmtId="11213" fontId="12" fillId="0" borderId="1" xfId="0">
      <alignment horizontal="right" vertical="bottom"/>
    </xf>
    <xf numFmtId="11262" fontId="4" fillId="3" borderId="1" xfId="0">
      <alignment horizontal="right" vertical="bottom"/>
    </xf>
    <xf numFmtId="11212" fontId="3" fillId="0" borderId="1" xfId="0">
      <alignment horizontal="right" vertical="bottom"/>
    </xf>
    <xf numFmtId="11212" fontId="4" fillId="3" borderId="1" xfId="0">
      <alignment horizontal="right" vertical="bottom"/>
    </xf>
    <xf numFmtId="0" fontId="9" fillId="0" borderId="1" xfId="0">
      <alignment horizontal="right" vertical="bottom"/>
    </xf>
    <xf numFmtId="0" fontId="9" fillId="3" borderId="1" xfId="0">
      <alignment horizontal="right" vertical="bottom"/>
    </xf>
    <xf numFmtId="11208" fontId="12" fillId="0" borderId="1" xfId="0">
      <alignment horizontal="right" vertical="bottom"/>
    </xf>
    <xf numFmtId="11210" fontId="5" fillId="0" borderId="1" xfId="0">
      <alignment horizontal="right" vertical="bottom"/>
    </xf>
    <xf numFmtId="0" fontId="5" fillId="0" borderId="5" xfId="0">
      <alignment horizontal="left" vertical="bottom" wrapText="1"/>
    </xf>
    <xf numFmtId="11208" fontId="4" fillId="0" borderId="1" xfId="0">
      <alignment horizontal="right" vertical="top"/>
    </xf>
    <xf numFmtId="0" fontId="3" fillId="0" borderId="1" xfId="0">
      <alignment vertical="top"/>
    </xf>
    <xf numFmtId="0" fontId="4" fillId="0" borderId="1" xfId="0">
      <alignment horizontal="right" vertical="bottom"/>
    </xf>
    <xf numFmtId="11208" fontId="4" fillId="0" borderId="1" xfId="0">
      <alignment horizontal="left" vertical="top" wrapText="1"/>
    </xf>
    <xf numFmtId="11208" fontId="3" fillId="0" borderId="1" xfId="0">
      <alignment horizontal="left" vertical="top" wrapText="1"/>
    </xf>
    <xf numFmtId="1" fontId="3" fillId="0" borderId="1" xfId="0">
      <alignment horizontal="right" vertical="bottom"/>
    </xf>
    <xf numFmtId="11212" fontId="4" fillId="0" borderId="1" xfId="0">
      <alignment horizontal="right" vertical="bottom"/>
    </xf>
    <xf numFmtId="0" fontId="4" fillId="0" borderId="1" xfId="0">
      <alignment horizontal="left" vertical="bottom"/>
    </xf>
    <xf numFmtId="1" fontId="4" fillId="0" borderId="1" xfId="0">
      <alignment horizontal="right" vertical="bottom"/>
    </xf>
    <xf numFmtId="11213" fontId="2" fillId="0" borderId="1" xfId="0">
      <alignment horizontal="right" vertical="bottom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Relationship Id="rId14" Type="http://schemas.openxmlformats.org/officeDocument/2006/relationships/theme" Target="theme/theme1.xml"/><Relationship Id="rId1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0</xdr:col>
      <xdr:colOff>600075</xdr:colOff>
      <xdr:row>1</xdr:row>
      <xdr:rowOff>276225</xdr:rowOff>
    </xdr:to>
    <xdr:pic>
      <xdr:nvPicPr>
        <xdr:cNvPr id="2" name="ShortcutLogo"/>
        <xdr:cNvPicPr>
          <a:picLocks noChangeAspect="1"/>
        </xdr:cNvPicPr>
      </xdr:nvPicPr>
      <xdr:blipFill>
        <a:blip xmlns:r="http://schemas.openxmlformats.org/officeDocument/2006/relationships" r:embed="rId1"/>
        <a:srcRect l="0" r="0" t="0" b="0"/>
        <a:stretch/>
      </xdr:blipFill>
      <xdr:spPr>
        <a:xfrm>
          <a:off x="28575" y="28575"/>
          <a:ext cx="571500" cy="575733"/>
        </a:xfrm>
        <a:prstGeom prst="rect">
          <a:avLst/>
        </a:prstGeom>
        <a:noFill/>
        <a:ln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Malgun Gothic"/>
        <a:font script="Hans" typeface="DengXian Light"/>
        <a:font script="Hant" typeface="Microsoft JhengHei Light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</a:majorFont>
      <a:minorFont>
        <a:latin typeface="Calibri"/>
        <a:ea typeface=""/>
        <a:cs typeface=""/>
        <a:font script="Jpan" typeface="Yu Gothic"/>
        <a:font script="Hang" typeface="Malgun Gothic"/>
        <a:font script="Hans" typeface="DengXian"/>
        <a:font script="Hant" typeface="Microsoft JhengHei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D27B3E8-2058-47C8-3DF8-ACA317E4D23C}" mc:Ignorable="x14ac xr xr2 xr3">
  <dimension ref="A1:CV10000"/>
  <sheetViews>
    <sheetView showGridLines="0" topLeftCell="A1" zoomScale="90" workbookViewId="0" tabSelected="1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25.5" customHeight="1">
      <c r="A1" s="1"/>
      <c r="B1" s="2" t="s">
        <v>0</v>
      </c>
      <c r="C1" s="3"/>
      <c r="D1" s="3"/>
      <c r="E1" s="3"/>
      <c r="F1" s="3"/>
      <c r="G1" s="3"/>
      <c r="H1" s="3"/>
    </row>
    <row r="2" ht="25.5" customHeight="1">
      <c r="A2" s="4"/>
      <c r="B2" s="5" t="s">
        <v>1</v>
      </c>
      <c r="C2" s="3"/>
      <c r="D2" s="3"/>
      <c r="E2" s="3"/>
      <c r="F2" s="3"/>
      <c r="G2" s="3"/>
      <c r="H2" s="3"/>
    </row>
    <row r="3" ht="15" customHeight="1">
      <c r="A3" s="6"/>
      <c r="B3" s="7" t="s">
        <v>2</v>
      </c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18" t="s">
        <v>13</v>
      </c>
      <c r="B7" s="3"/>
      <c r="C7" s="3"/>
      <c r="D7" s="3"/>
      <c r="E7" s="3"/>
      <c r="F7" s="3"/>
      <c r="G7" s="3"/>
      <c r="H7" s="3"/>
    </row>
    <row r="8" ht="18" customHeight="1">
      <c r="A8" s="19" t="s">
        <v>14</v>
      </c>
      <c r="B8" s="20"/>
      <c r="C8" s="20"/>
      <c r="D8" s="20"/>
      <c r="E8" s="20"/>
      <c r="F8" s="20"/>
      <c r="G8" s="20"/>
      <c r="H8" s="3"/>
    </row>
    <row r="9" ht="15" customHeight="1">
      <c r="A9" s="21" t="s">
        <v>15</v>
      </c>
      <c r="B9" s="7"/>
      <c r="C9" s="7"/>
      <c r="D9" s="7"/>
      <c r="E9" s="7"/>
      <c r="F9" s="7"/>
      <c r="G9" s="7"/>
      <c r="H9" s="3"/>
    </row>
    <row r="10" ht="15" customHeight="1">
      <c r="A10" s="22"/>
      <c r="B10" s="3"/>
      <c r="C10" s="3"/>
      <c r="D10" s="3"/>
      <c r="E10" s="3"/>
      <c r="F10" s="3"/>
      <c r="G10" s="3"/>
      <c r="H10" s="3"/>
    </row>
    <row r="11" ht="15" customHeight="1">
      <c r="A11" s="22" t="s">
        <v>16</v>
      </c>
      <c r="B11" s="23" t="s">
        <v>17</v>
      </c>
      <c r="C11" s="23"/>
      <c r="D11" s="23"/>
      <c r="E11" s="23"/>
      <c r="F11" s="23"/>
      <c r="G11" s="23"/>
      <c r="H11" s="3"/>
    </row>
    <row r="12" ht="15" customHeight="1">
      <c r="A12" s="22" t="s">
        <v>18</v>
      </c>
      <c r="B12" s="23" t="s">
        <v>19</v>
      </c>
      <c r="C12" s="23"/>
      <c r="D12" s="23"/>
      <c r="E12" s="23"/>
      <c r="F12" s="23"/>
      <c r="G12" s="23"/>
      <c r="H12" s="3"/>
    </row>
    <row r="13" ht="15" customHeight="1">
      <c r="A13" s="22" t="s">
        <v>20</v>
      </c>
      <c r="B13" s="23" t="s">
        <v>21</v>
      </c>
      <c r="C13" s="23"/>
      <c r="D13" s="23"/>
      <c r="E13" s="23"/>
      <c r="F13" s="23"/>
      <c r="G13" s="23"/>
      <c r="H13" s="3"/>
    </row>
    <row r="14" ht="15" customHeight="1">
      <c r="A14" s="22" t="s">
        <v>22</v>
      </c>
      <c r="B14" s="23" t="s">
        <v>23</v>
      </c>
      <c r="C14" s="23"/>
      <c r="D14" s="23"/>
      <c r="E14" s="23"/>
      <c r="F14" s="23"/>
      <c r="G14" s="23"/>
      <c r="H14" s="3"/>
    </row>
    <row r="15" ht="15" customHeight="1">
      <c r="A15" s="22" t="s">
        <v>24</v>
      </c>
      <c r="B15" s="23" t="s">
        <v>25</v>
      </c>
      <c r="C15" s="23"/>
      <c r="D15" s="23"/>
      <c r="E15" s="23"/>
      <c r="F15" s="23"/>
      <c r="G15" s="23"/>
      <c r="H15" s="3"/>
    </row>
    <row r="16" ht="15" customHeight="1">
      <c r="A16" s="22" t="s">
        <v>26</v>
      </c>
      <c r="B16" s="23" t="s">
        <v>27</v>
      </c>
      <c r="C16" s="23"/>
      <c r="D16" s="23"/>
      <c r="E16" s="23"/>
      <c r="F16" s="23"/>
      <c r="G16" s="23"/>
      <c r="H16" s="3"/>
    </row>
    <row r="17" ht="15" customHeight="1">
      <c r="A17" s="22" t="s">
        <v>28</v>
      </c>
      <c r="B17" s="23" t="s">
        <v>29</v>
      </c>
      <c r="C17" s="23"/>
      <c r="D17" s="23"/>
      <c r="E17" s="23"/>
      <c r="F17" s="23"/>
      <c r="G17" s="23"/>
      <c r="H17" s="3"/>
    </row>
    <row r="18" ht="15" customHeight="1">
      <c r="A18" s="22" t="s">
        <v>30</v>
      </c>
      <c r="B18" s="23" t="s">
        <v>31</v>
      </c>
      <c r="C18" s="23"/>
      <c r="D18" s="23"/>
      <c r="E18" s="23"/>
      <c r="F18" s="23"/>
      <c r="G18" s="23"/>
      <c r="H18" s="3"/>
    </row>
    <row r="19" ht="15" customHeight="1">
      <c r="A19" s="22"/>
      <c r="B19" s="3"/>
      <c r="C19" s="3"/>
      <c r="D19" s="3"/>
      <c r="E19" s="3"/>
      <c r="F19" s="3"/>
      <c r="G19" s="3"/>
      <c r="H19" s="3"/>
    </row>
    <row r="20" ht="27" customHeight="1">
      <c r="A20" s="24" t="s">
        <v>32</v>
      </c>
      <c r="B20" s="25" t="s">
        <v>33</v>
      </c>
      <c r="C20" s="25" t="s">
        <v>34</v>
      </c>
      <c r="D20" s="25" t="s">
        <v>35</v>
      </c>
      <c r="E20" s="25" t="s">
        <v>36</v>
      </c>
      <c r="F20" s="25" t="s">
        <v>37</v>
      </c>
      <c r="G20" s="25" t="s">
        <v>38</v>
      </c>
      <c r="H20" s="25"/>
    </row>
    <row r="21" ht="15" customHeight="1">
      <c r="A21" s="22" t="s">
        <v>39</v>
      </c>
      <c r="B21" s="26">
        <f>'Income Statement'!G9</f>
        <v>3160.465</v>
      </c>
      <c r="C21" s="26">
        <f>Inputs!B41</f>
        <v>3196.68</v>
      </c>
      <c r="D21" s="27">
        <f t="shared" si="0" ref="D21:D25">B21-C21</f>
        <v>-36.21499999999969</v>
      </c>
      <c r="E21" s="28">
        <f t="shared" si="1" ref="E21:E25">B21/C21-1</f>
        <v>-0.011328941276574356</v>
      </c>
      <c r="F21" s="26">
        <f>Guidance!F22</f>
        <v>12450</v>
      </c>
      <c r="G21" s="26">
        <f>Guidance!F31</f>
        <v>6321</v>
      </c>
      <c r="H21" s="3"/>
    </row>
    <row r="22" ht="23.25" customHeight="1">
      <c r="A22" s="22" t="s">
        <v>40</v>
      </c>
      <c r="B22" s="26">
        <f>'Income Statement'!G92</f>
        <v>459.46819702500005</v>
      </c>
      <c r="C22" s="26">
        <f>Inputs!B54</f>
        <v>463.87</v>
      </c>
      <c r="D22" s="27">
        <f t="shared" si="0"/>
        <v>-4.401802974999953</v>
      </c>
      <c r="E22" s="28">
        <f t="shared" si="1"/>
        <v>-0.009489302983594405</v>
      </c>
      <c r="F22" s="27" t="s">
        <v>41</v>
      </c>
      <c r="G22" s="27" t="s">
        <v>41</v>
      </c>
      <c r="H22" s="18" t="s">
        <v>42</v>
      </c>
    </row>
    <row r="23" ht="15" customHeight="1">
      <c r="A23" s="29" t="s">
        <v>43</v>
      </c>
      <c r="B23" s="30">
        <f>'Income Statement'!G99</f>
        <v>2.716953089669583</v>
      </c>
      <c r="C23" s="30">
        <f>Inputs!B23</f>
        <v>2.74</v>
      </c>
      <c r="D23" s="31">
        <f t="shared" si="0"/>
        <v>-0.02304691033041717</v>
      </c>
      <c r="E23" s="32">
        <f t="shared" si="1"/>
        <v>-0.008411281142488014</v>
      </c>
      <c r="F23" s="30">
        <f>Guidance!F23</f>
        <v>10.75</v>
      </c>
      <c r="G23" s="30">
        <f>Guidance!F36</f>
        <v>5.29</v>
      </c>
      <c r="H23" s="3"/>
    </row>
    <row r="24" ht="26.25" customHeight="1">
      <c r="A24" s="22" t="s">
        <v>44</v>
      </c>
      <c r="B24" s="26">
        <f>'Income Statement'!G53</f>
        <v>382.96819702500005</v>
      </c>
      <c r="C24" s="26">
        <f>Inputs!B55</f>
        <v>443.65</v>
      </c>
      <c r="D24" s="27">
        <f t="shared" si="0"/>
        <v>-60.681802974999925</v>
      </c>
      <c r="E24" s="28">
        <f t="shared" si="1"/>
        <v>-0.13677854834892356</v>
      </c>
      <c r="F24" s="27" t="s">
        <v>41</v>
      </c>
      <c r="G24" s="27" t="s">
        <v>41</v>
      </c>
      <c r="H24" s="22" t="s">
        <v>45</v>
      </c>
    </row>
    <row r="25" ht="15" customHeight="1">
      <c r="A25" s="22" t="s">
        <v>46</v>
      </c>
      <c r="B25" s="33">
        <f>'Income Statement'!G68</f>
        <v>2.26458900287205</v>
      </c>
      <c r="C25" s="33">
        <f>Inputs!B32</f>
        <v>2.52</v>
      </c>
      <c r="D25" s="34">
        <f t="shared" si="0"/>
        <v>-0.2554109971279499</v>
      </c>
      <c r="E25" s="28">
        <f t="shared" si="1"/>
        <v>-0.10135357028886904</v>
      </c>
      <c r="F25" s="34" t="s">
        <v>41</v>
      </c>
      <c r="G25" s="34" t="s">
        <v>41</v>
      </c>
      <c r="H25" s="18" t="s">
        <v>47</v>
      </c>
    </row>
    <row r="26" ht="26.25" customHeight="1">
      <c r="A26" s="21" t="s">
        <v>48</v>
      </c>
      <c r="B26" s="35">
        <f>'Income Statement'!G124</f>
        <v>0.21744146984700038</v>
      </c>
      <c r="C26" s="35">
        <f>Inputs!B51/Inputs!B41</f>
        <v>0.21900221479785278</v>
      </c>
      <c r="D26" s="36">
        <f>(B26-C26)*10000</f>
        <v>-15.607449508523995</v>
      </c>
      <c r="E26" s="37"/>
      <c r="F26" s="37" t="s">
        <v>41</v>
      </c>
      <c r="G26" s="37" t="s">
        <v>41</v>
      </c>
      <c r="H26" s="38" t="s">
        <v>49</v>
      </c>
    </row>
    <row r="27" ht="60" customHeight="1">
      <c r="A27" s="29" t="s">
        <v>50</v>
      </c>
      <c r="B27" s="39" t="str">
        <f>IF(AND(ABS('Segment - Freight'!B76)&lt;0.001,ABS('Segment - Freight'!C76)&lt;0.001,ABS('Segment - Freight'!D76)&lt;0.001,ABS('Segment - Freight'!E76)&lt;0.001,ABS('Segment - Freight'!F76)&lt;0.001,ABS('Segment - Freight'!B87)&lt;0.001,ABS('Segment - Freight'!C87)&lt;0.001,ABS('Segment - Freight'!D87)&lt;0.001,ABS('Segment - Freight'!E87)&lt;0.001,ABS('Segment - Freight'!F87)&lt;0.001,ABS('Segment - Freight'!G87)&lt;0.001,ABS('Segment - Freight'!B141)&lt;0.001,ABS('Segment - Freight'!C141)&lt;0.001,ABS('Segment - Freight'!D141)&lt;0.001,ABS('Segment - Freight'!E141)&lt;0.001,ABS('Segment - Freight'!F141)&lt;0.001,ABS('Segment - Freight'!B172)&lt;0.001,ABS('Segment - Freight'!C172)&lt;0.001,ABS('Segment - Freight'!D172)&lt;0.001,ABS('Segment - Freight'!E172)&lt;0.001,ABS('Segment - Freight'!F172)&lt;0.001,ABS('Segment - Transit'!B44)&lt;0.001,ABS('Segment - Transit'!C44)&lt;0.001,ABS('Segment - Transit'!D44)&lt;0.001,ABS('Segment - Transit'!E44)&lt;0.001,ABS('Segment - Transit'!F44)&lt;0.001,ABS('Segment - Transit'!B55)&lt;0.001,ABS('Segment - Transit'!C55)&lt;0.001,ABS('Segment - Transit'!D55)&lt;0.001,ABS('Segment - Transit'!E55)&lt;0.001,ABS('Segment - Transit'!F55)&lt;0.001,ABS('Segment - Transit'!G55)&lt;0.001,ABS('Segment - Transit'!B109)&lt;0.001,ABS('Segment - Transit'!C109)&lt;0.001,ABS('Segment - Transit'!D109)&lt;0.001,ABS('Segment - Transit'!E109)&lt;0.001,ABS('Segment - Transit'!F109)&lt;0.001,ABS('Segment - Transit'!B140)&lt;0.001,ABS('Segment - Transit'!C140)&lt;0.001,ABS('Segment - Transit'!D140)&lt;0.001,ABS('Segment - Transit'!E140)&lt;0.001,ABS('Segment - Transit'!F140)&lt;0.001,ABS('Revenue summary'!B50)&lt;0.001,ABS('Revenue summary'!C50)&lt;0.001,ABS('Revenue summary'!D50)&lt;0.001,ABS('Revenue summary'!E50)&lt;0.001,ABS('Revenue summary'!F50)&lt;0.001,ABS('Revenue summary'!B52)&lt;0.001,ABS('Revenue summary'!C52)&lt;0.001,ABS('Revenue summary'!E52)&lt;0.001,ABS('Revenue summary'!F52)&lt;0.001,ABS('Revenue summary'!B85)&lt;0.001,ABS('Revenue summary'!C85)&lt;0.001,ABS('Revenue summary'!D85)&lt;0.001,ABS('Revenue summary'!E85)&lt;0.001,ABS('Revenue summary'!F85)&lt;0.001,ABS('Revenue summary'!G85)&lt;0.001,'Share Count'!B37,'Share Count'!C37,'Share Count'!D37,'Share Count'!E37,'Share Count'!F37,'Share Count'!G37,ABS('Income Statement'!B24)&lt;0.001,ABS('Income Statement'!C24)&lt;0.001,ABS('Income Statement'!D24)&lt;0.001,ABS('Income Statement'!E24)&lt;0.001,ABS('Income Statement'!F24)&lt;0.001,ABS('Income Statement'!G24)&lt;0.001,ABS('Income Statement'!B41)&lt;0.001,ABS('Income Statement'!C41)&lt;0.001,ABS('Income Statement'!D41)&lt;0.001,ABS('Income Statement'!E41)&lt;0.001,ABS('Income Statement'!F41)&lt;0.001,ABS('Income Statement'!B62)&lt;0.001,ABS('Income Statement'!C62)&lt;0.001,ABS('Income Statement'!D62)&lt;0.001,ABS('Income Statement'!E62)&lt;0.001,ABS('Income Statement'!F62)&lt;0.001,'Income Statement'!B75,'Income Statement'!C75,'Income Statement'!D75,'Income Statement'!E75,'Income Statement'!F75,'Income Statement'!B77,'Income Statement'!C77,'Income Statement'!E77,'Income Statement'!F77,ABS('Income Statement'!B98)&lt;0.001,ABS('Income Statement'!C98)&lt;0.001,ABS('Income Statement'!D98)&lt;0.001,ABS('Income Statement'!E98)&lt;0.001,ABS('Income Statement'!F98)&lt;0.001,'Income Statement'!B106,'Income Statement'!C106,'Income Statement'!D106,'Income Statement'!E106,'Income Statement'!F106,'Income Statement'!B108,'Income Statement'!C108,'Income Statement'!E108,'Income Statement'!F108,ABS('Income Statement'!B128)&lt;0.001,ABS('Income Statement'!C128)&lt;0.001,ABS('Income Statement'!D128)&lt;0.001,ABS('Income Statement'!E128)&lt;0.001,ABS('Income Statement'!F128)&lt;0.001,ABS('Income Statement'!G128)&lt;0.001,ABS('Income Statement'!B144)&lt;0.001,ABS('Income Statement'!C144)&lt;0.001,ABS('Income Statement'!D144)&lt;0.001,ABS('Income Statement'!E144)&lt;0.001,ABS('Income Statement'!F144)&lt;0.001,ABS('Income Statement'!G144)&lt;0.001,ABS('Income Statement'!B161)&lt;0.001,ABS('Income Statement'!C161)&lt;0.001,ABS('Income Statement'!D161)&lt;0.001,ABS('Income Statement'!E161)&lt;0.001,ABS('Income Statement'!F161)&lt;0.001,ABS('Income Statement'!B172)&lt;0.001,ABS('Income Statement'!C172)&lt;0.001,ABS('Income Statement'!D172)&lt;0.001,ABS('Income Statement'!E172)&lt;0.001,ABS('Income Statement'!F172)&lt;0.001,ABS('Cash Flow Statement'!B18)&lt;0.001,ABS('Cash Flow Statement'!C18)&lt;0.001,ABS('Cash Flow Statement'!D18)&lt;0.001,ABS('Cash Flow Statement'!E18)&lt;0.001,ABS('Cash Flow Statement'!F18)&lt;0.001,ABS('Cash Flow Statement'!G18)&lt;0.001,ABS('Cash Flow Statement'!B44)&lt;0.001,ABS('Cash Flow Statement'!C44)&lt;0.001,ABS('Cash Flow Statement'!D44)&lt;0.001,ABS('Cash Flow Statement'!E44)&lt;0.001,ABS('Cash Flow Statement'!F44)&lt;0.001,ABS('Cash Flow Statement'!G44)&lt;0.001,ABS('Balance Sheet'!B20)&lt;0.001,ABS('Balance Sheet'!C20)&lt;0.001,ABS('Balance Sheet'!D20)&lt;0.001,ABS('Balance Sheet'!E20)&lt;0.001,ABS('Balance Sheet'!F20)&lt;0.001,ABS('Balance Sheet'!B30)&lt;0.001,ABS('Balance Sheet'!C30)&lt;0.001,ABS('Balance Sheet'!D30)&lt;0.001,ABS('Balance Sheet'!E30)&lt;0.001,ABS('Balance Sheet'!F30)&lt;0.001,ABS('Balance Sheet'!G30)&lt;0.001,ABS(Geo!D132)&lt;0.001,ABS(Cover!B30)&lt;0.001),"PASS","FAIL")</f>
        <v>PASS</v>
      </c>
      <c r="C27" s="40"/>
      <c r="D27" s="40"/>
      <c r="E27" s="40"/>
      <c r="F27" s="40"/>
      <c r="G27" s="40"/>
      <c r="H27" s="38" t="s">
        <v>52</v>
      </c>
    </row>
    <row r="28" ht="26.25" customHeight="1">
      <c r="A28" s="41" t="s">
        <v>53</v>
      </c>
      <c r="B28" s="42">
        <f>Inputs!B167</f>
        <v>0.6093086052132078</v>
      </c>
      <c r="C28" s="43"/>
      <c r="D28" s="43"/>
      <c r="E28" s="43"/>
      <c r="F28" s="43"/>
      <c r="G28" s="43"/>
      <c r="H28" s="3"/>
    </row>
    <row r="29" ht="15" customHeight="1">
      <c r="A29" s="29" t="s">
        <v>54</v>
      </c>
      <c r="B29" s="44" t="s">
        <v>55</v>
      </c>
      <c r="C29" s="40"/>
      <c r="D29" s="40"/>
      <c r="E29" s="40"/>
      <c r="F29" s="40"/>
      <c r="G29" s="40"/>
      <c r="H29" s="3"/>
    </row>
    <row r="30" ht="23.25" customHeight="1">
      <c r="A30" s="45" t="s">
        <v>56</v>
      </c>
      <c r="B30" s="46">
        <f>ABS(B21-'Income Statement'!G9)+ABS(B22-'Income Statement'!G92)+ABS(B23-'Income Statement'!G99)+ABS(B24-'Income Statement'!G53)+ABS(B25-'Income Statement'!G68)</f>
        <v>0</v>
      </c>
      <c r="C30" s="47"/>
      <c r="D30" s="47"/>
      <c r="E30" s="47"/>
      <c r="F30" s="47"/>
      <c r="G30" s="47"/>
      <c r="H30" s="3"/>
    </row>
    <row r="31" ht="15" customHeight="1">
      <c r="A31" s="22"/>
      <c r="B31" s="3"/>
      <c r="C31" s="3"/>
      <c r="D31" s="3"/>
      <c r="E31" s="3"/>
      <c r="F31" s="3"/>
      <c r="G31" s="3"/>
      <c r="H31" s="3"/>
    </row>
    <row r="32" ht="23.25" customHeight="1">
      <c r="A32" s="24" t="s">
        <v>57</v>
      </c>
      <c r="B32" s="25" t="s">
        <v>58</v>
      </c>
      <c r="C32" s="25" t="s">
        <v>59</v>
      </c>
      <c r="D32" s="25" t="s">
        <v>60</v>
      </c>
      <c r="E32" s="25"/>
      <c r="F32" s="25"/>
      <c r="G32" s="25"/>
      <c r="H32" s="25"/>
    </row>
    <row r="33" ht="15" customHeight="1">
      <c r="A33" s="22" t="s">
        <v>61</v>
      </c>
      <c r="B33" s="48">
        <v>2.72</v>
      </c>
      <c r="C33" s="49">
        <v>3180</v>
      </c>
      <c r="D33" s="50">
        <v>46311</v>
      </c>
      <c r="E33" s="51"/>
      <c r="F33" s="51"/>
      <c r="G33" s="51"/>
      <c r="H33" s="3"/>
    </row>
    <row r="34" ht="15" customHeight="1">
      <c r="A34" s="22" t="s">
        <v>62</v>
      </c>
      <c r="B34" s="48">
        <v>2.73</v>
      </c>
      <c r="C34" s="49">
        <v>3200</v>
      </c>
      <c r="D34" s="50">
        <v>46309</v>
      </c>
      <c r="E34" s="51"/>
      <c r="F34" s="51"/>
      <c r="G34" s="51"/>
      <c r="H34" s="3"/>
    </row>
    <row r="35" ht="37.5" customHeight="1">
      <c r="A35" s="22" t="s">
        <v>63</v>
      </c>
      <c r="B35" s="48">
        <v>2.7354</v>
      </c>
      <c r="C35" s="49">
        <v>3197</v>
      </c>
      <c r="D35" s="50">
        <v>46309</v>
      </c>
      <c r="E35" s="51"/>
      <c r="F35" s="51"/>
      <c r="G35" s="51"/>
      <c r="H35" s="38" t="s">
        <v>64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drawing r:id="rId1"/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697BEB98-1697-DC0B-9598-C39FDE0B129D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65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66</v>
      </c>
      <c r="B8" s="20"/>
      <c r="C8" s="20"/>
      <c r="D8" s="20"/>
      <c r="E8" s="20"/>
      <c r="F8" s="20"/>
      <c r="G8" s="56"/>
      <c r="H8" s="3"/>
    </row>
    <row r="9" ht="15" customHeight="1">
      <c r="A9" s="22" t="s">
        <v>67</v>
      </c>
      <c r="B9" s="26">
        <f>'Segment - Freight'!B73</f>
        <v>2093</v>
      </c>
      <c r="C9" s="26">
        <f>'Segment - Freight'!C73</f>
        <v>2123</v>
      </c>
      <c r="D9" s="26">
        <f>'Segment - Freight'!D73</f>
        <v>8036</v>
      </c>
      <c r="E9" s="26">
        <f>'Segment - Freight'!E73</f>
        <v>2115</v>
      </c>
      <c r="F9" s="26">
        <f>'Segment - Freight'!F73</f>
        <v>2243</v>
      </c>
      <c r="G9" s="57">
        <f>'Segment - Freight'!G73</f>
        <v>2261.655</v>
      </c>
      <c r="H9" s="18" t="s">
        <v>68</v>
      </c>
    </row>
    <row r="10" ht="15" customHeight="1">
      <c r="A10" s="58" t="s">
        <v>69</v>
      </c>
      <c r="B10" s="26">
        <f>'Segment - Freight'!B74</f>
        <v>1930</v>
      </c>
      <c r="C10" s="26">
        <f>'Segment - Freight'!C74</f>
        <v>1794</v>
      </c>
      <c r="D10" s="26">
        <f>'Segment - Freight'!D74</f>
        <v>7468</v>
      </c>
      <c r="E10" s="26">
        <f>'Segment - Freight'!E74</f>
        <v>1901</v>
      </c>
      <c r="F10" s="26">
        <f>'Segment - Freight'!F74</f>
        <v>1919</v>
      </c>
      <c r="G10" s="57">
        <f>'Segment - Freight'!G74</f>
        <v>2093</v>
      </c>
      <c r="H10" s="3"/>
    </row>
    <row r="11" ht="15" customHeight="1">
      <c r="A11" s="45" t="s">
        <v>70</v>
      </c>
      <c r="B11" s="37">
        <f t="shared" si="0" ref="B11:G96">B9/B10-1</f>
        <v>0.08445595854922283</v>
      </c>
      <c r="C11" s="37">
        <f t="shared" si="0"/>
        <v>0.18338907469342258</v>
      </c>
      <c r="D11" s="37">
        <f t="shared" si="0"/>
        <v>0.07605784681306904</v>
      </c>
      <c r="E11" s="37">
        <f t="shared" si="0"/>
        <v>0.11257233035244618</v>
      </c>
      <c r="F11" s="37">
        <f t="shared" si="0"/>
        <v>0.1688379364252215</v>
      </c>
      <c r="G11" s="59">
        <f t="shared" si="0"/>
        <v>0.08058050645007175</v>
      </c>
      <c r="H11" s="3"/>
    </row>
    <row r="12" ht="15" customHeight="1">
      <c r="A12" s="58" t="s">
        <v>71</v>
      </c>
      <c r="B12" s="27">
        <f t="shared" si="1" ref="B12:G97">B9-B10</f>
        <v>163</v>
      </c>
      <c r="C12" s="27">
        <f t="shared" si="1"/>
        <v>329</v>
      </c>
      <c r="D12" s="27">
        <f t="shared" si="1"/>
        <v>568</v>
      </c>
      <c r="E12" s="27">
        <f t="shared" si="1"/>
        <v>214</v>
      </c>
      <c r="F12" s="27">
        <f t="shared" si="1"/>
        <v>324</v>
      </c>
      <c r="G12" s="60">
        <f t="shared" si="1"/>
        <v>168.6550000000002</v>
      </c>
      <c r="H12" s="3"/>
    </row>
    <row r="13" ht="15" customHeight="1">
      <c r="A13" s="45" t="s">
        <v>72</v>
      </c>
      <c r="B13" s="37">
        <f t="shared" si="5" ref="B13:B98">B9/F10-1</f>
        <v>0.09067222511724848</v>
      </c>
      <c r="C13" s="37">
        <f t="shared" si="2" ref="C13:G98">C9/B9-1</f>
        <v>0.014333492594362118</v>
      </c>
      <c r="D13" s="37"/>
      <c r="E13" s="37">
        <f t="shared" si="6" ref="E13:E98">E9/C9-1</f>
        <v>-0.0037682524729156786</v>
      </c>
      <c r="F13" s="37">
        <f t="shared" si="2"/>
        <v>0.06052009456264784</v>
      </c>
      <c r="G13" s="59">
        <f t="shared" si="2"/>
        <v>0.008316986179224273</v>
      </c>
      <c r="H13" s="3"/>
    </row>
    <row r="14" ht="15" customHeight="1">
      <c r="A14" s="58" t="s">
        <v>73</v>
      </c>
      <c r="B14" s="27">
        <f t="shared" si="7" ref="B14:B99">B9-F10</f>
        <v>174</v>
      </c>
      <c r="C14" s="27">
        <f t="shared" si="3" ref="C14:G99">C9-B9</f>
        <v>30</v>
      </c>
      <c r="D14" s="27"/>
      <c r="E14" s="27">
        <f t="shared" si="8" ref="E14:E99">E9-C9</f>
        <v>-8</v>
      </c>
      <c r="F14" s="27">
        <f t="shared" si="3"/>
        <v>128</v>
      </c>
      <c r="G14" s="60">
        <f t="shared" si="3"/>
        <v>18.6550000000002</v>
      </c>
      <c r="H14" s="3"/>
    </row>
    <row r="15" ht="15" customHeight="1">
      <c r="A15" s="45" t="s">
        <v>74</v>
      </c>
      <c r="B15" s="37">
        <f t="shared" si="4" ref="B15:G15">B9/B33</f>
        <v>0.7252252252252253</v>
      </c>
      <c r="C15" s="37">
        <f t="shared" si="4"/>
        <v>0.7160202360876897</v>
      </c>
      <c r="D15" s="37">
        <f t="shared" si="4"/>
        <v>0.7196203098414973</v>
      </c>
      <c r="E15" s="37">
        <f t="shared" si="4"/>
        <v>0.7169491525423729</v>
      </c>
      <c r="F15" s="37">
        <f t="shared" si="4"/>
        <v>0.7055677886127714</v>
      </c>
      <c r="G15" s="59">
        <f t="shared" si="4"/>
        <v>0.7156083044741834</v>
      </c>
      <c r="H15" s="3"/>
    </row>
    <row r="16" ht="15" customHeight="1">
      <c r="A16" s="45" t="s">
        <v>75</v>
      </c>
      <c r="B16" s="35">
        <f>'Segment - Freight'!B88</f>
        <v>0.06632124352331606</v>
      </c>
      <c r="C16" s="35">
        <f>'Segment - Freight'!C88</f>
        <v>0.09308807134894091</v>
      </c>
      <c r="D16" s="35">
        <f>'Segment - Freight'!D88</f>
        <v>0.04392072844134976</v>
      </c>
      <c r="E16" s="35">
        <f>'Segment - Freight'!E88</f>
        <v>0.0967911625460284</v>
      </c>
      <c r="F16" s="35">
        <f>'Segment - Freight'!F88</f>
        <v>0.08494007295466388</v>
      </c>
      <c r="G16" s="61">
        <f>'Segment - Freight'!G88</f>
        <v>0.020544672718585764</v>
      </c>
      <c r="H16" s="3"/>
    </row>
    <row r="17" ht="15" customHeight="1">
      <c r="A17" s="45" t="s">
        <v>76</v>
      </c>
      <c r="B17" s="35">
        <f>'Segment - Freight'!B89</f>
        <v>-0.003626943005181347</v>
      </c>
      <c r="C17" s="35">
        <f>'Segment - Freight'!C89</f>
        <v>-0.0011148272017837235</v>
      </c>
      <c r="D17" s="35">
        <f>'Segment - Freight'!D89</f>
        <v>-0.0048205677557579</v>
      </c>
      <c r="E17" s="35">
        <f>'Segment - Freight'!E89</f>
        <v>-0.0052603892688058915</v>
      </c>
      <c r="F17" s="35">
        <f>'Segment - Freight'!F89</f>
        <v>-0.005732152162584679</v>
      </c>
      <c r="G17" s="61">
        <f>'Segment - Freight'!G89</f>
        <v>-0.003822264691829909</v>
      </c>
      <c r="H17" s="3"/>
    </row>
    <row r="18" ht="15" customHeight="1">
      <c r="A18" s="45" t="s">
        <v>77</v>
      </c>
      <c r="B18" s="35">
        <f>'Segment - Freight'!B91</f>
        <v>0.0005181347150259067</v>
      </c>
      <c r="C18" s="35">
        <f>'Segment - Freight'!C91</f>
        <v>0.002787068004459309</v>
      </c>
      <c r="D18" s="35">
        <f>'Segment - Freight'!D91</f>
        <v>-0.004151044456347081</v>
      </c>
      <c r="E18" s="35">
        <f>'Segment - Freight'!E91</f>
        <v>0.010520778537611783</v>
      </c>
      <c r="F18" s="35">
        <f>'Segment - Freight'!F91</f>
        <v>0.007295466388744137</v>
      </c>
      <c r="G18" s="61">
        <f>'Segment - Freight'!G91</f>
        <v>-0.0019111323459149545</v>
      </c>
      <c r="H18" s="3"/>
    </row>
    <row r="19" ht="15" customHeight="1">
      <c r="A19" s="45" t="s">
        <v>78</v>
      </c>
      <c r="B19" s="35">
        <f>'Segment - Freight'!B92</f>
        <v>0.021243523316062177</v>
      </c>
      <c r="C19" s="35">
        <f>'Segment - Freight'!C92</f>
        <v>0.08862876254180602</v>
      </c>
      <c r="D19" s="35">
        <f>'Segment - Freight'!D92</f>
        <v>0.04110873058382432</v>
      </c>
      <c r="E19" s="35">
        <f>'Segment - Freight'!E92</f>
        <v>0.010520778537611783</v>
      </c>
      <c r="F19" s="35">
        <f>'Segment - Freight'!F92</f>
        <v>0.08233454924439812</v>
      </c>
      <c r="G19" s="61">
        <f>'Segment - Freight'!G92</f>
        <v>0.06576923076923087</v>
      </c>
      <c r="H19" s="3"/>
    </row>
    <row r="20" ht="15" customHeight="1">
      <c r="A20" s="45" t="s">
        <v>79</v>
      </c>
      <c r="B20" s="35">
        <f>'Segment - Freight'!B94</f>
        <v>0.01994934453668651</v>
      </c>
      <c r="C20" s="35">
        <f>'Segment - Freight'!C94</f>
        <v>0.08070418566721194</v>
      </c>
      <c r="D20" s="35">
        <f>'Segment - Freight'!D94</f>
        <v>0.039883613418003394</v>
      </c>
      <c r="E20" s="35">
        <f>'Segment - Freight'!E94</f>
        <v>0.008665165607772085</v>
      </c>
      <c r="F20" s="35">
        <f>'Segment - Freight'!F94</f>
        <v>0.07520752549870191</v>
      </c>
      <c r="G20" s="61">
        <f>'Segment - Freight'!G94</f>
        <v>0.06484285637802034</v>
      </c>
      <c r="H20" s="3"/>
    </row>
    <row r="21" ht="15" customHeight="1">
      <c r="A21" s="22" t="s">
        <v>80</v>
      </c>
      <c r="B21" s="26">
        <f>'Segment - Transit'!B41</f>
        <v>793</v>
      </c>
      <c r="C21" s="26">
        <f>'Segment - Transit'!C41</f>
        <v>842</v>
      </c>
      <c r="D21" s="26">
        <f>'Segment - Transit'!D41</f>
        <v>3131</v>
      </c>
      <c r="E21" s="26">
        <f>'Segment - Transit'!E41</f>
        <v>835</v>
      </c>
      <c r="F21" s="26">
        <f>'Segment - Transit'!F41</f>
        <v>936</v>
      </c>
      <c r="G21" s="57">
        <f>'Segment - Transit'!G41</f>
        <v>898.81</v>
      </c>
      <c r="H21" s="18" t="s">
        <v>81</v>
      </c>
    </row>
    <row r="22" ht="15" customHeight="1">
      <c r="A22" s="58" t="s">
        <v>69</v>
      </c>
      <c r="B22" s="26">
        <f>'Segment - Transit'!B42</f>
        <v>733</v>
      </c>
      <c r="C22" s="26">
        <f>'Segment - Transit'!C42</f>
        <v>789</v>
      </c>
      <c r="D22" s="26">
        <f>'Segment - Transit'!D42</f>
        <v>2919</v>
      </c>
      <c r="E22" s="26">
        <f>'Segment - Transit'!E42</f>
        <v>709</v>
      </c>
      <c r="F22" s="26">
        <f>'Segment - Transit'!F42</f>
        <v>787</v>
      </c>
      <c r="G22" s="57">
        <f>'Segment - Transit'!G42</f>
        <v>793</v>
      </c>
      <c r="H22" s="3"/>
    </row>
    <row r="23" ht="15" customHeight="1">
      <c r="A23" s="45" t="s">
        <v>70</v>
      </c>
      <c r="B23" s="37">
        <f t="shared" si="0"/>
        <v>0.08185538881309684</v>
      </c>
      <c r="C23" s="37">
        <f t="shared" si="0"/>
        <v>0.06717363751584293</v>
      </c>
      <c r="D23" s="37">
        <f t="shared" si="0"/>
        <v>0.07262761219595748</v>
      </c>
      <c r="E23" s="37">
        <f t="shared" si="0"/>
        <v>0.17771509167842026</v>
      </c>
      <c r="F23" s="37">
        <f t="shared" si="0"/>
        <v>0.18932655654383734</v>
      </c>
      <c r="G23" s="59">
        <f t="shared" si="0"/>
        <v>0.1334300126103405</v>
      </c>
      <c r="H23" s="3"/>
    </row>
    <row r="24" ht="15" customHeight="1">
      <c r="A24" s="58" t="s">
        <v>71</v>
      </c>
      <c r="B24" s="27">
        <f t="shared" si="1"/>
        <v>60</v>
      </c>
      <c r="C24" s="27">
        <f t="shared" si="1"/>
        <v>53</v>
      </c>
      <c r="D24" s="27">
        <f t="shared" si="1"/>
        <v>212</v>
      </c>
      <c r="E24" s="27">
        <f t="shared" si="1"/>
        <v>126</v>
      </c>
      <c r="F24" s="27">
        <f t="shared" si="1"/>
        <v>149</v>
      </c>
      <c r="G24" s="60">
        <f t="shared" si="1"/>
        <v>105.80999999999995</v>
      </c>
      <c r="H24" s="3"/>
    </row>
    <row r="25" ht="15" customHeight="1">
      <c r="A25" s="45" t="s">
        <v>72</v>
      </c>
      <c r="B25" s="37">
        <f t="shared" si="5"/>
        <v>0.007623888182973326</v>
      </c>
      <c r="C25" s="37">
        <f t="shared" si="2"/>
        <v>0.06179066834804536</v>
      </c>
      <c r="D25" s="37"/>
      <c r="E25" s="37">
        <f t="shared" si="6"/>
        <v>-0.008313539192399078</v>
      </c>
      <c r="F25" s="37">
        <f t="shared" si="2"/>
        <v>0.12095808383233542</v>
      </c>
      <c r="G25" s="59">
        <f t="shared" si="2"/>
        <v>-0.03973290598290602</v>
      </c>
      <c r="H25" s="3"/>
    </row>
    <row r="26" ht="15" customHeight="1">
      <c r="A26" s="58" t="s">
        <v>73</v>
      </c>
      <c r="B26" s="27">
        <f t="shared" si="7"/>
        <v>6</v>
      </c>
      <c r="C26" s="27">
        <f t="shared" si="3"/>
        <v>49</v>
      </c>
      <c r="D26" s="27"/>
      <c r="E26" s="27">
        <f t="shared" si="8"/>
        <v>-7</v>
      </c>
      <c r="F26" s="27">
        <f t="shared" si="3"/>
        <v>101</v>
      </c>
      <c r="G26" s="60">
        <f t="shared" si="3"/>
        <v>-37.190000000000055</v>
      </c>
      <c r="H26" s="3"/>
    </row>
    <row r="27" ht="15" customHeight="1">
      <c r="A27" s="45" t="s">
        <v>74</v>
      </c>
      <c r="B27" s="37">
        <f t="shared" si="9" ref="B27:G27">B21/B33</f>
        <v>0.2747747747747748</v>
      </c>
      <c r="C27" s="37">
        <f t="shared" si="9"/>
        <v>0.2839797639123103</v>
      </c>
      <c r="D27" s="37">
        <f t="shared" si="9"/>
        <v>0.2803796901585027</v>
      </c>
      <c r="E27" s="37">
        <f t="shared" si="9"/>
        <v>0.2830508474576271</v>
      </c>
      <c r="F27" s="37">
        <f t="shared" si="9"/>
        <v>0.2944322113872287</v>
      </c>
      <c r="G27" s="59">
        <f t="shared" si="9"/>
        <v>0.28439169552581656</v>
      </c>
      <c r="H27" s="3"/>
    </row>
    <row r="28" ht="15" customHeight="1">
      <c r="A28" s="45" t="s">
        <v>75</v>
      </c>
      <c r="B28" s="35">
        <f>'Segment - Transit'!B56</f>
        <v>0.008185538881309686</v>
      </c>
      <c r="C28" s="35">
        <f>'Segment - Transit'!C56</f>
        <v>0.005069708491761723</v>
      </c>
      <c r="D28" s="35">
        <f>'Segment - Transit'!D56</f>
        <v>0.009249743062692703</v>
      </c>
      <c r="E28" s="35">
        <f>'Segment - Transit'!E56</f>
        <v>0.05782792665726375</v>
      </c>
      <c r="F28" s="35">
        <f>'Segment - Transit'!F56</f>
        <v>0.08767471410419314</v>
      </c>
      <c r="G28" s="61">
        <f>'Segment - Transit'!G56</f>
        <v>0.0832282471626734</v>
      </c>
      <c r="H28" s="3"/>
    </row>
    <row r="29" ht="15" customHeight="1">
      <c r="A29" s="45" t="s">
        <v>76</v>
      </c>
      <c r="B29" s="35">
        <f>'Segment - Transit'!B57</f>
        <v>-0.008185538881309686</v>
      </c>
      <c r="C29" s="35">
        <f>'Segment - Transit'!C57</f>
        <v>-0.024081115335868188</v>
      </c>
      <c r="D29" s="35">
        <f>'Segment - Transit'!D57</f>
        <v>-0.012332990750256937</v>
      </c>
      <c r="E29" s="35">
        <f>'Segment - Transit'!E57</f>
        <v>-0.004231311706629055</v>
      </c>
      <c r="F29" s="35">
        <f>'Segment - Transit'!F57</f>
        <v>-0.0012706480304955528</v>
      </c>
      <c r="G29" s="61">
        <f>'Segment - Transit'!G57</f>
        <v>-0.0012610340479192938</v>
      </c>
      <c r="H29" s="3"/>
    </row>
    <row r="30" ht="15" customHeight="1">
      <c r="A30" s="45" t="s">
        <v>77</v>
      </c>
      <c r="B30" s="35">
        <f>'Segment - Transit'!B59</f>
        <v>0.030013642564802184</v>
      </c>
      <c r="C30" s="35">
        <f>'Segment - Transit'!C59</f>
        <v>0.046894803548795945</v>
      </c>
      <c r="D30" s="35">
        <f>'Segment - Transit'!D59</f>
        <v>0.021925316889345667</v>
      </c>
      <c r="E30" s="35">
        <f>'Segment - Transit'!E59</f>
        <v>0.06770098730606489</v>
      </c>
      <c r="F30" s="35">
        <f>'Segment - Transit'!F59</f>
        <v>0.012706480304955527</v>
      </c>
      <c r="G30" s="61">
        <f>'Segment - Transit'!G59</f>
        <v>-0.008827238335435058</v>
      </c>
      <c r="H30" s="3"/>
    </row>
    <row r="31" ht="15" customHeight="1">
      <c r="A31" s="45" t="s">
        <v>78</v>
      </c>
      <c r="B31" s="35">
        <f>'Segment - Transit'!B60</f>
        <v>0.05184174624829468</v>
      </c>
      <c r="C31" s="35">
        <f>'Segment - Transit'!C60</f>
        <v>0.03929024081115336</v>
      </c>
      <c r="D31" s="35">
        <f>'Segment - Transit'!D60</f>
        <v>0.05378554299417609</v>
      </c>
      <c r="E31" s="35">
        <f>'Segment - Transit'!E60</f>
        <v>0.056417489421720736</v>
      </c>
      <c r="F31" s="35">
        <f>'Segment - Transit'!F60</f>
        <v>0.09021601016518424</v>
      </c>
      <c r="G31" s="61">
        <f>'Segment - Transit'!G60</f>
        <v>0.06029003783102137</v>
      </c>
      <c r="H31" s="3"/>
    </row>
    <row r="32" ht="15" customHeight="1">
      <c r="A32" s="45" t="s">
        <v>79</v>
      </c>
      <c r="B32" s="35">
        <f>'Segment - Transit'!B62</f>
        <v>0.05033112582781474</v>
      </c>
      <c r="C32" s="35">
        <f>'Segment - Transit'!C62</f>
        <v>0.03912570152223305</v>
      </c>
      <c r="D32" s="35">
        <f>'Segment - Transit'!D62</f>
        <v>0.05286071242193735</v>
      </c>
      <c r="E32" s="35">
        <f>'Segment - Transit'!E62</f>
        <v>0.04692658790158455</v>
      </c>
      <c r="F32" s="35">
        <f>'Segment - Transit'!F62</f>
        <v>0.08100112263091863</v>
      </c>
      <c r="G32" s="61">
        <f>'Segment - Transit'!G62</f>
        <v>0.056893553859202584</v>
      </c>
      <c r="H32" s="3"/>
    </row>
    <row r="33" ht="15" customHeight="1">
      <c r="A33" s="29" t="s">
        <v>82</v>
      </c>
      <c r="B33" s="62">
        <f t="shared" si="10" ref="B33:G34">B9+B21</f>
        <v>2886</v>
      </c>
      <c r="C33" s="62">
        <f t="shared" si="10"/>
        <v>2965</v>
      </c>
      <c r="D33" s="62">
        <f t="shared" si="10"/>
        <v>11167</v>
      </c>
      <c r="E33" s="62">
        <f t="shared" si="10"/>
        <v>2950</v>
      </c>
      <c r="F33" s="62">
        <f t="shared" si="10"/>
        <v>3179</v>
      </c>
      <c r="G33" s="63">
        <f t="shared" si="10"/>
        <v>3160.465</v>
      </c>
      <c r="H33" s="3"/>
    </row>
    <row r="34" ht="15" customHeight="1">
      <c r="A34" s="58" t="s">
        <v>69</v>
      </c>
      <c r="B34" s="27">
        <f t="shared" si="10"/>
        <v>2663</v>
      </c>
      <c r="C34" s="27">
        <f t="shared" si="10"/>
        <v>2583</v>
      </c>
      <c r="D34" s="27">
        <f t="shared" si="10"/>
        <v>10387</v>
      </c>
      <c r="E34" s="27">
        <f t="shared" si="10"/>
        <v>2610</v>
      </c>
      <c r="F34" s="27">
        <f t="shared" si="10"/>
        <v>2706</v>
      </c>
      <c r="G34" s="60">
        <f t="shared" si="10"/>
        <v>2886</v>
      </c>
      <c r="H34" s="3"/>
    </row>
    <row r="35" ht="15" customHeight="1">
      <c r="A35" s="45" t="s">
        <v>70</v>
      </c>
      <c r="B35" s="37">
        <f t="shared" si="0"/>
        <v>0.08374014269620722</v>
      </c>
      <c r="C35" s="37">
        <f t="shared" si="0"/>
        <v>0.14789005032907476</v>
      </c>
      <c r="D35" s="37">
        <f t="shared" si="0"/>
        <v>0.07509386733416767</v>
      </c>
      <c r="E35" s="37">
        <f t="shared" si="0"/>
        <v>0.13026819923371646</v>
      </c>
      <c r="F35" s="37">
        <f t="shared" si="0"/>
        <v>0.17479674796747968</v>
      </c>
      <c r="G35" s="59">
        <f t="shared" si="0"/>
        <v>0.0951022176022176</v>
      </c>
      <c r="H35" s="3"/>
    </row>
    <row r="36" ht="15" customHeight="1">
      <c r="A36" s="58" t="s">
        <v>71</v>
      </c>
      <c r="B36" s="27">
        <f t="shared" si="1"/>
        <v>223</v>
      </c>
      <c r="C36" s="27">
        <f t="shared" si="1"/>
        <v>382</v>
      </c>
      <c r="D36" s="27">
        <f t="shared" si="1"/>
        <v>780</v>
      </c>
      <c r="E36" s="27">
        <f t="shared" si="1"/>
        <v>340</v>
      </c>
      <c r="F36" s="27">
        <f t="shared" si="1"/>
        <v>473</v>
      </c>
      <c r="G36" s="60">
        <f t="shared" si="1"/>
        <v>274.46500000000015</v>
      </c>
      <c r="H36" s="3"/>
    </row>
    <row r="37" ht="15" customHeight="1">
      <c r="A37" s="45" t="s">
        <v>72</v>
      </c>
      <c r="B37" s="37">
        <f t="shared" si="5"/>
        <v>0.06651884700665178</v>
      </c>
      <c r="C37" s="37">
        <f t="shared" si="2"/>
        <v>0.027373527373527384</v>
      </c>
      <c r="D37" s="37"/>
      <c r="E37" s="37">
        <f t="shared" si="6"/>
        <v>-0.005059021922428353</v>
      </c>
      <c r="F37" s="37">
        <f t="shared" si="2"/>
        <v>0.0776271186440678</v>
      </c>
      <c r="G37" s="59">
        <f t="shared" si="2"/>
        <v>-0.005830449826989548</v>
      </c>
      <c r="H37" s="3"/>
    </row>
    <row r="38" ht="15" customHeight="1">
      <c r="A38" s="58" t="s">
        <v>73</v>
      </c>
      <c r="B38" s="27">
        <f t="shared" si="7"/>
        <v>180</v>
      </c>
      <c r="C38" s="27">
        <f t="shared" si="3"/>
        <v>79</v>
      </c>
      <c r="D38" s="27"/>
      <c r="E38" s="27">
        <f t="shared" si="8"/>
        <v>-15</v>
      </c>
      <c r="F38" s="27">
        <f t="shared" si="3"/>
        <v>229</v>
      </c>
      <c r="G38" s="60">
        <f t="shared" si="3"/>
        <v>-18.534999999999854</v>
      </c>
      <c r="H38" s="3"/>
    </row>
    <row r="39" ht="15" customHeight="1">
      <c r="A39" s="45" t="s">
        <v>74</v>
      </c>
      <c r="B39" s="37">
        <f t="shared" si="11" ref="B39:G39">B33/B33</f>
        <v>1</v>
      </c>
      <c r="C39" s="37">
        <f t="shared" si="11"/>
        <v>1</v>
      </c>
      <c r="D39" s="37">
        <f t="shared" si="11"/>
        <v>1</v>
      </c>
      <c r="E39" s="37">
        <f t="shared" si="11"/>
        <v>1</v>
      </c>
      <c r="F39" s="37">
        <f t="shared" si="11"/>
        <v>1</v>
      </c>
      <c r="G39" s="59">
        <f t="shared" si="11"/>
        <v>1</v>
      </c>
      <c r="H39" s="3"/>
    </row>
    <row r="40" ht="15" customHeight="1">
      <c r="A40" s="58" t="s">
        <v>83</v>
      </c>
      <c r="B40" s="26">
        <f>'Segment - Freight'!B83+'Segment - Transit'!B51</f>
        <v>134</v>
      </c>
      <c r="C40" s="26">
        <f>'Segment - Freight'!C83+'Segment - Transit'!C51</f>
        <v>171</v>
      </c>
      <c r="D40" s="26">
        <f>'Segment - Freight'!D83+'Segment - Transit'!D51</f>
        <v>355</v>
      </c>
      <c r="E40" s="26">
        <f>'Segment - Freight'!E83+'Segment - Transit'!E51</f>
        <v>225</v>
      </c>
      <c r="F40" s="26">
        <f>'Segment - Freight'!F83+'Segment - Transit'!F51</f>
        <v>232</v>
      </c>
      <c r="G40" s="57">
        <f>'Segment - Freight'!G83+'Segment - Transit'!G51</f>
        <v>109</v>
      </c>
      <c r="H40" s="3"/>
    </row>
    <row r="41" ht="15" customHeight="1">
      <c r="A41" s="58" t="s">
        <v>84</v>
      </c>
      <c r="B41" s="26">
        <f>'Segment - Freight'!B84+'Segment - Transit'!B52</f>
        <v>-13</v>
      </c>
      <c r="C41" s="26">
        <f>'Segment - Freight'!C84+'Segment - Transit'!C52</f>
        <v>-21</v>
      </c>
      <c r="D41" s="26">
        <f>'Segment - Freight'!D84+'Segment - Transit'!D52</f>
        <v>-72</v>
      </c>
      <c r="E41" s="26">
        <f>'Segment - Freight'!E84+'Segment - Transit'!E52</f>
        <v>-13</v>
      </c>
      <c r="F41" s="26">
        <f>'Segment - Freight'!F84+'Segment - Transit'!F52</f>
        <v>-12</v>
      </c>
      <c r="G41" s="57">
        <f>'Segment - Freight'!G84+'Segment - Transit'!G52</f>
        <v>-9</v>
      </c>
      <c r="H41" s="3"/>
    </row>
    <row r="42" ht="15" customHeight="1">
      <c r="A42" s="58" t="s">
        <v>85</v>
      </c>
      <c r="B42" s="26">
        <f>'Segment - Freight'!B85+'Segment - Transit'!B53</f>
        <v>23</v>
      </c>
      <c r="C42" s="26">
        <f>'Segment - Freight'!C85+'Segment - Transit'!C53</f>
        <v>42</v>
      </c>
      <c r="D42" s="26">
        <f>'Segment - Freight'!D85+'Segment - Transit'!D53</f>
        <v>33</v>
      </c>
      <c r="E42" s="26">
        <f>'Segment - Freight'!E85+'Segment - Transit'!E53</f>
        <v>68</v>
      </c>
      <c r="F42" s="26">
        <f>'Segment - Freight'!F85+'Segment - Transit'!F53</f>
        <v>24</v>
      </c>
      <c r="G42" s="57">
        <f>'Segment - Freight'!G85+'Segment - Transit'!G53</f>
        <v>-11</v>
      </c>
      <c r="H42" s="3"/>
    </row>
    <row r="43" ht="15" customHeight="1">
      <c r="A43" s="58" t="s">
        <v>86</v>
      </c>
      <c r="B43" s="26">
        <f>'Segment - Freight'!B86+'Segment - Transit'!B54</f>
        <v>79</v>
      </c>
      <c r="C43" s="26">
        <f>'Segment - Freight'!C86+'Segment - Transit'!C54</f>
        <v>190</v>
      </c>
      <c r="D43" s="26">
        <f>'Segment - Freight'!D86+'Segment - Transit'!D54</f>
        <v>464</v>
      </c>
      <c r="E43" s="26">
        <f>'Segment - Freight'!E86+'Segment - Transit'!E54</f>
        <v>60</v>
      </c>
      <c r="F43" s="26">
        <f>'Segment - Freight'!F86+'Segment - Transit'!F54</f>
        <v>229</v>
      </c>
      <c r="G43" s="57">
        <f>'Segment - Freight'!G86+'Segment - Transit'!G54</f>
        <v>185.46500000000015</v>
      </c>
      <c r="H43" s="3"/>
    </row>
    <row r="44" ht="15" customHeight="1">
      <c r="A44" s="45" t="s">
        <v>75</v>
      </c>
      <c r="B44" s="37">
        <f t="shared" si="12" ref="B44:G44">B40/B34</f>
        <v>0.05031918888471649</v>
      </c>
      <c r="C44" s="37">
        <f t="shared" si="12"/>
        <v>0.06620209059233449</v>
      </c>
      <c r="D44" s="37">
        <f t="shared" si="12"/>
        <v>0.03417733705593531</v>
      </c>
      <c r="E44" s="37">
        <f t="shared" si="12"/>
        <v>0.08620689655172414</v>
      </c>
      <c r="F44" s="37">
        <f t="shared" si="12"/>
        <v>0.08573540280857354</v>
      </c>
      <c r="G44" s="59">
        <f t="shared" si="12"/>
        <v>0.037768537768537766</v>
      </c>
      <c r="H44" s="3"/>
    </row>
    <row r="45" ht="15" customHeight="1">
      <c r="A45" s="45" t="s">
        <v>76</v>
      </c>
      <c r="B45" s="37">
        <f t="shared" si="13" ref="B45:G45">B41/B34</f>
        <v>-0.00488171235448742</v>
      </c>
      <c r="C45" s="37">
        <f t="shared" si="13"/>
        <v>-0.008130081300813009</v>
      </c>
      <c r="D45" s="37">
        <f t="shared" si="13"/>
        <v>-0.006931741600077019</v>
      </c>
      <c r="E45" s="37">
        <f t="shared" si="13"/>
        <v>-0.004980842911877395</v>
      </c>
      <c r="F45" s="37">
        <f t="shared" si="13"/>
        <v>-0.004434589800443459</v>
      </c>
      <c r="G45" s="59">
        <f t="shared" si="13"/>
        <v>-0.0031185031185031187</v>
      </c>
      <c r="H45" s="3"/>
    </row>
    <row r="46" ht="15" customHeight="1">
      <c r="A46" s="45" t="s">
        <v>77</v>
      </c>
      <c r="B46" s="37">
        <f t="shared" si="14" ref="B46:G46">B42/B34</f>
        <v>0.008636875704093128</v>
      </c>
      <c r="C46" s="37">
        <f t="shared" si="14"/>
        <v>0.016260162601626018</v>
      </c>
      <c r="D46" s="37">
        <f t="shared" si="14"/>
        <v>0.003177048233368634</v>
      </c>
      <c r="E46" s="37">
        <f t="shared" si="14"/>
        <v>0.026053639846743294</v>
      </c>
      <c r="F46" s="37">
        <f t="shared" si="14"/>
        <v>0.008869179600886918</v>
      </c>
      <c r="G46" s="59">
        <f t="shared" si="14"/>
        <v>-0.0038115038115038116</v>
      </c>
      <c r="H46" s="3"/>
    </row>
    <row r="47" ht="15" customHeight="1">
      <c r="A47" s="45" t="s">
        <v>78</v>
      </c>
      <c r="B47" s="37">
        <f t="shared" si="15" ref="B47:G47">B43/B34</f>
        <v>0.029665790461885094</v>
      </c>
      <c r="C47" s="37">
        <f t="shared" si="15"/>
        <v>0.07355787843592722</v>
      </c>
      <c r="D47" s="37">
        <f t="shared" si="15"/>
        <v>0.04467122364494079</v>
      </c>
      <c r="E47" s="37">
        <f t="shared" si="15"/>
        <v>0.022988505747126436</v>
      </c>
      <c r="F47" s="37">
        <f t="shared" si="15"/>
        <v>0.08462675535846267</v>
      </c>
      <c r="G47" s="59">
        <f t="shared" si="15"/>
        <v>0.06426368676368681</v>
      </c>
      <c r="H47" s="3"/>
    </row>
    <row r="48" ht="23.25" customHeight="1">
      <c r="A48" s="45" t="s">
        <v>87</v>
      </c>
      <c r="B48" s="37">
        <f t="shared" si="16" ref="B48:G48">(1+B35)/((1+B44+B45)*(1+B46))-1</f>
        <v>0.02776128456620519</v>
      </c>
      <c r="C48" s="37">
        <f t="shared" si="16"/>
        <v>0.06753018660812282</v>
      </c>
      <c r="D48" s="37">
        <f t="shared" si="16"/>
        <v>0.0432646917559949</v>
      </c>
      <c r="E48" s="37">
        <f t="shared" si="16"/>
        <v>0.018814086905986294</v>
      </c>
      <c r="F48" s="37">
        <f t="shared" si="16"/>
        <v>0.07691481450879967</v>
      </c>
      <c r="G48" s="59">
        <f t="shared" si="16"/>
        <v>0.06247729869827312</v>
      </c>
      <c r="H48" s="3"/>
    </row>
    <row r="49" ht="15" customHeight="1">
      <c r="A49" s="58" t="s">
        <v>88</v>
      </c>
      <c r="B49" s="49">
        <v>2886</v>
      </c>
      <c r="C49" s="49">
        <v>2965</v>
      </c>
      <c r="D49" s="49">
        <v>11167</v>
      </c>
      <c r="E49" s="49">
        <v>2950</v>
      </c>
      <c r="F49" s="49">
        <v>3179</v>
      </c>
      <c r="G49" s="60"/>
      <c r="H49" s="18" t="s">
        <v>89</v>
      </c>
    </row>
    <row r="50" ht="15" customHeight="1">
      <c r="A50" s="45" t="s">
        <v>90</v>
      </c>
      <c r="B50" s="47">
        <f t="shared" si="17" ref="B50:F50">B33-B49</f>
        <v>0</v>
      </c>
      <c r="C50" s="47">
        <f t="shared" si="17"/>
        <v>0</v>
      </c>
      <c r="D50" s="47">
        <f t="shared" si="17"/>
        <v>0</v>
      </c>
      <c r="E50" s="47">
        <f t="shared" si="17"/>
        <v>0</v>
      </c>
      <c r="F50" s="47">
        <f t="shared" si="17"/>
        <v>0</v>
      </c>
      <c r="G50" s="64"/>
      <c r="H50" s="3"/>
    </row>
    <row r="51" ht="15" customHeight="1">
      <c r="A51" s="58" t="s">
        <v>91</v>
      </c>
      <c r="B51" s="26">
        <f>Inputs!B122</f>
        <v>2886</v>
      </c>
      <c r="C51" s="26">
        <f>Inputs!B126</f>
        <v>2965</v>
      </c>
      <c r="D51" s="27"/>
      <c r="E51" s="26">
        <f>Inputs!B130</f>
        <v>2950</v>
      </c>
      <c r="F51" s="26">
        <f>Inputs!B134</f>
        <v>3179</v>
      </c>
      <c r="G51" s="57">
        <f>Inputs!B41</f>
        <v>3196.68</v>
      </c>
      <c r="H51" s="18" t="s">
        <v>92</v>
      </c>
    </row>
    <row r="52" ht="15" customHeight="1">
      <c r="A52" s="45" t="s">
        <v>93</v>
      </c>
      <c r="B52" s="47">
        <f t="shared" si="18" ref="B52:F52">B33-B51</f>
        <v>0</v>
      </c>
      <c r="C52" s="47">
        <f t="shared" si="18"/>
        <v>0</v>
      </c>
      <c r="D52" s="47"/>
      <c r="E52" s="47">
        <f t="shared" si="18"/>
        <v>0</v>
      </c>
      <c r="F52" s="47">
        <f t="shared" si="18"/>
        <v>0</v>
      </c>
      <c r="G52" s="64"/>
      <c r="H52" s="3"/>
    </row>
    <row r="53" ht="15" customHeight="1">
      <c r="A53" s="45" t="s">
        <v>94</v>
      </c>
      <c r="B53" s="37"/>
      <c r="C53" s="37"/>
      <c r="D53" s="37"/>
      <c r="E53" s="37"/>
      <c r="F53" s="37"/>
      <c r="G53" s="59">
        <f>G33/G51-1</f>
        <v>-0.011328941276574356</v>
      </c>
      <c r="H53" s="3"/>
    </row>
    <row r="54" ht="15" customHeight="1">
      <c r="A54" s="22"/>
      <c r="B54" s="3"/>
      <c r="C54" s="3"/>
      <c r="D54" s="3"/>
      <c r="E54" s="3"/>
      <c r="F54" s="3"/>
      <c r="G54" s="65"/>
      <c r="H54" s="3"/>
    </row>
    <row r="55" ht="15" customHeight="1">
      <c r="A55" s="55" t="s">
        <v>95</v>
      </c>
      <c r="B55" s="20"/>
      <c r="C55" s="20"/>
      <c r="D55" s="20"/>
      <c r="E55" s="20"/>
      <c r="F55" s="20"/>
      <c r="G55" s="56"/>
      <c r="H55" s="3"/>
    </row>
    <row r="56" ht="15" customHeight="1">
      <c r="A56" s="22" t="s">
        <v>96</v>
      </c>
      <c r="B56" s="49">
        <v>2425</v>
      </c>
      <c r="C56" s="27">
        <f t="shared" si="19" ref="C56:C73">D56-B57</f>
        <v>2453</v>
      </c>
      <c r="D56" s="49">
        <v>9261</v>
      </c>
      <c r="E56" s="49">
        <v>2531</v>
      </c>
      <c r="F56" s="49">
        <v>2670</v>
      </c>
      <c r="G56" s="60">
        <f>G33-G70</f>
        <v>2654.7906000000003</v>
      </c>
      <c r="H56" s="18" t="s">
        <v>97</v>
      </c>
    </row>
    <row r="57" ht="15" customHeight="1">
      <c r="A57" s="66" t="s">
        <v>98</v>
      </c>
      <c r="B57" s="49">
        <v>6808</v>
      </c>
      <c r="C57" s="27"/>
      <c r="D57" s="27"/>
      <c r="E57" s="27"/>
      <c r="F57" s="27"/>
      <c r="G57" s="60"/>
      <c r="H57" s="3"/>
    </row>
    <row r="58" ht="15" customHeight="1">
      <c r="A58" s="58" t="s">
        <v>69</v>
      </c>
      <c r="B58" s="49">
        <v>2171</v>
      </c>
      <c r="C58" s="27">
        <f t="shared" si="19"/>
        <v>2111</v>
      </c>
      <c r="D58" s="49">
        <v>8434</v>
      </c>
      <c r="E58" s="49">
        <v>2157</v>
      </c>
      <c r="F58" s="49">
        <v>2226</v>
      </c>
      <c r="G58" s="60">
        <f>B56</f>
        <v>2425</v>
      </c>
      <c r="H58" s="3"/>
    </row>
    <row r="59" ht="15" customHeight="1">
      <c r="A59" s="66" t="s">
        <v>99</v>
      </c>
      <c r="B59" s="49">
        <v>6323</v>
      </c>
      <c r="C59" s="27"/>
      <c r="D59" s="27"/>
      <c r="E59" s="27"/>
      <c r="F59" s="27"/>
      <c r="G59" s="60"/>
      <c r="H59" s="3"/>
    </row>
    <row r="60" ht="15" customHeight="1">
      <c r="A60" s="45" t="s">
        <v>70</v>
      </c>
      <c r="B60" s="37">
        <f t="shared" si="20" ref="B60:G60">B56/B58-1</f>
        <v>0.11699677567941036</v>
      </c>
      <c r="C60" s="37">
        <f t="shared" si="20"/>
        <v>0.16200852676456656</v>
      </c>
      <c r="D60" s="37">
        <f t="shared" si="20"/>
        <v>0.09805548968460998</v>
      </c>
      <c r="E60" s="37">
        <f t="shared" si="20"/>
        <v>0.1733889661566992</v>
      </c>
      <c r="F60" s="37">
        <f t="shared" si="20"/>
        <v>0.19946091644204844</v>
      </c>
      <c r="G60" s="59">
        <f t="shared" si="20"/>
        <v>0.09475901030927836</v>
      </c>
      <c r="H60" s="3"/>
    </row>
    <row r="61" ht="15" customHeight="1">
      <c r="A61" s="58" t="s">
        <v>71</v>
      </c>
      <c r="B61" s="27">
        <f t="shared" si="21" ref="B61:G61">B56-B58</f>
        <v>254</v>
      </c>
      <c r="C61" s="27">
        <f t="shared" si="21"/>
        <v>342</v>
      </c>
      <c r="D61" s="27">
        <f t="shared" si="21"/>
        <v>827</v>
      </c>
      <c r="E61" s="27">
        <f t="shared" si="21"/>
        <v>374</v>
      </c>
      <c r="F61" s="27">
        <f t="shared" si="21"/>
        <v>444</v>
      </c>
      <c r="G61" s="60">
        <f t="shared" si="21"/>
        <v>229.79060000000027</v>
      </c>
      <c r="H61" s="3"/>
    </row>
    <row r="62" ht="15" customHeight="1">
      <c r="A62" s="45" t="s">
        <v>72</v>
      </c>
      <c r="B62" s="37">
        <f>B56/F58-1</f>
        <v>0.08939802336028757</v>
      </c>
      <c r="C62" s="37">
        <f t="shared" si="22" ref="C62:G62">C56/B56-1</f>
        <v>0.011546391752577323</v>
      </c>
      <c r="D62" s="37"/>
      <c r="E62" s="37">
        <f>E56/C56-1</f>
        <v>0.03179779861394216</v>
      </c>
      <c r="F62" s="37">
        <f t="shared" si="22"/>
        <v>0.0549190043461083</v>
      </c>
      <c r="G62" s="59">
        <f t="shared" si="22"/>
        <v>-0.0056964044943819125</v>
      </c>
      <c r="H62" s="3"/>
    </row>
    <row r="63" ht="15" customHeight="1">
      <c r="A63" s="58" t="s">
        <v>73</v>
      </c>
      <c r="B63" s="27">
        <f>B56-F58</f>
        <v>199</v>
      </c>
      <c r="C63" s="27">
        <f t="shared" si="23" ref="C63:G63">C56-B56</f>
        <v>28</v>
      </c>
      <c r="D63" s="27"/>
      <c r="E63" s="27">
        <f>E56-C56</f>
        <v>78</v>
      </c>
      <c r="F63" s="27">
        <f t="shared" si="23"/>
        <v>139</v>
      </c>
      <c r="G63" s="60">
        <f t="shared" si="23"/>
        <v>-15.209399999999732</v>
      </c>
      <c r="H63" s="3"/>
    </row>
    <row r="64" ht="15" customHeight="1">
      <c r="A64" s="45" t="s">
        <v>74</v>
      </c>
      <c r="B64" s="37">
        <f t="shared" si="24" ref="B64:G64">B56/B33</f>
        <v>0.8402633402633403</v>
      </c>
      <c r="C64" s="37">
        <f t="shared" si="24"/>
        <v>0.827318718381113</v>
      </c>
      <c r="D64" s="37">
        <f t="shared" si="24"/>
        <v>0.8293185278051401</v>
      </c>
      <c r="E64" s="37">
        <f t="shared" si="24"/>
        <v>0.8579661016949153</v>
      </c>
      <c r="F64" s="37">
        <f t="shared" si="24"/>
        <v>0.8398867568417742</v>
      </c>
      <c r="G64" s="59">
        <f t="shared" si="24"/>
        <v>0.8400000000000001</v>
      </c>
      <c r="H64" s="3"/>
    </row>
    <row r="65" ht="15" customHeight="1">
      <c r="A65" s="45" t="s">
        <v>100</v>
      </c>
      <c r="B65" s="36">
        <f t="shared" si="25" ref="B65:G65">(B56/B33-B58/B34)*10000</f>
        <v>250.17377063941137</v>
      </c>
      <c r="C65" s="36">
        <f t="shared" si="25"/>
        <v>100.51974285100628</v>
      </c>
      <c r="D65" s="36">
        <f t="shared" si="25"/>
        <v>173.4201870722929</v>
      </c>
      <c r="E65" s="36">
        <f t="shared" si="25"/>
        <v>315.2932008571985</v>
      </c>
      <c r="F65" s="36">
        <f t="shared" si="25"/>
        <v>172.70348859512507</v>
      </c>
      <c r="G65" s="67">
        <f t="shared" si="25"/>
        <v>-2.633402633401838</v>
      </c>
      <c r="H65" s="3"/>
    </row>
    <row r="66" ht="15" customHeight="1">
      <c r="A66" s="45" t="s">
        <v>101</v>
      </c>
      <c r="B66" s="36">
        <f>(B56/B33-F58/F34)*10000</f>
        <v>176.46932281078608</v>
      </c>
      <c r="C66" s="36">
        <f t="shared" si="26" ref="C66:G66">(C56/C33-B56/B33)*10000</f>
        <v>-129.44621882227224</v>
      </c>
      <c r="D66" s="36"/>
      <c r="E66" s="36">
        <f>(E56/E33-C56/C33)*10000</f>
        <v>306.47383313802237</v>
      </c>
      <c r="F66" s="36">
        <f t="shared" si="26"/>
        <v>-180.79344853141112</v>
      </c>
      <c r="G66" s="67">
        <f t="shared" si="26"/>
        <v>1.1324315822591746</v>
      </c>
      <c r="H66" s="3"/>
    </row>
    <row r="67" ht="15" customHeight="1">
      <c r="A67" s="45" t="s">
        <v>102</v>
      </c>
      <c r="B67" s="37" t="s">
        <v>103</v>
      </c>
      <c r="C67" s="37" t="s">
        <v>103</v>
      </c>
      <c r="D67" s="37" t="s">
        <v>103</v>
      </c>
      <c r="E67" s="37" t="s">
        <v>103</v>
      </c>
      <c r="F67" s="37" t="s">
        <v>103</v>
      </c>
      <c r="G67" s="59" t="s">
        <v>103</v>
      </c>
      <c r="H67" s="18" t="s">
        <v>104</v>
      </c>
    </row>
    <row r="68" ht="15" customHeight="1">
      <c r="A68" s="45" t="s">
        <v>77</v>
      </c>
      <c r="B68" s="37" t="s">
        <v>103</v>
      </c>
      <c r="C68" s="37" t="s">
        <v>103</v>
      </c>
      <c r="D68" s="37" t="s">
        <v>103</v>
      </c>
      <c r="E68" s="37" t="s">
        <v>103</v>
      </c>
      <c r="F68" s="37" t="s">
        <v>103</v>
      </c>
      <c r="G68" s="59" t="s">
        <v>103</v>
      </c>
      <c r="H68" s="3"/>
    </row>
    <row r="69" ht="15" customHeight="1">
      <c r="A69" s="45" t="s">
        <v>79</v>
      </c>
      <c r="B69" s="37" t="s">
        <v>103</v>
      </c>
      <c r="C69" s="37" t="s">
        <v>103</v>
      </c>
      <c r="D69" s="37" t="s">
        <v>103</v>
      </c>
      <c r="E69" s="37" t="s">
        <v>103</v>
      </c>
      <c r="F69" s="37" t="s">
        <v>103</v>
      </c>
      <c r="G69" s="59" t="s">
        <v>103</v>
      </c>
      <c r="H69" s="3"/>
    </row>
    <row r="70" ht="15" customHeight="1">
      <c r="A70" s="22" t="s">
        <v>105</v>
      </c>
      <c r="B70" s="49">
        <v>461</v>
      </c>
      <c r="C70" s="27">
        <f t="shared" si="19"/>
        <v>512</v>
      </c>
      <c r="D70" s="49">
        <v>1906</v>
      </c>
      <c r="E70" s="49">
        <v>419</v>
      </c>
      <c r="F70" s="49">
        <v>509</v>
      </c>
      <c r="G70" s="60">
        <f>G33*G72</f>
        <v>505.67440000000005</v>
      </c>
      <c r="H70" s="3"/>
    </row>
    <row r="71" ht="15" customHeight="1">
      <c r="A71" s="66" t="s">
        <v>106</v>
      </c>
      <c r="B71" s="49">
        <v>1394</v>
      </c>
      <c r="C71" s="27"/>
      <c r="D71" s="27"/>
      <c r="E71" s="27"/>
      <c r="F71" s="27"/>
      <c r="G71" s="60"/>
      <c r="H71" s="3"/>
    </row>
    <row r="72" ht="15" customHeight="1">
      <c r="A72" s="68" t="s">
        <v>107</v>
      </c>
      <c r="B72" s="37"/>
      <c r="C72" s="37"/>
      <c r="D72" s="37"/>
      <c r="E72" s="37"/>
      <c r="F72" s="37"/>
      <c r="G72" s="69">
        <v>0.16</v>
      </c>
      <c r="H72" s="18" t="s">
        <v>108</v>
      </c>
    </row>
    <row r="73" ht="15" customHeight="1">
      <c r="A73" s="58" t="s">
        <v>69</v>
      </c>
      <c r="B73" s="49">
        <v>492</v>
      </c>
      <c r="C73" s="27">
        <f t="shared" si="19"/>
        <v>472</v>
      </c>
      <c r="D73" s="49">
        <v>1953</v>
      </c>
      <c r="E73" s="49">
        <v>453</v>
      </c>
      <c r="F73" s="49">
        <v>480</v>
      </c>
      <c r="G73" s="60">
        <f>B70</f>
        <v>461</v>
      </c>
      <c r="H73" s="3"/>
    </row>
    <row r="74" ht="15" customHeight="1">
      <c r="A74" s="66" t="s">
        <v>109</v>
      </c>
      <c r="B74" s="49">
        <v>1481</v>
      </c>
      <c r="C74" s="27"/>
      <c r="D74" s="27"/>
      <c r="E74" s="27"/>
      <c r="F74" s="27"/>
      <c r="G74" s="60"/>
      <c r="H74" s="3"/>
    </row>
    <row r="75" ht="15" customHeight="1">
      <c r="A75" s="45" t="s">
        <v>70</v>
      </c>
      <c r="B75" s="37">
        <f t="shared" si="27" ref="B75:G75">B70/B73-1</f>
        <v>-0.0630081300813008</v>
      </c>
      <c r="C75" s="37">
        <f t="shared" si="27"/>
        <v>0.0847457627118644</v>
      </c>
      <c r="D75" s="37">
        <f t="shared" si="27"/>
        <v>-0.02406554019457241</v>
      </c>
      <c r="E75" s="37">
        <f t="shared" si="27"/>
        <v>-0.07505518763796915</v>
      </c>
      <c r="F75" s="37">
        <f t="shared" si="27"/>
        <v>0.06041666666666656</v>
      </c>
      <c r="G75" s="59">
        <f t="shared" si="27"/>
        <v>0.09690759219088951</v>
      </c>
      <c r="H75" s="3"/>
    </row>
    <row r="76" ht="15" customHeight="1">
      <c r="A76" s="58" t="s">
        <v>71</v>
      </c>
      <c r="B76" s="27">
        <f t="shared" si="28" ref="B76:G76">B70-B73</f>
        <v>-31</v>
      </c>
      <c r="C76" s="27">
        <f t="shared" si="28"/>
        <v>40</v>
      </c>
      <c r="D76" s="27">
        <f t="shared" si="28"/>
        <v>-47</v>
      </c>
      <c r="E76" s="27">
        <f t="shared" si="28"/>
        <v>-34</v>
      </c>
      <c r="F76" s="27">
        <f t="shared" si="28"/>
        <v>29</v>
      </c>
      <c r="G76" s="60">
        <f t="shared" si="28"/>
        <v>44.67440000000005</v>
      </c>
      <c r="H76" s="3"/>
    </row>
    <row r="77" ht="15" customHeight="1">
      <c r="A77" s="45" t="s">
        <v>72</v>
      </c>
      <c r="B77" s="37">
        <f>B70/F73-1</f>
        <v>-0.039583333333333304</v>
      </c>
      <c r="C77" s="37">
        <f t="shared" si="29" ref="C77:G77">C70/B70-1</f>
        <v>0.11062906724511934</v>
      </c>
      <c r="D77" s="37"/>
      <c r="E77" s="37">
        <f>E70/C70-1</f>
        <v>-0.181640625</v>
      </c>
      <c r="F77" s="37">
        <f t="shared" si="29"/>
        <v>0.21479713603818618</v>
      </c>
      <c r="G77" s="59">
        <f t="shared" si="29"/>
        <v>-0.0065335952848721845</v>
      </c>
      <c r="H77" s="3"/>
    </row>
    <row r="78" ht="15" customHeight="1">
      <c r="A78" s="58" t="s">
        <v>73</v>
      </c>
      <c r="B78" s="27">
        <f>B70-F73</f>
        <v>-19</v>
      </c>
      <c r="C78" s="27">
        <f t="shared" si="30" ref="C78:G78">C70-B70</f>
        <v>51</v>
      </c>
      <c r="D78" s="27"/>
      <c r="E78" s="27">
        <f>E70-C70</f>
        <v>-93</v>
      </c>
      <c r="F78" s="27">
        <f t="shared" si="30"/>
        <v>90</v>
      </c>
      <c r="G78" s="60">
        <f t="shared" si="30"/>
        <v>-3.3255999999999517</v>
      </c>
      <c r="H78" s="3"/>
    </row>
    <row r="79" ht="15" customHeight="1">
      <c r="A79" s="45" t="s">
        <v>74</v>
      </c>
      <c r="B79" s="37">
        <f t="shared" si="31" ref="B79:G79">B70/B33</f>
        <v>0.15973665973665974</v>
      </c>
      <c r="C79" s="37">
        <f t="shared" si="31"/>
        <v>0.17268128161888702</v>
      </c>
      <c r="D79" s="37">
        <f t="shared" si="31"/>
        <v>0.17068147219485985</v>
      </c>
      <c r="E79" s="37">
        <f t="shared" si="31"/>
        <v>0.14203389830508475</v>
      </c>
      <c r="F79" s="37">
        <f t="shared" si="31"/>
        <v>0.16011324315822587</v>
      </c>
      <c r="G79" s="59">
        <f t="shared" si="31"/>
        <v>0.16</v>
      </c>
      <c r="H79" s="3"/>
    </row>
    <row r="80" ht="15" customHeight="1">
      <c r="A80" s="45" t="s">
        <v>100</v>
      </c>
      <c r="B80" s="36">
        <f t="shared" si="32" ref="B80:G80">(B70/B33-B73/B34)*10000</f>
        <v>-250.17377063941083</v>
      </c>
      <c r="C80" s="36">
        <f t="shared" si="32"/>
        <v>-100.51974285100601</v>
      </c>
      <c r="D80" s="36">
        <f t="shared" si="32"/>
        <v>-173.4201870722929</v>
      </c>
      <c r="E80" s="36">
        <f t="shared" si="32"/>
        <v>-315.2932008571985</v>
      </c>
      <c r="F80" s="36">
        <f t="shared" si="32"/>
        <v>-172.70348859512507</v>
      </c>
      <c r="G80" s="67">
        <f t="shared" si="32"/>
        <v>2.6334026334026706</v>
      </c>
      <c r="H80" s="3"/>
    </row>
    <row r="81" ht="15" customHeight="1">
      <c r="A81" s="45" t="s">
        <v>101</v>
      </c>
      <c r="B81" s="36">
        <f>(B70/B33-F73/F34)*10000</f>
        <v>-176.46932281078637</v>
      </c>
      <c r="C81" s="36">
        <f t="shared" si="33" ref="C81:G81">(C70/C33-B70/B33)*10000</f>
        <v>129.4462188222728</v>
      </c>
      <c r="D81" s="36"/>
      <c r="E81" s="36">
        <f>(E70/E33-C70/C33)*10000</f>
        <v>-306.4738331380226</v>
      </c>
      <c r="F81" s="36">
        <f t="shared" si="33"/>
        <v>180.79344853141112</v>
      </c>
      <c r="G81" s="67">
        <f t="shared" si="33"/>
        <v>-1.1324315822586195</v>
      </c>
      <c r="H81" s="3"/>
    </row>
    <row r="82" ht="15" customHeight="1">
      <c r="A82" s="45" t="s">
        <v>102</v>
      </c>
      <c r="B82" s="37" t="s">
        <v>103</v>
      </c>
      <c r="C82" s="37" t="s">
        <v>103</v>
      </c>
      <c r="D82" s="37" t="s">
        <v>103</v>
      </c>
      <c r="E82" s="37" t="s">
        <v>103</v>
      </c>
      <c r="F82" s="37" t="s">
        <v>103</v>
      </c>
      <c r="G82" s="59" t="s">
        <v>103</v>
      </c>
      <c r="H82" s="18" t="s">
        <v>104</v>
      </c>
    </row>
    <row r="83" ht="15" customHeight="1">
      <c r="A83" s="45" t="s">
        <v>77</v>
      </c>
      <c r="B83" s="37" t="s">
        <v>103</v>
      </c>
      <c r="C83" s="37" t="s">
        <v>103</v>
      </c>
      <c r="D83" s="37" t="s">
        <v>103</v>
      </c>
      <c r="E83" s="37" t="s">
        <v>103</v>
      </c>
      <c r="F83" s="37" t="s">
        <v>103</v>
      </c>
      <c r="G83" s="59" t="s">
        <v>103</v>
      </c>
      <c r="H83" s="3"/>
    </row>
    <row r="84" ht="15" customHeight="1">
      <c r="A84" s="45" t="s">
        <v>79</v>
      </c>
      <c r="B84" s="37" t="s">
        <v>103</v>
      </c>
      <c r="C84" s="37" t="s">
        <v>103</v>
      </c>
      <c r="D84" s="37" t="s">
        <v>103</v>
      </c>
      <c r="E84" s="37" t="s">
        <v>103</v>
      </c>
      <c r="F84" s="37" t="s">
        <v>103</v>
      </c>
      <c r="G84" s="59" t="s">
        <v>103</v>
      </c>
      <c r="H84" s="3"/>
    </row>
    <row r="85" ht="15" customHeight="1">
      <c r="A85" s="45" t="s">
        <v>110</v>
      </c>
      <c r="B85" s="47">
        <f t="shared" si="34" ref="B85:G85">B56+B70-B33</f>
        <v>0</v>
      </c>
      <c r="C85" s="47">
        <f t="shared" si="34"/>
        <v>0</v>
      </c>
      <c r="D85" s="47">
        <f t="shared" si="34"/>
        <v>0</v>
      </c>
      <c r="E85" s="47">
        <f t="shared" si="34"/>
        <v>0</v>
      </c>
      <c r="F85" s="47">
        <f t="shared" si="34"/>
        <v>0</v>
      </c>
      <c r="G85" s="64">
        <f t="shared" si="34"/>
        <v>0</v>
      </c>
      <c r="H85" s="3"/>
    </row>
    <row r="86" ht="15" customHeight="1">
      <c r="A86" s="22"/>
      <c r="B86" s="3"/>
      <c r="C86" s="3"/>
      <c r="D86" s="3"/>
      <c r="E86" s="3"/>
      <c r="F86" s="3"/>
      <c r="G86" s="65"/>
      <c r="H86" s="3"/>
    </row>
    <row r="87" ht="15" customHeight="1">
      <c r="A87" s="55" t="s">
        <v>111</v>
      </c>
      <c r="B87" s="20"/>
      <c r="C87" s="20"/>
      <c r="D87" s="20"/>
      <c r="E87" s="20"/>
      <c r="F87" s="20"/>
      <c r="G87" s="56"/>
      <c r="H87" s="3"/>
    </row>
    <row r="88" ht="15" customHeight="1">
      <c r="A88" s="29" t="s">
        <v>112</v>
      </c>
      <c r="B88" s="70">
        <f>'Segment - Freight'!B100+'Segment - Transit'!B68</f>
        <v>25577</v>
      </c>
      <c r="C88" s="70">
        <f>'Segment - Freight'!C100+'Segment - Transit'!C68</f>
        <v>27407</v>
      </c>
      <c r="D88" s="70">
        <f>'Segment - Freight'!D100+'Segment - Transit'!D68</f>
        <v>27407</v>
      </c>
      <c r="E88" s="70">
        <f>'Segment - Freight'!E100+'Segment - Transit'!E68</f>
        <v>30802</v>
      </c>
      <c r="F88" s="70">
        <f>'Segment - Freight'!F100+'Segment - Transit'!F68</f>
        <v>30932</v>
      </c>
      <c r="G88" s="71">
        <f>'Segment - Freight'!G100+'Segment - Transit'!G68</f>
        <v>31045.08275</v>
      </c>
      <c r="H88" s="3"/>
    </row>
    <row r="89" ht="15" customHeight="1">
      <c r="A89" s="58" t="s">
        <v>113</v>
      </c>
      <c r="B89" s="26">
        <f>'Segment - Freight'!B102+'Segment - Transit'!B70</f>
        <v>22234</v>
      </c>
      <c r="C89" s="26">
        <f>'Segment - Freight'!C102+'Segment - Transit'!C70</f>
        <v>22272</v>
      </c>
      <c r="D89" s="26">
        <f>'Segment - Freight'!D102+'Segment - Transit'!D70</f>
        <v>22272</v>
      </c>
      <c r="E89" s="26">
        <f>'Segment - Freight'!E102+'Segment - Transit'!E70</f>
        <v>22302</v>
      </c>
      <c r="F89" s="26">
        <f>'Segment - Freight'!F102+'Segment - Transit'!F70</f>
        <v>21828</v>
      </c>
      <c r="G89" s="57">
        <f>'Segment - Freight'!G102+'Segment - Transit'!G70</f>
        <v>25577</v>
      </c>
      <c r="H89" s="3"/>
    </row>
    <row r="90" ht="15" customHeight="1">
      <c r="A90" s="45" t="s">
        <v>70</v>
      </c>
      <c r="B90" s="37">
        <f t="shared" si="0"/>
        <v>0.1503553116848071</v>
      </c>
      <c r="C90" s="37">
        <f t="shared" si="0"/>
        <v>0.2305585488505748</v>
      </c>
      <c r="D90" s="37">
        <f t="shared" si="0"/>
        <v>0.2305585488505748</v>
      </c>
      <c r="E90" s="37">
        <f t="shared" si="0"/>
        <v>0.38113173706394043</v>
      </c>
      <c r="F90" s="37">
        <f t="shared" si="0"/>
        <v>0.4170789811251603</v>
      </c>
      <c r="G90" s="59">
        <f t="shared" si="0"/>
        <v>0.2137890585291473</v>
      </c>
      <c r="H90" s="3"/>
    </row>
    <row r="91" ht="15" customHeight="1">
      <c r="A91" s="58" t="s">
        <v>71</v>
      </c>
      <c r="B91" s="27">
        <f t="shared" si="1"/>
        <v>3343</v>
      </c>
      <c r="C91" s="27">
        <f t="shared" si="1"/>
        <v>5135</v>
      </c>
      <c r="D91" s="27">
        <f t="shared" si="1"/>
        <v>5135</v>
      </c>
      <c r="E91" s="27">
        <f t="shared" si="1"/>
        <v>8500</v>
      </c>
      <c r="F91" s="27">
        <f t="shared" si="1"/>
        <v>9104</v>
      </c>
      <c r="G91" s="60">
        <f t="shared" si="1"/>
        <v>5468.082750000001</v>
      </c>
      <c r="H91" s="3"/>
    </row>
    <row r="92" ht="15" customHeight="1">
      <c r="A92" s="45" t="s">
        <v>72</v>
      </c>
      <c r="B92" s="37">
        <f t="shared" si="5"/>
        <v>0.17175187832142202</v>
      </c>
      <c r="C92" s="37">
        <f t="shared" si="2"/>
        <v>0.07154865699652024</v>
      </c>
      <c r="D92" s="37"/>
      <c r="E92" s="37">
        <f t="shared" si="6"/>
        <v>0.12387346298390911</v>
      </c>
      <c r="F92" s="37">
        <f t="shared" si="2"/>
        <v>0.0042205051620025635</v>
      </c>
      <c r="G92" s="59">
        <f t="shared" si="2"/>
        <v>0.0036558499288763535</v>
      </c>
      <c r="H92" s="3"/>
    </row>
    <row r="93" ht="15" customHeight="1">
      <c r="A93" s="58" t="s">
        <v>73</v>
      </c>
      <c r="B93" s="27">
        <f t="shared" si="7"/>
        <v>3749</v>
      </c>
      <c r="C93" s="27">
        <f t="shared" si="3"/>
        <v>1830</v>
      </c>
      <c r="D93" s="27"/>
      <c r="E93" s="27">
        <f t="shared" si="8"/>
        <v>3395</v>
      </c>
      <c r="F93" s="27">
        <f t="shared" si="3"/>
        <v>130</v>
      </c>
      <c r="G93" s="60">
        <f t="shared" si="3"/>
        <v>113.0827500000014</v>
      </c>
      <c r="H93" s="3"/>
    </row>
    <row r="94" ht="15" customHeight="1">
      <c r="A94" s="29" t="s">
        <v>114</v>
      </c>
      <c r="B94" s="70">
        <f>'Segment - Freight'!B110+'Segment - Transit'!B78</f>
        <v>8267</v>
      </c>
      <c r="C94" s="70">
        <f>'Segment - Freight'!C110+'Segment - Transit'!C78</f>
        <v>8234</v>
      </c>
      <c r="D94" s="70">
        <f>'Segment - Freight'!D110+'Segment - Transit'!D78</f>
        <v>8234</v>
      </c>
      <c r="E94" s="70">
        <f>'Segment - Freight'!E110+'Segment - Transit'!E78</f>
        <v>9247</v>
      </c>
      <c r="F94" s="70">
        <f>'Segment - Freight'!F110+'Segment - Transit'!F78</f>
        <v>9140</v>
      </c>
      <c r="G94" s="71">
        <f>'Segment - Freight'!G110+'Segment - Transit'!G78</f>
        <v>9140</v>
      </c>
      <c r="H94" s="3"/>
    </row>
    <row r="95" ht="15" customHeight="1">
      <c r="A95" s="58" t="s">
        <v>113</v>
      </c>
      <c r="B95" s="26">
        <f>'Segment - Freight'!B112+'Segment - Transit'!B80</f>
        <v>7624</v>
      </c>
      <c r="C95" s="26">
        <f>'Segment - Freight'!C112+'Segment - Transit'!C80</f>
        <v>7681</v>
      </c>
      <c r="D95" s="26">
        <f>'Segment - Freight'!D112+'Segment - Transit'!D80</f>
        <v>7681</v>
      </c>
      <c r="E95" s="26">
        <f>'Segment - Freight'!E112+'Segment - Transit'!E80</f>
        <v>8196</v>
      </c>
      <c r="F95" s="26">
        <f>'Segment - Freight'!F112+'Segment - Transit'!F80</f>
        <v>8210</v>
      </c>
      <c r="G95" s="57">
        <f>'Segment - Freight'!G112+'Segment - Transit'!G80</f>
        <v>8267</v>
      </c>
      <c r="H95" s="3"/>
    </row>
    <row r="96" ht="15" customHeight="1">
      <c r="A96" s="45" t="s">
        <v>70</v>
      </c>
      <c r="B96" s="37">
        <f t="shared" si="0"/>
        <v>0.08433892969569778</v>
      </c>
      <c r="C96" s="37">
        <f t="shared" si="0"/>
        <v>0.07199583387579733</v>
      </c>
      <c r="D96" s="37">
        <f t="shared" si="0"/>
        <v>0.07199583387579733</v>
      </c>
      <c r="E96" s="37">
        <f t="shared" si="0"/>
        <v>0.1282332845290386</v>
      </c>
      <c r="F96" s="37">
        <f t="shared" si="0"/>
        <v>0.11327649208282575</v>
      </c>
      <c r="G96" s="59">
        <f t="shared" si="0"/>
        <v>0.10560058062174904</v>
      </c>
      <c r="H96" s="3"/>
    </row>
    <row r="97" ht="15" customHeight="1">
      <c r="A97" s="58" t="s">
        <v>71</v>
      </c>
      <c r="B97" s="27">
        <f t="shared" si="1"/>
        <v>643</v>
      </c>
      <c r="C97" s="27">
        <f t="shared" si="1"/>
        <v>553</v>
      </c>
      <c r="D97" s="27">
        <f t="shared" si="1"/>
        <v>553</v>
      </c>
      <c r="E97" s="27">
        <f t="shared" si="1"/>
        <v>1051</v>
      </c>
      <c r="F97" s="27">
        <f t="shared" si="1"/>
        <v>930</v>
      </c>
      <c r="G97" s="60">
        <f t="shared" si="1"/>
        <v>873</v>
      </c>
      <c r="H97" s="3"/>
    </row>
    <row r="98" ht="15" customHeight="1">
      <c r="A98" s="45" t="s">
        <v>72</v>
      </c>
      <c r="B98" s="37">
        <f t="shared" si="5"/>
        <v>0.006942752740560332</v>
      </c>
      <c r="C98" s="37">
        <f t="shared" si="2"/>
        <v>-0.003991774525220704</v>
      </c>
      <c r="D98" s="37"/>
      <c r="E98" s="37">
        <f t="shared" si="6"/>
        <v>0.12302647558902113</v>
      </c>
      <c r="F98" s="37">
        <f t="shared" si="2"/>
        <v>-0.011571320428247045</v>
      </c>
      <c r="G98" s="59">
        <f t="shared" si="2"/>
        <v>0</v>
      </c>
      <c r="H98" s="3"/>
    </row>
    <row r="99" ht="15" customHeight="1">
      <c r="A99" s="58" t="s">
        <v>73</v>
      </c>
      <c r="B99" s="27">
        <f t="shared" si="7"/>
        <v>57</v>
      </c>
      <c r="C99" s="27">
        <f t="shared" si="3"/>
        <v>-33</v>
      </c>
      <c r="D99" s="27"/>
      <c r="E99" s="27">
        <f t="shared" si="8"/>
        <v>1013</v>
      </c>
      <c r="F99" s="27">
        <f t="shared" si="3"/>
        <v>-107</v>
      </c>
      <c r="G99" s="60">
        <f t="shared" si="3"/>
        <v>0</v>
      </c>
      <c r="H99" s="3"/>
    </row>
    <row r="100" ht="23.25" customHeight="1">
      <c r="A100" s="21" t="s">
        <v>115</v>
      </c>
      <c r="B100" s="54"/>
      <c r="C100" s="54"/>
      <c r="D100" s="54"/>
      <c r="E100" s="54"/>
      <c r="F100" s="54"/>
      <c r="G100" s="72"/>
      <c r="H100" s="18" t="s">
        <v>116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A5CF8D8-A738-B8B4-B9B8-3AF83D098067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117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118</v>
      </c>
      <c r="B8" s="20"/>
      <c r="C8" s="20"/>
      <c r="D8" s="20"/>
      <c r="E8" s="20"/>
      <c r="F8" s="20"/>
      <c r="G8" s="56"/>
      <c r="H8" s="3"/>
    </row>
    <row r="9" ht="15" customHeight="1">
      <c r="A9" s="22" t="s">
        <v>119</v>
      </c>
      <c r="B9" s="49">
        <v>744</v>
      </c>
      <c r="C9" s="49">
        <v>667</v>
      </c>
      <c r="D9" s="27">
        <f t="shared" si="8" ref="D9:D57">E11+F11+B9+C9</f>
        <v>3055</v>
      </c>
      <c r="E9" s="49">
        <v>714</v>
      </c>
      <c r="F9" s="49">
        <v>748</v>
      </c>
      <c r="G9" s="60">
        <f t="shared" si="9" ref="G9:G57">B9*(1+G10)</f>
        <v>799.8</v>
      </c>
      <c r="H9" s="18" t="s">
        <v>120</v>
      </c>
    </row>
    <row r="10" ht="37.5" customHeight="1">
      <c r="A10" s="45" t="s">
        <v>121</v>
      </c>
      <c r="B10" s="37"/>
      <c r="C10" s="37"/>
      <c r="D10" s="37"/>
      <c r="E10" s="37"/>
      <c r="F10" s="37"/>
      <c r="G10" s="69">
        <v>0.075</v>
      </c>
      <c r="H10" s="38" t="s">
        <v>122</v>
      </c>
    </row>
    <row r="11" ht="15" customHeight="1">
      <c r="A11" s="58" t="s">
        <v>69</v>
      </c>
      <c r="B11" s="49">
        <v>842</v>
      </c>
      <c r="C11" s="49">
        <v>702</v>
      </c>
      <c r="D11" s="49">
        <v>3019</v>
      </c>
      <c r="E11" s="49">
        <v>863</v>
      </c>
      <c r="F11" s="49">
        <v>781</v>
      </c>
      <c r="G11" s="60">
        <f t="shared" si="10" ref="G11:G112">B9</f>
        <v>744</v>
      </c>
      <c r="H11" s="18" t="s">
        <v>123</v>
      </c>
    </row>
    <row r="12" ht="15" customHeight="1">
      <c r="A12" s="45" t="s">
        <v>70</v>
      </c>
      <c r="B12" s="37">
        <f t="shared" si="0" ref="B12:G113">B9/B11-1</f>
        <v>-0.11638954869358675</v>
      </c>
      <c r="C12" s="37">
        <f t="shared" si="0"/>
        <v>-0.049857549857549865</v>
      </c>
      <c r="D12" s="37">
        <f t="shared" si="0"/>
        <v>0.01192447830407417</v>
      </c>
      <c r="E12" s="37">
        <f t="shared" si="0"/>
        <v>-0.17265353418308227</v>
      </c>
      <c r="F12" s="37">
        <f t="shared" si="0"/>
        <v>-0.04225352112676062</v>
      </c>
      <c r="G12" s="59">
        <f t="shared" si="0"/>
        <v>0.07499999999999996</v>
      </c>
      <c r="H12" s="3"/>
    </row>
    <row r="13" ht="15" customHeight="1">
      <c r="A13" s="58" t="s">
        <v>71</v>
      </c>
      <c r="B13" s="27">
        <f t="shared" si="1" ref="B13:G61">B9-B11</f>
        <v>-98</v>
      </c>
      <c r="C13" s="27">
        <f t="shared" si="1"/>
        <v>-35</v>
      </c>
      <c r="D13" s="27">
        <f t="shared" si="1"/>
        <v>36</v>
      </c>
      <c r="E13" s="27">
        <f t="shared" si="1"/>
        <v>-149</v>
      </c>
      <c r="F13" s="27">
        <f t="shared" si="1"/>
        <v>-33</v>
      </c>
      <c r="G13" s="60">
        <f t="shared" si="1"/>
        <v>55.799999999999955</v>
      </c>
      <c r="H13" s="3"/>
    </row>
    <row r="14" ht="15" customHeight="1">
      <c r="A14" s="45" t="s">
        <v>72</v>
      </c>
      <c r="B14" s="37">
        <f t="shared" si="11" ref="B14:B62">B9/F11-1</f>
        <v>-0.047375160051216336</v>
      </c>
      <c r="C14" s="37">
        <f t="shared" si="2" ref="C14:G62">C9/B9-1</f>
        <v>-0.103494623655914</v>
      </c>
      <c r="D14" s="37"/>
      <c r="E14" s="37">
        <f t="shared" si="12" ref="E14:E62">E9/C9-1</f>
        <v>0.0704647676161918</v>
      </c>
      <c r="F14" s="37">
        <f t="shared" si="2"/>
        <v>0.04761904761904767</v>
      </c>
      <c r="G14" s="59">
        <f t="shared" si="2"/>
        <v>0.06925133689839558</v>
      </c>
      <c r="H14" s="18" t="s">
        <v>124</v>
      </c>
    </row>
    <row r="15" ht="15" customHeight="1">
      <c r="A15" s="58" t="s">
        <v>73</v>
      </c>
      <c r="B15" s="27">
        <f t="shared" si="13" ref="B15:B63">B9-F11</f>
        <v>-37</v>
      </c>
      <c r="C15" s="27">
        <f t="shared" si="3" ref="C15:G63">C9-B9</f>
        <v>-77</v>
      </c>
      <c r="D15" s="27"/>
      <c r="E15" s="27">
        <f t="shared" si="14" ref="E15:E63">E9-C9</f>
        <v>47</v>
      </c>
      <c r="F15" s="27">
        <f t="shared" si="3"/>
        <v>34</v>
      </c>
      <c r="G15" s="60">
        <f t="shared" si="3"/>
        <v>51.799999999999955</v>
      </c>
      <c r="H15" s="3"/>
    </row>
    <row r="16" ht="15" customHeight="1">
      <c r="A16" s="45" t="s">
        <v>125</v>
      </c>
      <c r="B16" s="37">
        <f t="shared" si="4" ref="B16:G16">B9/B73</f>
        <v>0.35547061634018157</v>
      </c>
      <c r="C16" s="37">
        <f t="shared" si="4"/>
        <v>0.3141780499293453</v>
      </c>
      <c r="D16" s="37">
        <f t="shared" si="4"/>
        <v>0.38016426082628174</v>
      </c>
      <c r="E16" s="37">
        <f t="shared" si="4"/>
        <v>0.3375886524822695</v>
      </c>
      <c r="F16" s="37">
        <f t="shared" si="4"/>
        <v>0.33348194382523405</v>
      </c>
      <c r="G16" s="59">
        <f t="shared" si="4"/>
        <v>0.35363483820476593</v>
      </c>
      <c r="H16" s="3"/>
    </row>
    <row r="17" ht="15" customHeight="1">
      <c r="A17" s="45" t="s">
        <v>126</v>
      </c>
      <c r="B17" s="36">
        <f t="shared" si="5" ref="B17:G17">(B9/B73-B11/B74)*10000</f>
        <v>-807.9881371163189</v>
      </c>
      <c r="C17" s="36">
        <f t="shared" si="5"/>
        <v>-771.2629789674169</v>
      </c>
      <c r="D17" s="36">
        <f t="shared" si="5"/>
        <v>-240.93907357971068</v>
      </c>
      <c r="E17" s="36">
        <f t="shared" si="5"/>
        <v>-1163.8294141567894</v>
      </c>
      <c r="F17" s="36">
        <f t="shared" si="5"/>
        <v>-735.0085971827818</v>
      </c>
      <c r="G17" s="67">
        <f t="shared" si="5"/>
        <v>-18.357781354156334</v>
      </c>
      <c r="H17" s="3"/>
    </row>
    <row r="18" ht="15" customHeight="1">
      <c r="A18" s="45" t="s">
        <v>127</v>
      </c>
      <c r="B18" s="36">
        <f>(B9/B73-F11/F74)*10000</f>
        <v>-515.1218720333068</v>
      </c>
      <c r="C18" s="36">
        <f t="shared" si="6" ref="C18:G18">(C9/C73-B9/B73)*10000</f>
        <v>-412.92566410836287</v>
      </c>
      <c r="D18" s="36"/>
      <c r="E18" s="36">
        <f>(E9/E73-C9/C73)*10000</f>
        <v>234.1060255292421</v>
      </c>
      <c r="F18" s="36">
        <f t="shared" si="6"/>
        <v>-41.067086570354405</v>
      </c>
      <c r="G18" s="67">
        <f t="shared" si="6"/>
        <v>201.52894379531884</v>
      </c>
      <c r="H18" s="3"/>
    </row>
    <row r="19" ht="26.25" customHeight="1">
      <c r="A19" s="58" t="s">
        <v>128</v>
      </c>
      <c r="B19" s="49">
        <v>-98</v>
      </c>
      <c r="C19" s="27">
        <f t="shared" si="18" ref="C19:C67">D19-B20</f>
        <v>-37</v>
      </c>
      <c r="D19" s="49">
        <v>51</v>
      </c>
      <c r="E19" s="49">
        <v>-154</v>
      </c>
      <c r="F19" s="49">
        <v>-38</v>
      </c>
      <c r="G19" s="60" t="s">
        <v>129</v>
      </c>
      <c r="H19" s="38" t="s">
        <v>130</v>
      </c>
    </row>
    <row r="20" ht="15" customHeight="1">
      <c r="A20" s="66" t="s">
        <v>131</v>
      </c>
      <c r="B20" s="49">
        <v>88</v>
      </c>
      <c r="C20" s="27"/>
      <c r="D20" s="27"/>
      <c r="E20" s="27"/>
      <c r="F20" s="27"/>
      <c r="G20" s="60"/>
      <c r="H20" s="18" t="s">
        <v>132</v>
      </c>
    </row>
    <row r="21" ht="15" customHeight="1">
      <c r="A21" s="45" t="s">
        <v>78</v>
      </c>
      <c r="B21" s="37">
        <f t="shared" si="7" ref="B21:F69">B19/B11</f>
        <v>-0.1163895486935867</v>
      </c>
      <c r="C21" s="37">
        <f t="shared" si="7"/>
        <v>-0.05270655270655271</v>
      </c>
      <c r="D21" s="37">
        <f t="shared" si="7"/>
        <v>0.01689301093077178</v>
      </c>
      <c r="E21" s="37">
        <f t="shared" si="7"/>
        <v>-0.17844727694090382</v>
      </c>
      <c r="F21" s="37">
        <f t="shared" si="7"/>
        <v>-0.04865556978233035</v>
      </c>
      <c r="G21" s="59"/>
      <c r="H21" s="3"/>
    </row>
    <row r="22" ht="15" customHeight="1">
      <c r="A22" s="45" t="s">
        <v>102</v>
      </c>
      <c r="B22" s="37" t="s">
        <v>103</v>
      </c>
      <c r="C22" s="37" t="s">
        <v>103</v>
      </c>
      <c r="D22" s="37" t="s">
        <v>103</v>
      </c>
      <c r="E22" s="37" t="s">
        <v>103</v>
      </c>
      <c r="F22" s="37" t="s">
        <v>103</v>
      </c>
      <c r="G22" s="59" t="s">
        <v>103</v>
      </c>
      <c r="H22" s="18" t="s">
        <v>133</v>
      </c>
    </row>
    <row r="23" ht="15" customHeight="1">
      <c r="A23" s="45" t="s">
        <v>77</v>
      </c>
      <c r="B23" s="37" t="s">
        <v>103</v>
      </c>
      <c r="C23" s="37" t="s">
        <v>103</v>
      </c>
      <c r="D23" s="37" t="s">
        <v>103</v>
      </c>
      <c r="E23" s="37" t="s">
        <v>103</v>
      </c>
      <c r="F23" s="37" t="s">
        <v>103</v>
      </c>
      <c r="G23" s="59" t="s">
        <v>103</v>
      </c>
      <c r="H23" s="18" t="s">
        <v>134</v>
      </c>
    </row>
    <row r="24" ht="23.25" customHeight="1">
      <c r="A24" s="45" t="s">
        <v>87</v>
      </c>
      <c r="B24" s="37" t="s">
        <v>103</v>
      </c>
      <c r="C24" s="37" t="s">
        <v>103</v>
      </c>
      <c r="D24" s="37" t="s">
        <v>103</v>
      </c>
      <c r="E24" s="37" t="s">
        <v>103</v>
      </c>
      <c r="F24" s="37" t="s">
        <v>103</v>
      </c>
      <c r="G24" s="59" t="s">
        <v>103</v>
      </c>
      <c r="H24" s="18" t="s">
        <v>135</v>
      </c>
    </row>
    <row r="25" ht="15" customHeight="1">
      <c r="A25" s="22" t="s">
        <v>136</v>
      </c>
      <c r="B25" s="49">
        <v>677</v>
      </c>
      <c r="C25" s="49">
        <v>666</v>
      </c>
      <c r="D25" s="27">
        <f t="shared" si="8"/>
        <v>2365</v>
      </c>
      <c r="E25" s="49">
        <v>726</v>
      </c>
      <c r="F25" s="49">
        <v>737</v>
      </c>
      <c r="G25" s="60">
        <f t="shared" si="9"/>
        <v>731.1600000000001</v>
      </c>
      <c r="H25" s="18" t="s">
        <v>137</v>
      </c>
    </row>
    <row r="26" ht="26.25" customHeight="1">
      <c r="A26" s="45" t="s">
        <v>121</v>
      </c>
      <c r="B26" s="37"/>
      <c r="C26" s="37"/>
      <c r="D26" s="37"/>
      <c r="E26" s="37"/>
      <c r="F26" s="37"/>
      <c r="G26" s="69">
        <v>0.08</v>
      </c>
      <c r="H26" s="38" t="s">
        <v>138</v>
      </c>
    </row>
    <row r="27" ht="15" customHeight="1">
      <c r="A27" s="58" t="s">
        <v>69</v>
      </c>
      <c r="B27" s="49">
        <v>513</v>
      </c>
      <c r="C27" s="49">
        <v>499</v>
      </c>
      <c r="D27" s="49">
        <v>2108</v>
      </c>
      <c r="E27" s="49">
        <v>476</v>
      </c>
      <c r="F27" s="49">
        <v>546</v>
      </c>
      <c r="G27" s="60">
        <f t="shared" si="10"/>
        <v>677</v>
      </c>
      <c r="H27" s="18" t="s">
        <v>123</v>
      </c>
    </row>
    <row r="28" ht="15" customHeight="1">
      <c r="A28" s="45" t="s">
        <v>70</v>
      </c>
      <c r="B28" s="37">
        <f t="shared" si="0"/>
        <v>0.31968810916179335</v>
      </c>
      <c r="C28" s="37">
        <f t="shared" si="0"/>
        <v>0.3346693386773547</v>
      </c>
      <c r="D28" s="37">
        <f t="shared" si="0"/>
        <v>0.12191650853889935</v>
      </c>
      <c r="E28" s="37">
        <f t="shared" si="0"/>
        <v>0.5252100840336134</v>
      </c>
      <c r="F28" s="37">
        <f t="shared" si="0"/>
        <v>0.3498168498168499</v>
      </c>
      <c r="G28" s="59">
        <f t="shared" si="0"/>
        <v>0.08000000000000007</v>
      </c>
      <c r="H28" s="3"/>
    </row>
    <row r="29" ht="15" customHeight="1">
      <c r="A29" s="58" t="s">
        <v>71</v>
      </c>
      <c r="B29" s="27">
        <f t="shared" si="1"/>
        <v>164</v>
      </c>
      <c r="C29" s="27">
        <f t="shared" si="1"/>
        <v>167</v>
      </c>
      <c r="D29" s="27">
        <f t="shared" si="1"/>
        <v>257</v>
      </c>
      <c r="E29" s="27">
        <f t="shared" si="1"/>
        <v>250</v>
      </c>
      <c r="F29" s="27">
        <f t="shared" si="1"/>
        <v>191</v>
      </c>
      <c r="G29" s="60">
        <f t="shared" si="1"/>
        <v>54.16000000000008</v>
      </c>
      <c r="H29" s="3"/>
    </row>
    <row r="30" ht="15" customHeight="1">
      <c r="A30" s="45" t="s">
        <v>72</v>
      </c>
      <c r="B30" s="37">
        <f t="shared" si="11"/>
        <v>0.23992673992673996</v>
      </c>
      <c r="C30" s="37">
        <f t="shared" si="2"/>
        <v>-0.01624815361890697</v>
      </c>
      <c r="D30" s="37"/>
      <c r="E30" s="37">
        <f t="shared" si="12"/>
        <v>0.09009009009009006</v>
      </c>
      <c r="F30" s="37">
        <f t="shared" si="2"/>
        <v>0.015151515151515138</v>
      </c>
      <c r="G30" s="59">
        <f t="shared" si="2"/>
        <v>-0.007924016282225166</v>
      </c>
      <c r="H30" s="18" t="s">
        <v>124</v>
      </c>
    </row>
    <row r="31" ht="15" customHeight="1">
      <c r="A31" s="58" t="s">
        <v>73</v>
      </c>
      <c r="B31" s="27">
        <f t="shared" si="13"/>
        <v>131</v>
      </c>
      <c r="C31" s="27">
        <f t="shared" si="3"/>
        <v>-11</v>
      </c>
      <c r="D31" s="27"/>
      <c r="E31" s="27">
        <f t="shared" si="14"/>
        <v>60</v>
      </c>
      <c r="F31" s="27">
        <f t="shared" si="3"/>
        <v>11</v>
      </c>
      <c r="G31" s="60">
        <f t="shared" si="3"/>
        <v>-5.839999999999918</v>
      </c>
      <c r="H31" s="3"/>
    </row>
    <row r="32" ht="15" customHeight="1">
      <c r="A32" s="45" t="s">
        <v>125</v>
      </c>
      <c r="B32" s="37">
        <f t="shared" si="15" ref="B32:G32">B25/B73</f>
        <v>0.32345914954610605</v>
      </c>
      <c r="C32" s="37">
        <f t="shared" si="15"/>
        <v>0.3137070183702308</v>
      </c>
      <c r="D32" s="37">
        <f t="shared" si="15"/>
        <v>0.29430064708810355</v>
      </c>
      <c r="E32" s="37">
        <f t="shared" si="15"/>
        <v>0.3432624113475177</v>
      </c>
      <c r="F32" s="37">
        <f t="shared" si="15"/>
        <v>0.32857779759251005</v>
      </c>
      <c r="G32" s="59">
        <f t="shared" si="15"/>
        <v>0.32328538172267657</v>
      </c>
      <c r="H32" s="3"/>
    </row>
    <row r="33" ht="15" customHeight="1">
      <c r="A33" s="45" t="s">
        <v>126</v>
      </c>
      <c r="B33" s="36">
        <f t="shared" si="16" ref="B33:G33">(B25/B73-B27/B74)*10000</f>
        <v>576.5604073781589</v>
      </c>
      <c r="C33" s="36">
        <f t="shared" si="16"/>
        <v>355.57631525191755</v>
      </c>
      <c r="D33" s="36">
        <f t="shared" si="16"/>
        <v>120.29624056502041</v>
      </c>
      <c r="E33" s="36">
        <f t="shared" si="16"/>
        <v>928.6788215235731</v>
      </c>
      <c r="F33" s="36">
        <f t="shared" si="16"/>
        <v>440.54608431488674</v>
      </c>
      <c r="G33" s="67">
        <f t="shared" si="16"/>
        <v>-1.737678234294826</v>
      </c>
      <c r="H33" s="3"/>
    </row>
    <row r="34" ht="15" customHeight="1">
      <c r="A34" s="45" t="s">
        <v>127</v>
      </c>
      <c r="B34" s="36">
        <f>(B25/B73-F27/F74)*10000</f>
        <v>389.3596038508468</v>
      </c>
      <c r="C34" s="36">
        <f t="shared" si="17" ref="C34:G34">(C25/C73-B25/B73)*10000</f>
        <v>-97.52131175875256</v>
      </c>
      <c r="D34" s="36"/>
      <c r="E34" s="36">
        <f>(E25/E73-C25/C73)*10000</f>
        <v>295.5539297728693</v>
      </c>
      <c r="F34" s="36">
        <f t="shared" si="17"/>
        <v>-146.8461375500768</v>
      </c>
      <c r="G34" s="67">
        <f t="shared" si="17"/>
        <v>-52.92415869833478</v>
      </c>
      <c r="H34" s="3"/>
    </row>
    <row r="35" ht="26.25" customHeight="1">
      <c r="A35" s="58" t="s">
        <v>128</v>
      </c>
      <c r="B35" s="49">
        <v>163</v>
      </c>
      <c r="C35" s="27">
        <f t="shared" si="18"/>
        <v>170</v>
      </c>
      <c r="D35" s="49">
        <v>279</v>
      </c>
      <c r="E35" s="49">
        <v>247</v>
      </c>
      <c r="F35" s="49">
        <v>187</v>
      </c>
      <c r="G35" s="60" t="s">
        <v>129</v>
      </c>
      <c r="H35" s="38" t="s">
        <v>130</v>
      </c>
    </row>
    <row r="36" ht="15" customHeight="1">
      <c r="A36" s="66" t="s">
        <v>131</v>
      </c>
      <c r="B36" s="49">
        <v>109</v>
      </c>
      <c r="C36" s="27"/>
      <c r="D36" s="27"/>
      <c r="E36" s="27"/>
      <c r="F36" s="27"/>
      <c r="G36" s="60"/>
      <c r="H36" s="18" t="s">
        <v>132</v>
      </c>
    </row>
    <row r="37" ht="15" customHeight="1">
      <c r="A37" s="45" t="s">
        <v>78</v>
      </c>
      <c r="B37" s="37">
        <f t="shared" si="7"/>
        <v>0.31773879142300193</v>
      </c>
      <c r="C37" s="37">
        <f t="shared" si="7"/>
        <v>0.3406813627254509</v>
      </c>
      <c r="D37" s="37">
        <f t="shared" si="7"/>
        <v>0.1323529411764706</v>
      </c>
      <c r="E37" s="37">
        <f t="shared" si="7"/>
        <v>0.5189075630252101</v>
      </c>
      <c r="F37" s="37">
        <f t="shared" si="7"/>
        <v>0.3424908424908425</v>
      </c>
      <c r="G37" s="59"/>
      <c r="H37" s="3"/>
    </row>
    <row r="38" ht="15" customHeight="1">
      <c r="A38" s="45" t="s">
        <v>102</v>
      </c>
      <c r="B38" s="37" t="s">
        <v>103</v>
      </c>
      <c r="C38" s="37" t="s">
        <v>103</v>
      </c>
      <c r="D38" s="37" t="s">
        <v>103</v>
      </c>
      <c r="E38" s="37" t="s">
        <v>103</v>
      </c>
      <c r="F38" s="37" t="s">
        <v>103</v>
      </c>
      <c r="G38" s="59" t="s">
        <v>103</v>
      </c>
      <c r="H38" s="18" t="s">
        <v>133</v>
      </c>
    </row>
    <row r="39" ht="15" customHeight="1">
      <c r="A39" s="45" t="s">
        <v>77</v>
      </c>
      <c r="B39" s="37" t="s">
        <v>103</v>
      </c>
      <c r="C39" s="37" t="s">
        <v>103</v>
      </c>
      <c r="D39" s="37" t="s">
        <v>103</v>
      </c>
      <c r="E39" s="37" t="s">
        <v>103</v>
      </c>
      <c r="F39" s="37" t="s">
        <v>103</v>
      </c>
      <c r="G39" s="59" t="s">
        <v>103</v>
      </c>
      <c r="H39" s="18" t="s">
        <v>134</v>
      </c>
    </row>
    <row r="40" ht="23.25" customHeight="1">
      <c r="A40" s="45" t="s">
        <v>87</v>
      </c>
      <c r="B40" s="37" t="s">
        <v>103</v>
      </c>
      <c r="C40" s="37" t="s">
        <v>103</v>
      </c>
      <c r="D40" s="37" t="s">
        <v>103</v>
      </c>
      <c r="E40" s="37" t="s">
        <v>103</v>
      </c>
      <c r="F40" s="37" t="s">
        <v>103</v>
      </c>
      <c r="G40" s="59" t="s">
        <v>103</v>
      </c>
      <c r="H40" s="18" t="s">
        <v>135</v>
      </c>
    </row>
    <row r="41" ht="15" customHeight="1">
      <c r="A41" s="22" t="s">
        <v>139</v>
      </c>
      <c r="B41" s="49">
        <v>375</v>
      </c>
      <c r="C41" s="49">
        <v>429</v>
      </c>
      <c r="D41" s="27">
        <f t="shared" si="8"/>
        <v>1586</v>
      </c>
      <c r="E41" s="49">
        <v>357</v>
      </c>
      <c r="F41" s="49">
        <v>398</v>
      </c>
      <c r="G41" s="60">
        <f t="shared" si="9"/>
        <v>378.75</v>
      </c>
      <c r="H41" s="18" t="s">
        <v>140</v>
      </c>
    </row>
    <row r="42" ht="15" customHeight="1">
      <c r="A42" s="45" t="s">
        <v>121</v>
      </c>
      <c r="B42" s="37"/>
      <c r="C42" s="37"/>
      <c r="D42" s="37"/>
      <c r="E42" s="37"/>
      <c r="F42" s="37"/>
      <c r="G42" s="69">
        <v>0.01</v>
      </c>
      <c r="H42" s="18" t="s">
        <v>141</v>
      </c>
    </row>
    <row r="43" ht="15" customHeight="1">
      <c r="A43" s="58" t="s">
        <v>69</v>
      </c>
      <c r="B43" s="49">
        <v>371</v>
      </c>
      <c r="C43" s="49">
        <v>386</v>
      </c>
      <c r="D43" s="49">
        <v>1555</v>
      </c>
      <c r="E43" s="49">
        <v>381</v>
      </c>
      <c r="F43" s="49">
        <v>401</v>
      </c>
      <c r="G43" s="60">
        <f t="shared" si="10"/>
        <v>375</v>
      </c>
      <c r="H43" s="18" t="s">
        <v>123</v>
      </c>
    </row>
    <row r="44" ht="15" customHeight="1">
      <c r="A44" s="45" t="s">
        <v>70</v>
      </c>
      <c r="B44" s="37">
        <f t="shared" si="0"/>
        <v>0.010781671159029615</v>
      </c>
      <c r="C44" s="37">
        <f t="shared" si="0"/>
        <v>0.1113989637305699</v>
      </c>
      <c r="D44" s="37">
        <f t="shared" si="0"/>
        <v>0.019935691318327953</v>
      </c>
      <c r="E44" s="37">
        <f t="shared" si="0"/>
        <v>-0.06299212598425197</v>
      </c>
      <c r="F44" s="37">
        <f t="shared" si="0"/>
        <v>-0.007481296758104716</v>
      </c>
      <c r="G44" s="59">
        <f t="shared" si="0"/>
        <v>0.010000000000000009</v>
      </c>
      <c r="H44" s="3"/>
    </row>
    <row r="45" ht="15" customHeight="1">
      <c r="A45" s="58" t="s">
        <v>71</v>
      </c>
      <c r="B45" s="27">
        <f t="shared" si="1"/>
        <v>4</v>
      </c>
      <c r="C45" s="27">
        <f t="shared" si="1"/>
        <v>43</v>
      </c>
      <c r="D45" s="27">
        <f t="shared" si="1"/>
        <v>31</v>
      </c>
      <c r="E45" s="27">
        <f t="shared" si="1"/>
        <v>-24</v>
      </c>
      <c r="F45" s="27">
        <f t="shared" si="1"/>
        <v>-3</v>
      </c>
      <c r="G45" s="60">
        <f t="shared" si="1"/>
        <v>3.75</v>
      </c>
      <c r="H45" s="3"/>
    </row>
    <row r="46" ht="15" customHeight="1">
      <c r="A46" s="45" t="s">
        <v>72</v>
      </c>
      <c r="B46" s="37">
        <f t="shared" si="11"/>
        <v>-0.06483790523690769</v>
      </c>
      <c r="C46" s="37">
        <f t="shared" si="2"/>
        <v>0.1439999999999999</v>
      </c>
      <c r="D46" s="37"/>
      <c r="E46" s="37">
        <f t="shared" si="12"/>
        <v>-0.1678321678321678</v>
      </c>
      <c r="F46" s="37">
        <f t="shared" si="2"/>
        <v>0.11484593837535018</v>
      </c>
      <c r="G46" s="59">
        <f t="shared" si="2"/>
        <v>-0.0483668341708543</v>
      </c>
      <c r="H46" s="18" t="s">
        <v>124</v>
      </c>
    </row>
    <row r="47" ht="15" customHeight="1">
      <c r="A47" s="58" t="s">
        <v>73</v>
      </c>
      <c r="B47" s="27">
        <f t="shared" si="13"/>
        <v>-26</v>
      </c>
      <c r="C47" s="27">
        <f t="shared" si="3"/>
        <v>54</v>
      </c>
      <c r="D47" s="27"/>
      <c r="E47" s="27">
        <f t="shared" si="14"/>
        <v>-72</v>
      </c>
      <c r="F47" s="27">
        <f t="shared" si="3"/>
        <v>41</v>
      </c>
      <c r="G47" s="60">
        <f t="shared" si="3"/>
        <v>-19.25</v>
      </c>
      <c r="H47" s="3"/>
    </row>
    <row r="48" ht="15" customHeight="1">
      <c r="A48" s="45" t="s">
        <v>125</v>
      </c>
      <c r="B48" s="37">
        <f t="shared" si="19" ref="B48:G48">B41/B73</f>
        <v>0.179168657429527</v>
      </c>
      <c r="C48" s="37">
        <f t="shared" si="19"/>
        <v>0.20207253886010362</v>
      </c>
      <c r="D48" s="37">
        <f t="shared" si="19"/>
        <v>0.19736187157789944</v>
      </c>
      <c r="E48" s="37">
        <f t="shared" si="19"/>
        <v>0.16879432624113475</v>
      </c>
      <c r="F48" s="37">
        <f t="shared" si="19"/>
        <v>0.17744092732946945</v>
      </c>
      <c r="G48" s="59">
        <f t="shared" si="19"/>
        <v>0.16746586017761328</v>
      </c>
      <c r="H48" s="3"/>
    </row>
    <row r="49" ht="15" customHeight="1">
      <c r="A49" s="45" t="s">
        <v>126</v>
      </c>
      <c r="B49" s="36">
        <f t="shared" si="20" ref="B49:G49">(B41/B73-B43/B74)*10000</f>
        <v>-130.59321845084403</v>
      </c>
      <c r="C49" s="36">
        <f t="shared" si="20"/>
        <v>-130.89111084155002</v>
      </c>
      <c r="D49" s="36">
        <f t="shared" si="20"/>
        <v>-108.59874538865417</v>
      </c>
      <c r="E49" s="36">
        <f t="shared" si="20"/>
        <v>-316.26504900369724</v>
      </c>
      <c r="F49" s="36">
        <f t="shared" si="20"/>
        <v>-315.2207423384479</v>
      </c>
      <c r="G49" s="67">
        <f t="shared" si="20"/>
        <v>-117.02797251913726</v>
      </c>
      <c r="H49" s="3"/>
    </row>
    <row r="50" ht="15" customHeight="1">
      <c r="A50" s="45" t="s">
        <v>127</v>
      </c>
      <c r="B50" s="36">
        <f>(B41/B73-F43/F74)*10000</f>
        <v>-297.94344133787234</v>
      </c>
      <c r="C50" s="36">
        <f t="shared" si="21" ref="C50:G50">(C41/C73-B41/B73)*10000</f>
        <v>229.03881430576618</v>
      </c>
      <c r="D50" s="36"/>
      <c r="E50" s="36">
        <f>(E41/E73-C41/C73)*10000</f>
        <v>-332.78212618968877</v>
      </c>
      <c r="F50" s="36">
        <f t="shared" si="21"/>
        <v>86.46601088334704</v>
      </c>
      <c r="G50" s="67">
        <f t="shared" si="21"/>
        <v>-99.7506715185617</v>
      </c>
      <c r="H50" s="3"/>
    </row>
    <row r="51" ht="26.25" customHeight="1">
      <c r="A51" s="58" t="s">
        <v>128</v>
      </c>
      <c r="B51" s="49">
        <v>-9</v>
      </c>
      <c r="C51" s="27">
        <f t="shared" si="18"/>
        <v>30</v>
      </c>
      <c r="D51" s="49">
        <v>-1</v>
      </c>
      <c r="E51" s="49">
        <v>-23</v>
      </c>
      <c r="F51" s="49">
        <v>5</v>
      </c>
      <c r="G51" s="60" t="s">
        <v>129</v>
      </c>
      <c r="H51" s="38" t="s">
        <v>130</v>
      </c>
    </row>
    <row r="52" ht="15" customHeight="1">
      <c r="A52" s="66" t="s">
        <v>131</v>
      </c>
      <c r="B52" s="49">
        <v>-31</v>
      </c>
      <c r="C52" s="27"/>
      <c r="D52" s="27"/>
      <c r="E52" s="27"/>
      <c r="F52" s="27"/>
      <c r="G52" s="60"/>
      <c r="H52" s="18" t="s">
        <v>132</v>
      </c>
    </row>
    <row r="53" ht="15" customHeight="1">
      <c r="A53" s="45" t="s">
        <v>78</v>
      </c>
      <c r="B53" s="37">
        <f t="shared" si="7"/>
        <v>-0.02425876010781671</v>
      </c>
      <c r="C53" s="37">
        <f t="shared" si="7"/>
        <v>0.07772020725388601</v>
      </c>
      <c r="D53" s="37">
        <f t="shared" si="7"/>
        <v>-0.0006430868167202572</v>
      </c>
      <c r="E53" s="37">
        <f t="shared" si="7"/>
        <v>-0.06036745406824147</v>
      </c>
      <c r="F53" s="37">
        <f t="shared" si="7"/>
        <v>0.012468827930174564</v>
      </c>
      <c r="G53" s="59"/>
      <c r="H53" s="3"/>
    </row>
    <row r="54" ht="15" customHeight="1">
      <c r="A54" s="45" t="s">
        <v>102</v>
      </c>
      <c r="B54" s="37" t="s">
        <v>103</v>
      </c>
      <c r="C54" s="37" t="s">
        <v>103</v>
      </c>
      <c r="D54" s="37" t="s">
        <v>103</v>
      </c>
      <c r="E54" s="37" t="s">
        <v>103</v>
      </c>
      <c r="F54" s="37" t="s">
        <v>103</v>
      </c>
      <c r="G54" s="59" t="s">
        <v>103</v>
      </c>
      <c r="H54" s="18" t="s">
        <v>133</v>
      </c>
    </row>
    <row r="55" ht="15" customHeight="1">
      <c r="A55" s="45" t="s">
        <v>77</v>
      </c>
      <c r="B55" s="37" t="s">
        <v>103</v>
      </c>
      <c r="C55" s="37" t="s">
        <v>103</v>
      </c>
      <c r="D55" s="37" t="s">
        <v>103</v>
      </c>
      <c r="E55" s="37" t="s">
        <v>103</v>
      </c>
      <c r="F55" s="37" t="s">
        <v>103</v>
      </c>
      <c r="G55" s="59" t="s">
        <v>103</v>
      </c>
      <c r="H55" s="18" t="s">
        <v>134</v>
      </c>
    </row>
    <row r="56" ht="23.25" customHeight="1">
      <c r="A56" s="45" t="s">
        <v>87</v>
      </c>
      <c r="B56" s="37" t="s">
        <v>103</v>
      </c>
      <c r="C56" s="37" t="s">
        <v>103</v>
      </c>
      <c r="D56" s="37" t="s">
        <v>103</v>
      </c>
      <c r="E56" s="37" t="s">
        <v>103</v>
      </c>
      <c r="F56" s="37" t="s">
        <v>103</v>
      </c>
      <c r="G56" s="59" t="s">
        <v>103</v>
      </c>
      <c r="H56" s="18" t="s">
        <v>135</v>
      </c>
    </row>
    <row r="57" ht="15" customHeight="1">
      <c r="A57" s="22" t="s">
        <v>142</v>
      </c>
      <c r="B57" s="49">
        <v>297</v>
      </c>
      <c r="C57" s="49">
        <v>361</v>
      </c>
      <c r="D57" s="27">
        <f t="shared" si="8"/>
        <v>1030</v>
      </c>
      <c r="E57" s="49">
        <v>318</v>
      </c>
      <c r="F57" s="49">
        <v>360</v>
      </c>
      <c r="G57" s="60">
        <f t="shared" si="9"/>
        <v>351.945</v>
      </c>
      <c r="H57" s="18" t="s">
        <v>143</v>
      </c>
    </row>
    <row r="58" ht="71.25" customHeight="1">
      <c r="A58" s="45" t="s">
        <v>121</v>
      </c>
      <c r="B58" s="37"/>
      <c r="C58" s="37"/>
      <c r="D58" s="37"/>
      <c r="E58" s="37"/>
      <c r="F58" s="37"/>
      <c r="G58" s="69">
        <v>0.185</v>
      </c>
      <c r="H58" s="38" t="s">
        <v>144</v>
      </c>
    </row>
    <row r="59" ht="15" customHeight="1">
      <c r="A59" s="58" t="s">
        <v>69</v>
      </c>
      <c r="B59" s="49">
        <v>204</v>
      </c>
      <c r="C59" s="49">
        <v>207</v>
      </c>
      <c r="D59" s="49">
        <v>786</v>
      </c>
      <c r="E59" s="49">
        <v>181</v>
      </c>
      <c r="F59" s="49">
        <v>191</v>
      </c>
      <c r="G59" s="60">
        <f t="shared" si="10"/>
        <v>297</v>
      </c>
      <c r="H59" s="18" t="s">
        <v>123</v>
      </c>
    </row>
    <row r="60" ht="15" customHeight="1">
      <c r="A60" s="45" t="s">
        <v>70</v>
      </c>
      <c r="B60" s="37">
        <f t="shared" si="0"/>
        <v>0.4558823529411764</v>
      </c>
      <c r="C60" s="37">
        <f t="shared" si="0"/>
        <v>0.7439613526570048</v>
      </c>
      <c r="D60" s="37">
        <f t="shared" si="0"/>
        <v>0.3104325699745547</v>
      </c>
      <c r="E60" s="37">
        <f t="shared" si="0"/>
        <v>0.7569060773480663</v>
      </c>
      <c r="F60" s="37">
        <f t="shared" si="0"/>
        <v>0.8848167539267016</v>
      </c>
      <c r="G60" s="59">
        <f t="shared" si="0"/>
        <v>0.18500000000000005</v>
      </c>
      <c r="H60" s="3"/>
    </row>
    <row r="61" ht="15" customHeight="1">
      <c r="A61" s="58" t="s">
        <v>71</v>
      </c>
      <c r="B61" s="27">
        <f t="shared" si="1"/>
        <v>93</v>
      </c>
      <c r="C61" s="27">
        <f t="shared" si="1"/>
        <v>154</v>
      </c>
      <c r="D61" s="27">
        <f t="shared" si="1"/>
        <v>244</v>
      </c>
      <c r="E61" s="27">
        <f t="shared" si="1"/>
        <v>137</v>
      </c>
      <c r="F61" s="27">
        <f t="shared" si="1"/>
        <v>169</v>
      </c>
      <c r="G61" s="60">
        <f t="shared" si="1"/>
        <v>54.94499999999999</v>
      </c>
      <c r="H61" s="3"/>
    </row>
    <row r="62" ht="15" customHeight="1">
      <c r="A62" s="45" t="s">
        <v>72</v>
      </c>
      <c r="B62" s="37">
        <f t="shared" si="11"/>
        <v>0.5549738219895288</v>
      </c>
      <c r="C62" s="37">
        <f t="shared" si="2"/>
        <v>0.2154882154882154</v>
      </c>
      <c r="D62" s="37"/>
      <c r="E62" s="37">
        <f t="shared" si="12"/>
        <v>-0.11911357340720219</v>
      </c>
      <c r="F62" s="37">
        <f t="shared" si="2"/>
        <v>0.13207547169811318</v>
      </c>
      <c r="G62" s="59">
        <f t="shared" si="2"/>
        <v>-0.022375000000000034</v>
      </c>
      <c r="H62" s="18" t="s">
        <v>124</v>
      </c>
    </row>
    <row r="63" ht="15" customHeight="1">
      <c r="A63" s="58" t="s">
        <v>73</v>
      </c>
      <c r="B63" s="27">
        <f t="shared" si="13"/>
        <v>106</v>
      </c>
      <c r="C63" s="27">
        <f t="shared" si="3"/>
        <v>64</v>
      </c>
      <c r="D63" s="27"/>
      <c r="E63" s="27">
        <f t="shared" si="14"/>
        <v>-43</v>
      </c>
      <c r="F63" s="27">
        <f t="shared" si="3"/>
        <v>42</v>
      </c>
      <c r="G63" s="60">
        <f t="shared" si="3"/>
        <v>-8.055000000000007</v>
      </c>
      <c r="H63" s="3"/>
    </row>
    <row r="64" ht="15" customHeight="1">
      <c r="A64" s="45" t="s">
        <v>125</v>
      </c>
      <c r="B64" s="37">
        <f t="shared" si="22" ref="B64:G64">B57/B73</f>
        <v>0.14190157668418538</v>
      </c>
      <c r="C64" s="37">
        <f t="shared" si="22"/>
        <v>0.1700423928403203</v>
      </c>
      <c r="D64" s="37">
        <f t="shared" si="22"/>
        <v>0.1281732205077153</v>
      </c>
      <c r="E64" s="37">
        <f t="shared" si="22"/>
        <v>0.150354609929078</v>
      </c>
      <c r="F64" s="37">
        <f t="shared" si="22"/>
        <v>0.16049933125278645</v>
      </c>
      <c r="G64" s="59">
        <f t="shared" si="22"/>
        <v>0.15561391989494416</v>
      </c>
      <c r="H64" s="3"/>
    </row>
    <row r="65" ht="15" customHeight="1">
      <c r="A65" s="45" t="s">
        <v>126</v>
      </c>
      <c r="B65" s="36">
        <f t="shared" si="23" ref="B65:G65">(B57/B73-B59/B74)*10000</f>
        <v>362.02094818900395</v>
      </c>
      <c r="C65" s="36">
        <f t="shared" si="23"/>
        <v>546.5777745570491</v>
      </c>
      <c r="D65" s="36">
        <f t="shared" si="23"/>
        <v>229.2415784033447</v>
      </c>
      <c r="E65" s="36">
        <f t="shared" si="23"/>
        <v>551.4156416369137</v>
      </c>
      <c r="F65" s="36">
        <f t="shared" si="23"/>
        <v>609.6832552063429</v>
      </c>
      <c r="G65" s="67">
        <f t="shared" si="23"/>
        <v>137.12343210758786</v>
      </c>
      <c r="H65" s="3"/>
    </row>
    <row r="66" ht="15" customHeight="1">
      <c r="A66" s="45" t="s">
        <v>127</v>
      </c>
      <c r="B66" s="36">
        <f>(B57/B73-F59/F74)*10000</f>
        <v>423.7057095203321</v>
      </c>
      <c r="C66" s="36">
        <f t="shared" si="24" ref="C66:G66">(C57/C73-B57/B73)*10000</f>
        <v>281.40816156134923</v>
      </c>
      <c r="D66" s="36"/>
      <c r="E66" s="36">
        <f>(E57/E73-C57/C73)*10000</f>
        <v>-196.87782911242292</v>
      </c>
      <c r="F66" s="36">
        <f t="shared" si="24"/>
        <v>101.44721323708444</v>
      </c>
      <c r="G66" s="67">
        <f t="shared" si="24"/>
        <v>-48.8541135784229</v>
      </c>
      <c r="H66" s="3"/>
    </row>
    <row r="67" ht="26.25" customHeight="1">
      <c r="A67" s="58" t="s">
        <v>128</v>
      </c>
      <c r="B67" s="49">
        <v>-15</v>
      </c>
      <c r="C67" s="27">
        <f t="shared" si="18"/>
        <v>-4</v>
      </c>
      <c r="D67" s="49">
        <v>-22</v>
      </c>
      <c r="E67" s="49">
        <v>-50</v>
      </c>
      <c r="F67" s="49">
        <v>4</v>
      </c>
      <c r="G67" s="60" t="s">
        <v>129</v>
      </c>
      <c r="H67" s="38" t="s">
        <v>130</v>
      </c>
    </row>
    <row r="68" ht="15" customHeight="1">
      <c r="A68" s="66" t="s">
        <v>131</v>
      </c>
      <c r="B68" s="49">
        <v>-18</v>
      </c>
      <c r="C68" s="27"/>
      <c r="D68" s="27"/>
      <c r="E68" s="27"/>
      <c r="F68" s="27"/>
      <c r="G68" s="60"/>
      <c r="H68" s="18" t="s">
        <v>132</v>
      </c>
    </row>
    <row r="69" ht="15" customHeight="1">
      <c r="A69" s="45" t="s">
        <v>78</v>
      </c>
      <c r="B69" s="37">
        <f t="shared" si="7"/>
        <v>-0.07352941176470588</v>
      </c>
      <c r="C69" s="37">
        <f t="shared" si="7"/>
        <v>-0.01932367149758454</v>
      </c>
      <c r="D69" s="37">
        <f t="shared" si="7"/>
        <v>-0.027989821882951654</v>
      </c>
      <c r="E69" s="37">
        <f t="shared" si="7"/>
        <v>-0.27624309392265195</v>
      </c>
      <c r="F69" s="37">
        <f t="shared" si="7"/>
        <v>0.020942408376963352</v>
      </c>
      <c r="G69" s="59"/>
      <c r="H69" s="3"/>
    </row>
    <row r="70" ht="15" customHeight="1">
      <c r="A70" s="45" t="s">
        <v>102</v>
      </c>
      <c r="B70" s="37" t="s">
        <v>103</v>
      </c>
      <c r="C70" s="37" t="s">
        <v>103</v>
      </c>
      <c r="D70" s="37" t="s">
        <v>103</v>
      </c>
      <c r="E70" s="37" t="s">
        <v>103</v>
      </c>
      <c r="F70" s="37" t="s">
        <v>103</v>
      </c>
      <c r="G70" s="59" t="s">
        <v>103</v>
      </c>
      <c r="H70" s="18" t="s">
        <v>133</v>
      </c>
    </row>
    <row r="71" ht="15" customHeight="1">
      <c r="A71" s="45" t="s">
        <v>77</v>
      </c>
      <c r="B71" s="37" t="s">
        <v>103</v>
      </c>
      <c r="C71" s="37" t="s">
        <v>103</v>
      </c>
      <c r="D71" s="37" t="s">
        <v>103</v>
      </c>
      <c r="E71" s="37" t="s">
        <v>103</v>
      </c>
      <c r="F71" s="37" t="s">
        <v>103</v>
      </c>
      <c r="G71" s="59" t="s">
        <v>103</v>
      </c>
      <c r="H71" s="18" t="s">
        <v>134</v>
      </c>
    </row>
    <row r="72" ht="23.25" customHeight="1">
      <c r="A72" s="45" t="s">
        <v>87</v>
      </c>
      <c r="B72" s="37" t="s">
        <v>103</v>
      </c>
      <c r="C72" s="37" t="s">
        <v>103</v>
      </c>
      <c r="D72" s="37" t="s">
        <v>103</v>
      </c>
      <c r="E72" s="37" t="s">
        <v>103</v>
      </c>
      <c r="F72" s="37" t="s">
        <v>103</v>
      </c>
      <c r="G72" s="59" t="s">
        <v>103</v>
      </c>
      <c r="H72" s="18" t="s">
        <v>135</v>
      </c>
    </row>
    <row r="73" ht="15" customHeight="1">
      <c r="A73" s="29" t="s">
        <v>67</v>
      </c>
      <c r="B73" s="62">
        <f t="shared" si="25" ref="B73:G73">B9+B25+B41+B57</f>
        <v>2093</v>
      </c>
      <c r="C73" s="62">
        <f t="shared" si="25"/>
        <v>2123</v>
      </c>
      <c r="D73" s="62">
        <f t="shared" si="25"/>
        <v>8036</v>
      </c>
      <c r="E73" s="62">
        <f t="shared" si="25"/>
        <v>2115</v>
      </c>
      <c r="F73" s="62">
        <f t="shared" si="25"/>
        <v>2243</v>
      </c>
      <c r="G73" s="63">
        <f t="shared" si="25"/>
        <v>2261.655</v>
      </c>
      <c r="H73" s="18" t="s">
        <v>145</v>
      </c>
    </row>
    <row r="74" ht="15" customHeight="1">
      <c r="A74" s="58" t="s">
        <v>69</v>
      </c>
      <c r="B74" s="27">
        <f t="shared" si="26" ref="B74:F74">B11+B27+B43+B59</f>
        <v>1930</v>
      </c>
      <c r="C74" s="27">
        <f t="shared" si="26"/>
        <v>1794</v>
      </c>
      <c r="D74" s="27">
        <f t="shared" si="26"/>
        <v>7468</v>
      </c>
      <c r="E74" s="27">
        <f t="shared" si="26"/>
        <v>1901</v>
      </c>
      <c r="F74" s="27">
        <f t="shared" si="26"/>
        <v>1919</v>
      </c>
      <c r="G74" s="60">
        <f t="shared" si="56" ref="G74:G161">B73</f>
        <v>2093</v>
      </c>
      <c r="H74" s="18" t="s">
        <v>146</v>
      </c>
    </row>
    <row r="75" ht="15" customHeight="1">
      <c r="A75" s="58" t="s">
        <v>147</v>
      </c>
      <c r="B75" s="49">
        <v>2093</v>
      </c>
      <c r="C75" s="49">
        <v>2123</v>
      </c>
      <c r="D75" s="49">
        <v>8036</v>
      </c>
      <c r="E75" s="49">
        <v>2115</v>
      </c>
      <c r="F75" s="49">
        <v>2243</v>
      </c>
      <c r="G75" s="60"/>
      <c r="H75" s="18" t="s">
        <v>148</v>
      </c>
    </row>
    <row r="76" ht="15" customHeight="1">
      <c r="A76" s="45" t="s">
        <v>149</v>
      </c>
      <c r="B76" s="47">
        <f t="shared" si="27" ref="B76:F76">B73-B75</f>
        <v>0</v>
      </c>
      <c r="C76" s="47">
        <f t="shared" si="27"/>
        <v>0</v>
      </c>
      <c r="D76" s="47">
        <f t="shared" si="27"/>
        <v>0</v>
      </c>
      <c r="E76" s="47">
        <f t="shared" si="27"/>
        <v>0</v>
      </c>
      <c r="F76" s="47">
        <f t="shared" si="27"/>
        <v>0</v>
      </c>
      <c r="G76" s="64"/>
      <c r="H76" s="3"/>
    </row>
    <row r="77" ht="15" customHeight="1">
      <c r="A77" s="45" t="s">
        <v>70</v>
      </c>
      <c r="B77" s="37">
        <f t="shared" si="28" ref="B77:G77">B73/B74-1</f>
        <v>0.08445595854922283</v>
      </c>
      <c r="C77" s="37">
        <f t="shared" si="28"/>
        <v>0.18338907469342258</v>
      </c>
      <c r="D77" s="37">
        <f t="shared" si="28"/>
        <v>0.07605784681306904</v>
      </c>
      <c r="E77" s="37">
        <f t="shared" si="28"/>
        <v>0.11257233035244618</v>
      </c>
      <c r="F77" s="37">
        <f t="shared" si="28"/>
        <v>0.1688379364252215</v>
      </c>
      <c r="G77" s="59">
        <f t="shared" si="28"/>
        <v>0.08058050645007175</v>
      </c>
      <c r="H77" s="3"/>
    </row>
    <row r="78" ht="15" customHeight="1">
      <c r="A78" s="58" t="s">
        <v>71</v>
      </c>
      <c r="B78" s="27">
        <f t="shared" si="29" ref="B78:G78">B73-B74</f>
        <v>163</v>
      </c>
      <c r="C78" s="27">
        <f t="shared" si="29"/>
        <v>329</v>
      </c>
      <c r="D78" s="27">
        <f t="shared" si="29"/>
        <v>568</v>
      </c>
      <c r="E78" s="27">
        <f t="shared" si="29"/>
        <v>214</v>
      </c>
      <c r="F78" s="27">
        <f t="shared" si="29"/>
        <v>324</v>
      </c>
      <c r="G78" s="60">
        <f t="shared" si="29"/>
        <v>168.6550000000002</v>
      </c>
      <c r="H78" s="3"/>
    </row>
    <row r="79" ht="15" customHeight="1">
      <c r="A79" s="45" t="s">
        <v>72</v>
      </c>
      <c r="B79" s="37">
        <f>B73/F74-1</f>
        <v>0.09067222511724848</v>
      </c>
      <c r="C79" s="37">
        <f t="shared" si="30" ref="C79:G79">C73/B73-1</f>
        <v>0.014333492594362118</v>
      </c>
      <c r="D79" s="37"/>
      <c r="E79" s="37">
        <f>E73/C73-1</f>
        <v>-0.0037682524729156786</v>
      </c>
      <c r="F79" s="37">
        <f t="shared" si="30"/>
        <v>0.06052009456264784</v>
      </c>
      <c r="G79" s="59">
        <f t="shared" si="30"/>
        <v>0.008316986179224273</v>
      </c>
      <c r="H79" s="3"/>
    </row>
    <row r="80" ht="15" customHeight="1">
      <c r="A80" s="58" t="s">
        <v>73</v>
      </c>
      <c r="B80" s="27">
        <f>B73-F74</f>
        <v>174</v>
      </c>
      <c r="C80" s="27">
        <f t="shared" si="31" ref="C80:G80">C73-B73</f>
        <v>30</v>
      </c>
      <c r="D80" s="27"/>
      <c r="E80" s="27">
        <f>E73-C73</f>
        <v>-8</v>
      </c>
      <c r="F80" s="27">
        <f t="shared" si="31"/>
        <v>128</v>
      </c>
      <c r="G80" s="60">
        <f t="shared" si="31"/>
        <v>18.6550000000002</v>
      </c>
      <c r="H80" s="3"/>
    </row>
    <row r="81" ht="15" customHeight="1">
      <c r="A81" s="22"/>
      <c r="B81" s="3"/>
      <c r="C81" s="3"/>
      <c r="D81" s="3"/>
      <c r="E81" s="3"/>
      <c r="F81" s="3"/>
      <c r="G81" s="65"/>
      <c r="H81" s="3"/>
    </row>
    <row r="82" ht="15" customHeight="1">
      <c r="A82" s="55" t="s">
        <v>150</v>
      </c>
      <c r="B82" s="20"/>
      <c r="C82" s="20"/>
      <c r="D82" s="20"/>
      <c r="E82" s="20"/>
      <c r="F82" s="20"/>
      <c r="G82" s="56"/>
      <c r="H82" s="3"/>
    </row>
    <row r="83" ht="37.5" customHeight="1">
      <c r="A83" s="58" t="s">
        <v>83</v>
      </c>
      <c r="B83" s="49">
        <v>128</v>
      </c>
      <c r="C83" s="49">
        <v>167</v>
      </c>
      <c r="D83" s="49">
        <v>328</v>
      </c>
      <c r="E83" s="49">
        <v>184</v>
      </c>
      <c r="F83" s="49">
        <v>163</v>
      </c>
      <c r="G83" s="73">
        <v>43</v>
      </c>
      <c r="H83" s="38" t="s">
        <v>151</v>
      </c>
    </row>
    <row r="84" ht="15" customHeight="1">
      <c r="A84" s="58" t="s">
        <v>152</v>
      </c>
      <c r="B84" s="49">
        <v>-7</v>
      </c>
      <c r="C84" s="49">
        <v>-2</v>
      </c>
      <c r="D84" s="49">
        <v>-36</v>
      </c>
      <c r="E84" s="49">
        <v>-10</v>
      </c>
      <c r="F84" s="49">
        <v>-11</v>
      </c>
      <c r="G84" s="73">
        <v>-8</v>
      </c>
      <c r="H84" s="18" t="s">
        <v>153</v>
      </c>
    </row>
    <row r="85" ht="15" customHeight="1">
      <c r="A85" s="58" t="s">
        <v>85</v>
      </c>
      <c r="B85" s="49">
        <v>1</v>
      </c>
      <c r="C85" s="49">
        <v>5</v>
      </c>
      <c r="D85" s="49">
        <v>-31</v>
      </c>
      <c r="E85" s="49">
        <v>20</v>
      </c>
      <c r="F85" s="49">
        <v>14</v>
      </c>
      <c r="G85" s="73">
        <v>-4</v>
      </c>
      <c r="H85" s="18" t="s">
        <v>154</v>
      </c>
    </row>
    <row r="86" ht="15" customHeight="1">
      <c r="A86" s="58" t="s">
        <v>86</v>
      </c>
      <c r="B86" s="49">
        <v>41</v>
      </c>
      <c r="C86" s="49">
        <v>159</v>
      </c>
      <c r="D86" s="49">
        <v>307</v>
      </c>
      <c r="E86" s="49">
        <v>20</v>
      </c>
      <c r="F86" s="49">
        <v>158</v>
      </c>
      <c r="G86" s="60">
        <f>G73-G74-G83-G84-G85</f>
        <v>137.6550000000002</v>
      </c>
      <c r="H86" s="18" t="s">
        <v>155</v>
      </c>
    </row>
    <row r="87" ht="15" customHeight="1">
      <c r="A87" s="45" t="s">
        <v>156</v>
      </c>
      <c r="B87" s="47">
        <f t="shared" si="32" ref="B87:G87">B74+B83+B84+B85+B86-B73</f>
        <v>0</v>
      </c>
      <c r="C87" s="47">
        <f t="shared" si="32"/>
        <v>0</v>
      </c>
      <c r="D87" s="47">
        <f t="shared" si="32"/>
        <v>0</v>
      </c>
      <c r="E87" s="47">
        <f t="shared" si="32"/>
        <v>0</v>
      </c>
      <c r="F87" s="47">
        <f t="shared" si="32"/>
        <v>0</v>
      </c>
      <c r="G87" s="64">
        <f t="shared" si="32"/>
        <v>0</v>
      </c>
      <c r="H87" s="3"/>
    </row>
    <row r="88" ht="15" customHeight="1">
      <c r="A88" s="45" t="s">
        <v>75</v>
      </c>
      <c r="B88" s="37">
        <f t="shared" si="33" ref="B88:G88">B83/B74</f>
        <v>0.06632124352331606</v>
      </c>
      <c r="C88" s="37">
        <f t="shared" si="33"/>
        <v>0.09308807134894091</v>
      </c>
      <c r="D88" s="37">
        <f t="shared" si="33"/>
        <v>0.04392072844134976</v>
      </c>
      <c r="E88" s="37">
        <f t="shared" si="33"/>
        <v>0.0967911625460284</v>
      </c>
      <c r="F88" s="37">
        <f t="shared" si="33"/>
        <v>0.08494007295466388</v>
      </c>
      <c r="G88" s="59">
        <f t="shared" si="33"/>
        <v>0.020544672718585764</v>
      </c>
      <c r="H88" s="3"/>
    </row>
    <row r="89" ht="15" customHeight="1">
      <c r="A89" s="45" t="s">
        <v>76</v>
      </c>
      <c r="B89" s="37">
        <f t="shared" si="34" ref="B89:G115">B84/B74</f>
        <v>-0.003626943005181347</v>
      </c>
      <c r="C89" s="37">
        <f t="shared" si="34"/>
        <v>-0.0011148272017837235</v>
      </c>
      <c r="D89" s="37">
        <f t="shared" si="34"/>
        <v>-0.0048205677557579</v>
      </c>
      <c r="E89" s="37">
        <f t="shared" si="34"/>
        <v>-0.0052603892688058915</v>
      </c>
      <c r="F89" s="37">
        <f t="shared" si="34"/>
        <v>-0.005732152162584679</v>
      </c>
      <c r="G89" s="59">
        <f t="shared" si="34"/>
        <v>-0.003822264691829909</v>
      </c>
      <c r="H89" s="3"/>
    </row>
    <row r="90" ht="15" customHeight="1">
      <c r="A90" s="45" t="s">
        <v>157</v>
      </c>
      <c r="B90" s="37">
        <f t="shared" si="35" ref="B90:G90">B88+B89</f>
        <v>0.06269430051813471</v>
      </c>
      <c r="C90" s="37">
        <f t="shared" si="35"/>
        <v>0.09197324414715718</v>
      </c>
      <c r="D90" s="37">
        <f t="shared" si="35"/>
        <v>0.03910016068559186</v>
      </c>
      <c r="E90" s="37">
        <f t="shared" si="35"/>
        <v>0.0915307732772225</v>
      </c>
      <c r="F90" s="37">
        <f t="shared" si="35"/>
        <v>0.0792079207920792</v>
      </c>
      <c r="G90" s="59">
        <f t="shared" si="35"/>
        <v>0.016722408026755856</v>
      </c>
      <c r="H90" s="3"/>
    </row>
    <row r="91" ht="15" customHeight="1">
      <c r="A91" s="45" t="s">
        <v>77</v>
      </c>
      <c r="B91" s="37">
        <f t="shared" si="36" ref="B91:G91">B85/B74</f>
        <v>0.0005181347150259067</v>
      </c>
      <c r="C91" s="37">
        <f t="shared" si="36"/>
        <v>0.002787068004459309</v>
      </c>
      <c r="D91" s="37">
        <f t="shared" si="36"/>
        <v>-0.004151044456347081</v>
      </c>
      <c r="E91" s="37">
        <f t="shared" si="36"/>
        <v>0.010520778537611783</v>
      </c>
      <c r="F91" s="37">
        <f t="shared" si="36"/>
        <v>0.007295466388744137</v>
      </c>
      <c r="G91" s="59">
        <f t="shared" si="36"/>
        <v>-0.0019111323459149545</v>
      </c>
      <c r="H91" s="3"/>
    </row>
    <row r="92" ht="15" customHeight="1">
      <c r="A92" s="45" t="s">
        <v>78</v>
      </c>
      <c r="B92" s="37">
        <f t="shared" si="37" ref="B92:G92">B86/B74</f>
        <v>0.021243523316062177</v>
      </c>
      <c r="C92" s="37">
        <f t="shared" si="37"/>
        <v>0.08862876254180602</v>
      </c>
      <c r="D92" s="37">
        <f t="shared" si="37"/>
        <v>0.04110873058382432</v>
      </c>
      <c r="E92" s="37">
        <f t="shared" si="37"/>
        <v>0.010520778537611783</v>
      </c>
      <c r="F92" s="37">
        <f t="shared" si="37"/>
        <v>0.08233454924439812</v>
      </c>
      <c r="G92" s="59">
        <f t="shared" si="37"/>
        <v>0.06576923076923087</v>
      </c>
      <c r="H92" s="3"/>
    </row>
    <row r="93" ht="15" customHeight="1">
      <c r="A93" s="45" t="s">
        <v>158</v>
      </c>
      <c r="B93" s="37">
        <f t="shared" si="38" ref="B93:G93">B77</f>
        <v>0.08445595854922283</v>
      </c>
      <c r="C93" s="37">
        <f t="shared" si="38"/>
        <v>0.18338907469342258</v>
      </c>
      <c r="D93" s="37">
        <f t="shared" si="38"/>
        <v>0.07605784681306904</v>
      </c>
      <c r="E93" s="37">
        <f t="shared" si="38"/>
        <v>0.11257233035244618</v>
      </c>
      <c r="F93" s="37">
        <f t="shared" si="38"/>
        <v>0.1688379364252215</v>
      </c>
      <c r="G93" s="59">
        <f t="shared" si="38"/>
        <v>0.08058050645007175</v>
      </c>
      <c r="H93" s="3"/>
    </row>
    <row r="94" ht="23.25" customHeight="1">
      <c r="A94" s="45" t="s">
        <v>87</v>
      </c>
      <c r="B94" s="37">
        <f t="shared" si="39" ref="B94:G94">(1+B93)/((1+B90)*(1+B91))-1</f>
        <v>0.01994934453668651</v>
      </c>
      <c r="C94" s="37">
        <f t="shared" si="39"/>
        <v>0.08070418566721194</v>
      </c>
      <c r="D94" s="37">
        <f t="shared" si="39"/>
        <v>0.039883613418003394</v>
      </c>
      <c r="E94" s="37">
        <f t="shared" si="39"/>
        <v>0.008665165607772085</v>
      </c>
      <c r="F94" s="37">
        <f t="shared" si="39"/>
        <v>0.07520752549870191</v>
      </c>
      <c r="G94" s="59">
        <f t="shared" si="39"/>
        <v>0.06484285637802034</v>
      </c>
      <c r="H94" s="18" t="s">
        <v>159</v>
      </c>
    </row>
    <row r="95" ht="15" customHeight="1">
      <c r="A95" s="22"/>
      <c r="B95" s="3"/>
      <c r="C95" s="3"/>
      <c r="D95" s="3"/>
      <c r="E95" s="3"/>
      <c r="F95" s="3"/>
      <c r="G95" s="65"/>
      <c r="H95" s="3"/>
    </row>
    <row r="96" ht="15" customHeight="1">
      <c r="A96" s="55" t="s">
        <v>160</v>
      </c>
      <c r="B96" s="20"/>
      <c r="C96" s="20"/>
      <c r="D96" s="20"/>
      <c r="E96" s="20"/>
      <c r="F96" s="20"/>
      <c r="G96" s="56"/>
      <c r="H96" s="3"/>
    </row>
    <row r="97" ht="15" customHeight="1">
      <c r="A97" s="22" t="s">
        <v>161</v>
      </c>
      <c r="B97" s="27">
        <f>F102</f>
        <v>17136</v>
      </c>
      <c r="C97" s="27">
        <f t="shared" si="40" ref="C97:G109">B100</f>
        <v>20907</v>
      </c>
      <c r="D97" s="27">
        <f>C102</f>
        <v>17986</v>
      </c>
      <c r="E97" s="27">
        <f>C100</f>
        <v>22493</v>
      </c>
      <c r="F97" s="27">
        <f t="shared" si="40"/>
        <v>25175</v>
      </c>
      <c r="G97" s="60">
        <f t="shared" si="40"/>
        <v>25332</v>
      </c>
      <c r="H97" s="18" t="s">
        <v>162</v>
      </c>
    </row>
    <row r="98" ht="15" customHeight="1">
      <c r="A98" s="58" t="s">
        <v>163</v>
      </c>
      <c r="B98" s="27">
        <f t="shared" si="41" ref="B98:F98">B100-B97+B73</f>
        <v>5864</v>
      </c>
      <c r="C98" s="27">
        <f t="shared" si="41"/>
        <v>3709</v>
      </c>
      <c r="D98" s="27">
        <f t="shared" si="41"/>
        <v>12543</v>
      </c>
      <c r="E98" s="27">
        <f t="shared" si="41"/>
        <v>4797</v>
      </c>
      <c r="F98" s="27">
        <f t="shared" si="41"/>
        <v>2400</v>
      </c>
      <c r="G98" s="60">
        <f>G73*G106</f>
        <v>2374.7377500000002</v>
      </c>
      <c r="H98" s="18" t="s">
        <v>164</v>
      </c>
    </row>
    <row r="99" ht="15" customHeight="1">
      <c r="A99" s="58" t="s">
        <v>165</v>
      </c>
      <c r="B99" s="27">
        <f t="shared" si="42" ref="B99:G99">-B73</f>
        <v>-2093</v>
      </c>
      <c r="C99" s="27">
        <f t="shared" si="42"/>
        <v>-2123</v>
      </c>
      <c r="D99" s="27">
        <f t="shared" si="42"/>
        <v>-8036</v>
      </c>
      <c r="E99" s="27">
        <f t="shared" si="42"/>
        <v>-2115</v>
      </c>
      <c r="F99" s="27">
        <f t="shared" si="42"/>
        <v>-2243</v>
      </c>
      <c r="G99" s="60">
        <f t="shared" si="42"/>
        <v>-2261.655</v>
      </c>
      <c r="H99" s="3"/>
    </row>
    <row r="100" ht="15" customHeight="1">
      <c r="A100" s="29" t="s">
        <v>166</v>
      </c>
      <c r="B100" s="74">
        <v>20907</v>
      </c>
      <c r="C100" s="74">
        <v>22493</v>
      </c>
      <c r="D100" s="62">
        <f t="shared" si="44" ref="D100:D112">C100</f>
        <v>22493</v>
      </c>
      <c r="E100" s="74">
        <v>25175</v>
      </c>
      <c r="F100" s="74">
        <v>25332</v>
      </c>
      <c r="G100" s="63">
        <f>G97+G98+G99</f>
        <v>25445.08275</v>
      </c>
      <c r="H100" s="18" t="s">
        <v>167</v>
      </c>
    </row>
    <row r="101" ht="15" customHeight="1">
      <c r="A101" s="58" t="s">
        <v>168</v>
      </c>
      <c r="B101" s="27">
        <f t="shared" si="43" ref="B101:G101">(B97+B100)/2</f>
        <v>19021.5</v>
      </c>
      <c r="C101" s="27">
        <f t="shared" si="43"/>
        <v>21700</v>
      </c>
      <c r="D101" s="27">
        <f t="shared" si="43"/>
        <v>20239.5</v>
      </c>
      <c r="E101" s="27">
        <f t="shared" si="43"/>
        <v>23834</v>
      </c>
      <c r="F101" s="27">
        <f t="shared" si="43"/>
        <v>25253.5</v>
      </c>
      <c r="G101" s="60">
        <f t="shared" si="43"/>
        <v>25388.541375</v>
      </c>
      <c r="H101" s="3"/>
    </row>
    <row r="102" ht="15" customHeight="1">
      <c r="A102" s="58" t="s">
        <v>169</v>
      </c>
      <c r="B102" s="49">
        <v>17756</v>
      </c>
      <c r="C102" s="49">
        <v>17986</v>
      </c>
      <c r="D102" s="27">
        <f t="shared" si="44"/>
        <v>17986</v>
      </c>
      <c r="E102" s="49">
        <v>17851</v>
      </c>
      <c r="F102" s="49">
        <v>17136</v>
      </c>
      <c r="G102" s="60">
        <f t="shared" si="10"/>
        <v>20907</v>
      </c>
      <c r="H102" s="3"/>
    </row>
    <row r="103" ht="15" customHeight="1">
      <c r="A103" s="45" t="s">
        <v>170</v>
      </c>
      <c r="B103" s="37">
        <f t="shared" si="0"/>
        <v>0.17746113989637302</v>
      </c>
      <c r="C103" s="37">
        <f t="shared" si="0"/>
        <v>0.2505837873901924</v>
      </c>
      <c r="D103" s="37">
        <f t="shared" si="0"/>
        <v>0.2505837873901924</v>
      </c>
      <c r="E103" s="37">
        <f t="shared" si="0"/>
        <v>0.4102851380875021</v>
      </c>
      <c r="F103" s="37">
        <f t="shared" si="0"/>
        <v>0.4782913165266107</v>
      </c>
      <c r="G103" s="59">
        <f t="shared" si="0"/>
        <v>0.2170604462620176</v>
      </c>
      <c r="H103" s="3"/>
    </row>
    <row r="104" ht="15" customHeight="1">
      <c r="A104" s="58" t="s">
        <v>171</v>
      </c>
      <c r="B104" s="27">
        <f t="shared" si="45" ref="B104:G104">B100-B97</f>
        <v>3771</v>
      </c>
      <c r="C104" s="27">
        <f t="shared" si="45"/>
        <v>1586</v>
      </c>
      <c r="D104" s="27">
        <f t="shared" si="45"/>
        <v>4507</v>
      </c>
      <c r="E104" s="27">
        <f t="shared" si="45"/>
        <v>2682</v>
      </c>
      <c r="F104" s="27">
        <f t="shared" si="45"/>
        <v>157</v>
      </c>
      <c r="G104" s="60">
        <f t="shared" si="45"/>
        <v>113.0827500000014</v>
      </c>
      <c r="H104" s="3"/>
    </row>
    <row r="105" ht="15" customHeight="1">
      <c r="A105" s="22" t="s">
        <v>172</v>
      </c>
      <c r="B105" s="75">
        <f t="shared" si="46" ref="B105:G105">B98/B73</f>
        <v>2.8017200191113236</v>
      </c>
      <c r="C105" s="75">
        <f t="shared" si="46"/>
        <v>1.7470560527555345</v>
      </c>
      <c r="D105" s="75">
        <f t="shared" si="46"/>
        <v>1.560851169736187</v>
      </c>
      <c r="E105" s="75">
        <f t="shared" si="46"/>
        <v>2.2680851063829786</v>
      </c>
      <c r="F105" s="75">
        <f t="shared" si="46"/>
        <v>1.069995541685243</v>
      </c>
      <c r="G105" s="76">
        <f t="shared" si="46"/>
        <v>1.05</v>
      </c>
      <c r="H105" s="3"/>
    </row>
    <row r="106" ht="26.25" customHeight="1">
      <c r="A106" s="58" t="s">
        <v>173</v>
      </c>
      <c r="B106" s="75"/>
      <c r="C106" s="75"/>
      <c r="D106" s="75"/>
      <c r="E106" s="75"/>
      <c r="F106" s="75"/>
      <c r="G106" s="77">
        <v>1.05</v>
      </c>
      <c r="H106" s="38" t="s">
        <v>174</v>
      </c>
    </row>
    <row r="107" ht="15" customHeight="1">
      <c r="A107" s="58" t="s">
        <v>175</v>
      </c>
      <c r="B107" s="75">
        <f>B105-(B97-E102+F74)/F74</f>
        <v>2.174309909679328</v>
      </c>
      <c r="C107" s="75">
        <f t="shared" si="47" ref="C107:G107">C105-B105</f>
        <v>-1.054663966355789</v>
      </c>
      <c r="D107" s="75"/>
      <c r="E107" s="75">
        <f>E105-C105</f>
        <v>0.521029053627444</v>
      </c>
      <c r="F107" s="75">
        <f t="shared" si="47"/>
        <v>-1.1980895646977356</v>
      </c>
      <c r="G107" s="76">
        <f t="shared" si="47"/>
        <v>-0.019995541685242868</v>
      </c>
      <c r="H107" s="18" t="s">
        <v>176</v>
      </c>
    </row>
    <row r="108" ht="26.25" customHeight="1">
      <c r="A108" s="58" t="s">
        <v>177</v>
      </c>
      <c r="B108" s="75" t="s">
        <v>103</v>
      </c>
      <c r="C108" s="75">
        <f t="shared" si="48" ref="C108:F108">C105-(C102-B102+C74)/C74</f>
        <v>0.6188509245504064</v>
      </c>
      <c r="D108" s="75" t="s">
        <v>103</v>
      </c>
      <c r="E108" s="75">
        <f>E105-(E102-D97+E74)/E74</f>
        <v>1.339100361511858</v>
      </c>
      <c r="F108" s="75">
        <f t="shared" si="48"/>
        <v>0.4425854322532471</v>
      </c>
      <c r="G108" s="76">
        <f>G105-B105</f>
        <v>-1.7517200191113236</v>
      </c>
      <c r="H108" s="38" t="s">
        <v>178</v>
      </c>
    </row>
    <row r="109" ht="15" customHeight="1">
      <c r="A109" s="22" t="s">
        <v>179</v>
      </c>
      <c r="B109" s="27">
        <f>F112</f>
        <v>6024</v>
      </c>
      <c r="C109" s="27">
        <f t="shared" si="49" ref="C109:G109">B110</f>
        <v>6085</v>
      </c>
      <c r="D109" s="27">
        <f t="shared" si="40"/>
        <v>5577</v>
      </c>
      <c r="E109" s="27">
        <f>C110</f>
        <v>6022</v>
      </c>
      <c r="F109" s="27">
        <f t="shared" si="49"/>
        <v>6679</v>
      </c>
      <c r="G109" s="60">
        <f t="shared" si="49"/>
        <v>6638</v>
      </c>
      <c r="H109" s="3"/>
    </row>
    <row r="110" ht="15" customHeight="1">
      <c r="A110" s="29" t="s">
        <v>180</v>
      </c>
      <c r="B110" s="74">
        <v>6085</v>
      </c>
      <c r="C110" s="74">
        <v>6022</v>
      </c>
      <c r="D110" s="62">
        <f t="shared" si="44"/>
        <v>6022</v>
      </c>
      <c r="E110" s="74">
        <v>6679</v>
      </c>
      <c r="F110" s="74">
        <v>6638</v>
      </c>
      <c r="G110" s="63">
        <f>F110*(1+G111)</f>
        <v>6638</v>
      </c>
      <c r="H110" s="18" t="s">
        <v>181</v>
      </c>
    </row>
    <row r="111" ht="23.25" customHeight="1">
      <c r="A111" s="45" t="s">
        <v>182</v>
      </c>
      <c r="B111" s="37"/>
      <c r="C111" s="37"/>
      <c r="D111" s="37"/>
      <c r="E111" s="37"/>
      <c r="F111" s="37"/>
      <c r="G111" s="69">
        <v>0</v>
      </c>
      <c r="H111" s="18" t="s">
        <v>183</v>
      </c>
    </row>
    <row r="112" ht="15" customHeight="1">
      <c r="A112" s="58" t="s">
        <v>184</v>
      </c>
      <c r="B112" s="49">
        <v>5589</v>
      </c>
      <c r="C112" s="49">
        <v>5577</v>
      </c>
      <c r="D112" s="27">
        <f t="shared" si="44"/>
        <v>5577</v>
      </c>
      <c r="E112" s="49">
        <v>6069</v>
      </c>
      <c r="F112" s="49">
        <v>6024</v>
      </c>
      <c r="G112" s="60">
        <f t="shared" si="10"/>
        <v>6085</v>
      </c>
      <c r="H112" s="3"/>
    </row>
    <row r="113" ht="15" customHeight="1">
      <c r="A113" s="45" t="s">
        <v>185</v>
      </c>
      <c r="B113" s="37">
        <f t="shared" si="0"/>
        <v>0.08874575058149947</v>
      </c>
      <c r="C113" s="37">
        <f t="shared" si="0"/>
        <v>0.07979200286892585</v>
      </c>
      <c r="D113" s="37">
        <f t="shared" si="0"/>
        <v>0.07979200286892585</v>
      </c>
      <c r="E113" s="37">
        <f t="shared" si="0"/>
        <v>0.10051079255231499</v>
      </c>
      <c r="F113" s="37">
        <f t="shared" si="0"/>
        <v>0.10192563081009287</v>
      </c>
      <c r="G113" s="59">
        <f t="shared" si="0"/>
        <v>0.09087921117502051</v>
      </c>
      <c r="H113" s="3"/>
    </row>
    <row r="114" ht="15" customHeight="1">
      <c r="A114" s="58" t="s">
        <v>171</v>
      </c>
      <c r="B114" s="27">
        <f t="shared" si="50" ref="B114:G114">B110-B109</f>
        <v>61</v>
      </c>
      <c r="C114" s="27">
        <f t="shared" si="50"/>
        <v>-63</v>
      </c>
      <c r="D114" s="27">
        <f t="shared" si="50"/>
        <v>445</v>
      </c>
      <c r="E114" s="27">
        <f t="shared" si="50"/>
        <v>657</v>
      </c>
      <c r="F114" s="27">
        <f t="shared" si="50"/>
        <v>-41</v>
      </c>
      <c r="G114" s="60">
        <f t="shared" si="50"/>
        <v>0</v>
      </c>
      <c r="H114" s="3"/>
    </row>
    <row r="115" ht="15" customHeight="1">
      <c r="A115" s="45" t="s">
        <v>186</v>
      </c>
      <c r="B115" s="37">
        <f t="shared" si="34"/>
        <v>0.2910508442148563</v>
      </c>
      <c r="C115" s="37">
        <f t="shared" si="34"/>
        <v>0.26772773751833906</v>
      </c>
      <c r="D115" s="37">
        <f t="shared" si="34"/>
        <v>0.26772773751833906</v>
      </c>
      <c r="E115" s="37">
        <f t="shared" si="34"/>
        <v>0.2653028798411122</v>
      </c>
      <c r="F115" s="37">
        <f t="shared" si="34"/>
        <v>0.2620401073740723</v>
      </c>
      <c r="G115" s="59">
        <f t="shared" si="34"/>
        <v>0.2608755516819846</v>
      </c>
      <c r="H115" s="3"/>
    </row>
    <row r="116" ht="15" customHeight="1">
      <c r="A116" s="45" t="s">
        <v>100</v>
      </c>
      <c r="B116" s="36">
        <f t="shared" si="51" ref="B116:G116">(B110/B100-B112/B102)*10000</f>
        <v>-237.15995163382075</v>
      </c>
      <c r="C116" s="36">
        <f t="shared" si="51"/>
        <v>-423.46764872409295</v>
      </c>
      <c r="D116" s="36">
        <f t="shared" si="51"/>
        <v>-423.46764872409295</v>
      </c>
      <c r="E116" s="36">
        <f t="shared" si="51"/>
        <v>-746.780736068739</v>
      </c>
      <c r="F116" s="36">
        <f t="shared" si="51"/>
        <v>-895.0050887242628</v>
      </c>
      <c r="G116" s="67">
        <f t="shared" si="51"/>
        <v>-301.7529253287166</v>
      </c>
      <c r="H116" s="3"/>
    </row>
    <row r="117" ht="15" customHeight="1">
      <c r="A117" s="45" t="s">
        <v>101</v>
      </c>
      <c r="B117" s="36">
        <f>(B115-F112/F102)*10000</f>
        <v>-604.8977203164229</v>
      </c>
      <c r="C117" s="36">
        <f t="shared" si="52" ref="C117:G171">(C115-B115)*10000</f>
        <v>-233.23106696517215</v>
      </c>
      <c r="D117" s="36"/>
      <c r="E117" s="36">
        <f t="shared" si="78" ref="E117:E171">(E115-C115)*10000</f>
        <v>-24.248576772268326</v>
      </c>
      <c r="F117" s="36">
        <f t="shared" si="52"/>
        <v>-32.62772467039932</v>
      </c>
      <c r="G117" s="67">
        <f t="shared" si="52"/>
        <v>-11.645556920876764</v>
      </c>
      <c r="H117" s="3"/>
    </row>
    <row r="118" ht="15" customHeight="1">
      <c r="A118" s="21" t="s">
        <v>187</v>
      </c>
      <c r="B118" s="37">
        <f t="shared" si="53" ref="B118:G118">B73/B109</f>
        <v>0.3474435590969456</v>
      </c>
      <c r="C118" s="37">
        <f t="shared" si="53"/>
        <v>0.3488907148726376</v>
      </c>
      <c r="D118" s="37">
        <f t="shared" si="53"/>
        <v>1.4409180563026718</v>
      </c>
      <c r="E118" s="37">
        <f t="shared" si="53"/>
        <v>0.35121222185320494</v>
      </c>
      <c r="F118" s="37">
        <f t="shared" si="53"/>
        <v>0.3358287168737835</v>
      </c>
      <c r="G118" s="59">
        <f t="shared" si="53"/>
        <v>0.34071331726423626</v>
      </c>
      <c r="H118" s="18" t="s">
        <v>188</v>
      </c>
    </row>
    <row r="119" ht="15" customHeight="1">
      <c r="A119" s="45" t="s">
        <v>101</v>
      </c>
      <c r="B119" s="36">
        <f>(B118-F74/E112)*10000</f>
        <v>312.464920348266</v>
      </c>
      <c r="C119" s="36">
        <f t="shared" si="54" ref="C119:G119">(C118-B118)*10000</f>
        <v>14.47155775692044</v>
      </c>
      <c r="D119" s="36"/>
      <c r="E119" s="36">
        <f>(E118-C118)*10000</f>
        <v>23.215069805673227</v>
      </c>
      <c r="F119" s="36">
        <f t="shared" si="54"/>
        <v>-153.83504979421426</v>
      </c>
      <c r="G119" s="67">
        <f t="shared" si="54"/>
        <v>48.84600390452742</v>
      </c>
      <c r="H119" s="3"/>
    </row>
    <row r="120" ht="15" customHeight="1">
      <c r="A120" s="45" t="s">
        <v>100</v>
      </c>
      <c r="B120" s="36" t="s">
        <v>103</v>
      </c>
      <c r="C120" s="36">
        <f t="shared" si="55" ref="C120:F120">(C118-C74/B112)*10000</f>
        <v>279.0306055164998</v>
      </c>
      <c r="D120" s="36" t="s">
        <v>103</v>
      </c>
      <c r="E120" s="36">
        <f>(E118-E74/D109)*10000</f>
        <v>103.47957912017924</v>
      </c>
      <c r="F120" s="36">
        <f t="shared" si="55"/>
        <v>196.31649811664542</v>
      </c>
      <c r="G120" s="67">
        <f>(G118-B118)*10000</f>
        <v>-67.30241832709316</v>
      </c>
      <c r="H120" s="18" t="s">
        <v>189</v>
      </c>
    </row>
    <row r="121" ht="15" customHeight="1">
      <c r="A121" s="22"/>
      <c r="B121" s="3"/>
      <c r="C121" s="3"/>
      <c r="D121" s="3"/>
      <c r="E121" s="3"/>
      <c r="F121" s="3"/>
      <c r="G121" s="65"/>
      <c r="H121" s="3"/>
    </row>
    <row r="122" ht="15" customHeight="1">
      <c r="A122" s="55" t="s">
        <v>190</v>
      </c>
      <c r="B122" s="20"/>
      <c r="C122" s="20"/>
      <c r="D122" s="20"/>
      <c r="E122" s="20"/>
      <c r="F122" s="20"/>
      <c r="G122" s="56"/>
      <c r="H122" s="3"/>
    </row>
    <row r="123" ht="15" customHeight="1">
      <c r="A123" s="29" t="s">
        <v>191</v>
      </c>
      <c r="B123" s="74">
        <v>775</v>
      </c>
      <c r="C123" s="74">
        <v>733</v>
      </c>
      <c r="D123" s="62">
        <f t="shared" si="63" ref="D123:D160">E124+F124+B123+C123</f>
        <v>2894</v>
      </c>
      <c r="E123" s="74">
        <v>810</v>
      </c>
      <c r="F123" s="74">
        <v>854</v>
      </c>
      <c r="G123" s="63">
        <f>G73*G129</f>
        <v>854.9055900000001</v>
      </c>
      <c r="H123" s="18" t="s">
        <v>192</v>
      </c>
    </row>
    <row r="124" ht="15" customHeight="1">
      <c r="A124" s="58" t="s">
        <v>69</v>
      </c>
      <c r="B124" s="49">
        <v>675</v>
      </c>
      <c r="C124" s="49">
        <v>564</v>
      </c>
      <c r="D124" s="49">
        <v>2541</v>
      </c>
      <c r="E124" s="49">
        <v>687</v>
      </c>
      <c r="F124" s="49">
        <v>699</v>
      </c>
      <c r="G124" s="60">
        <f t="shared" si="56"/>
        <v>775</v>
      </c>
      <c r="H124" s="3"/>
    </row>
    <row r="125" ht="15" customHeight="1">
      <c r="A125" s="45" t="s">
        <v>70</v>
      </c>
      <c r="B125" s="37">
        <f t="shared" si="57" ref="B125:G162">B123/B124-1</f>
        <v>0.14814814814814814</v>
      </c>
      <c r="C125" s="37">
        <f t="shared" si="57"/>
        <v>0.29964539007092195</v>
      </c>
      <c r="D125" s="37">
        <f t="shared" si="57"/>
        <v>0.13892168437622976</v>
      </c>
      <c r="E125" s="37">
        <f t="shared" si="57"/>
        <v>0.17903930131004375</v>
      </c>
      <c r="F125" s="37">
        <f t="shared" si="57"/>
        <v>0.2217453505007152</v>
      </c>
      <c r="G125" s="59">
        <f t="shared" si="57"/>
        <v>0.10310398709677426</v>
      </c>
      <c r="H125" s="3"/>
    </row>
    <row r="126" ht="15" customHeight="1">
      <c r="A126" s="58" t="s">
        <v>71</v>
      </c>
      <c r="B126" s="27">
        <f t="shared" si="58" ref="B126:G163">B123-B124</f>
        <v>100</v>
      </c>
      <c r="C126" s="27">
        <f t="shared" si="58"/>
        <v>169</v>
      </c>
      <c r="D126" s="27">
        <f t="shared" si="58"/>
        <v>353</v>
      </c>
      <c r="E126" s="27">
        <f t="shared" si="58"/>
        <v>123</v>
      </c>
      <c r="F126" s="27">
        <f t="shared" si="58"/>
        <v>155</v>
      </c>
      <c r="G126" s="60">
        <f t="shared" si="58"/>
        <v>79.90559000000007</v>
      </c>
      <c r="H126" s="3"/>
    </row>
    <row r="127" ht="15" customHeight="1">
      <c r="A127" s="58" t="s">
        <v>73</v>
      </c>
      <c r="B127" s="27">
        <f t="shared" si="70" ref="B127:B164">B123-F124</f>
        <v>76</v>
      </c>
      <c r="C127" s="27">
        <f t="shared" si="59" ref="C127:G164">C123-B123</f>
        <v>-42</v>
      </c>
      <c r="D127" s="27"/>
      <c r="E127" s="27">
        <f t="shared" si="71" ref="E127:E164">E123-C123</f>
        <v>77</v>
      </c>
      <c r="F127" s="27">
        <f t="shared" si="59"/>
        <v>44</v>
      </c>
      <c r="G127" s="60">
        <f t="shared" si="59"/>
        <v>0.9055900000000747</v>
      </c>
      <c r="H127" s="3"/>
    </row>
    <row r="128" ht="15" customHeight="1">
      <c r="A128" s="45" t="s">
        <v>193</v>
      </c>
      <c r="B128" s="37">
        <f t="shared" si="60" ref="B128:G128">B123/B73</f>
        <v>0.37028189202102246</v>
      </c>
      <c r="C128" s="37">
        <f t="shared" si="60"/>
        <v>0.3452661328308997</v>
      </c>
      <c r="D128" s="37">
        <f t="shared" si="60"/>
        <v>0.3601294176207068</v>
      </c>
      <c r="E128" s="37">
        <f t="shared" si="60"/>
        <v>0.3829787234042553</v>
      </c>
      <c r="F128" s="37">
        <f t="shared" si="60"/>
        <v>0.3807400802496656</v>
      </c>
      <c r="G128" s="59">
        <f t="shared" si="60"/>
        <v>0.378</v>
      </c>
      <c r="H128" s="3"/>
    </row>
    <row r="129" ht="15" customHeight="1">
      <c r="A129" s="68" t="s">
        <v>194</v>
      </c>
      <c r="B129" s="37"/>
      <c r="C129" s="37"/>
      <c r="D129" s="37"/>
      <c r="E129" s="37"/>
      <c r="F129" s="37"/>
      <c r="G129" s="69">
        <v>0.378</v>
      </c>
      <c r="H129" s="18" t="s">
        <v>195</v>
      </c>
    </row>
    <row r="130" ht="15" customHeight="1">
      <c r="A130" s="45" t="s">
        <v>100</v>
      </c>
      <c r="B130" s="36">
        <f t="shared" si="61" ref="B130:G130">(B123/B73-B124/B74)*10000</f>
        <v>205.40959378535396</v>
      </c>
      <c r="C130" s="36">
        <f t="shared" si="61"/>
        <v>308.8486192788964</v>
      </c>
      <c r="D130" s="36">
        <f t="shared" si="61"/>
        <v>198.7767686012837</v>
      </c>
      <c r="E130" s="36">
        <f t="shared" si="61"/>
        <v>215.89980637290563</v>
      </c>
      <c r="F130" s="36">
        <f t="shared" si="61"/>
        <v>164.8786555451187</v>
      </c>
      <c r="G130" s="67">
        <f t="shared" si="61"/>
        <v>77.1810797897754</v>
      </c>
      <c r="H130" s="3"/>
    </row>
    <row r="131" ht="15" customHeight="1">
      <c r="A131" s="45" t="s">
        <v>101</v>
      </c>
      <c r="B131" s="36">
        <f>(B123/B73-F124/F74)*10000</f>
        <v>60.29677325868732</v>
      </c>
      <c r="C131" s="36">
        <f t="shared" si="62" ref="C131:G131">(C123/C73-B123/B73)*10000</f>
        <v>-250.15759190122776</v>
      </c>
      <c r="D131" s="36"/>
      <c r="E131" s="36">
        <f>(E123/E73-C123/C73)*10000</f>
        <v>377.1259057335563</v>
      </c>
      <c r="F131" s="36">
        <f t="shared" si="62"/>
        <v>-22.386431545897146</v>
      </c>
      <c r="G131" s="67">
        <f t="shared" si="62"/>
        <v>-27.400802496655995</v>
      </c>
      <c r="H131" s="3"/>
    </row>
    <row r="132" ht="15" customHeight="1">
      <c r="A132" s="58" t="s">
        <v>196</v>
      </c>
      <c r="B132" s="49">
        <v>1</v>
      </c>
      <c r="C132" s="49">
        <v>1</v>
      </c>
      <c r="D132" s="49">
        <v>6</v>
      </c>
      <c r="E132" s="49">
        <v>2</v>
      </c>
      <c r="F132" s="49">
        <v>0</v>
      </c>
      <c r="G132" s="73">
        <v>1</v>
      </c>
      <c r="H132" s="3"/>
    </row>
    <row r="133" ht="15" customHeight="1">
      <c r="A133" s="58" t="s">
        <v>197</v>
      </c>
      <c r="B133" s="49">
        <v>24</v>
      </c>
      <c r="C133" s="49">
        <v>29</v>
      </c>
      <c r="D133" s="49">
        <v>53</v>
      </c>
      <c r="E133" s="49">
        <v>20</v>
      </c>
      <c r="F133" s="49">
        <v>0</v>
      </c>
      <c r="G133" s="73">
        <v>0</v>
      </c>
      <c r="H133" s="18" t="s">
        <v>198</v>
      </c>
    </row>
    <row r="134" ht="15" customHeight="1">
      <c r="A134" s="29" t="s">
        <v>199</v>
      </c>
      <c r="B134" s="74">
        <v>750</v>
      </c>
      <c r="C134" s="74">
        <v>703</v>
      </c>
      <c r="D134" s="62">
        <f t="shared" si="63"/>
        <v>2835</v>
      </c>
      <c r="E134" s="74">
        <v>788</v>
      </c>
      <c r="F134" s="74">
        <v>854</v>
      </c>
      <c r="G134" s="63">
        <f>G123-G132-G133</f>
        <v>853.9055900000001</v>
      </c>
      <c r="H134" s="3"/>
    </row>
    <row r="135" ht="15" customHeight="1">
      <c r="A135" s="58" t="s">
        <v>69</v>
      </c>
      <c r="B135" s="49">
        <v>673</v>
      </c>
      <c r="C135" s="49">
        <v>556</v>
      </c>
      <c r="D135" s="49">
        <v>2523</v>
      </c>
      <c r="E135" s="49">
        <v>685</v>
      </c>
      <c r="F135" s="49">
        <v>697</v>
      </c>
      <c r="G135" s="60">
        <f t="shared" si="56"/>
        <v>750</v>
      </c>
      <c r="H135" s="3"/>
    </row>
    <row r="136" ht="15" customHeight="1">
      <c r="A136" s="58" t="s">
        <v>71</v>
      </c>
      <c r="B136" s="27">
        <f t="shared" si="64" ref="B136:G136">B134-B135</f>
        <v>77</v>
      </c>
      <c r="C136" s="27">
        <f t="shared" si="64"/>
        <v>147</v>
      </c>
      <c r="D136" s="27">
        <f t="shared" si="64"/>
        <v>312</v>
      </c>
      <c r="E136" s="27">
        <f t="shared" si="64"/>
        <v>103</v>
      </c>
      <c r="F136" s="27">
        <f t="shared" si="64"/>
        <v>157</v>
      </c>
      <c r="G136" s="60">
        <f t="shared" si="64"/>
        <v>103.90559000000007</v>
      </c>
      <c r="H136" s="3"/>
    </row>
    <row r="137" ht="15" customHeight="1">
      <c r="A137" s="58" t="s">
        <v>73</v>
      </c>
      <c r="B137" s="27">
        <f>B134-F135</f>
        <v>53</v>
      </c>
      <c r="C137" s="27">
        <f t="shared" si="65" ref="C137:G137">C134-B134</f>
        <v>-47</v>
      </c>
      <c r="D137" s="27"/>
      <c r="E137" s="27">
        <f>E134-C134</f>
        <v>85</v>
      </c>
      <c r="F137" s="27">
        <f t="shared" si="65"/>
        <v>66</v>
      </c>
      <c r="G137" s="60">
        <f t="shared" si="65"/>
        <v>-0.09440999999992528</v>
      </c>
      <c r="H137" s="3"/>
    </row>
    <row r="138" ht="15" customHeight="1">
      <c r="A138" s="45" t="s">
        <v>200</v>
      </c>
      <c r="B138" s="37">
        <f t="shared" si="66" ref="B138:G138">B134/B73</f>
        <v>0.358337314859054</v>
      </c>
      <c r="C138" s="37">
        <f t="shared" si="66"/>
        <v>0.33113518605746584</v>
      </c>
      <c r="D138" s="37">
        <f t="shared" si="66"/>
        <v>0.352787456445993</v>
      </c>
      <c r="E138" s="37">
        <f t="shared" si="66"/>
        <v>0.3725768321513002</v>
      </c>
      <c r="F138" s="37">
        <f t="shared" si="66"/>
        <v>0.3807400802496656</v>
      </c>
      <c r="G138" s="59">
        <f t="shared" si="66"/>
        <v>0.3775578459137225</v>
      </c>
      <c r="H138" s="3"/>
    </row>
    <row r="139" ht="15" customHeight="1">
      <c r="A139" s="45" t="s">
        <v>100</v>
      </c>
      <c r="B139" s="36">
        <f t="shared" si="67" ref="B139:G139">(B134/B73-B135/B74)*10000</f>
        <v>96.32651646618807</v>
      </c>
      <c r="C139" s="36">
        <f t="shared" si="67"/>
        <v>212.132239615907</v>
      </c>
      <c r="D139" s="36">
        <f t="shared" si="67"/>
        <v>149.45999563293512</v>
      </c>
      <c r="E139" s="36">
        <f t="shared" si="67"/>
        <v>122.40167238096622</v>
      </c>
      <c r="F139" s="36">
        <f t="shared" si="67"/>
        <v>175.300750386182</v>
      </c>
      <c r="G139" s="67">
        <f t="shared" si="67"/>
        <v>192.20531054668476</v>
      </c>
      <c r="H139" s="3"/>
    </row>
    <row r="140" ht="15" customHeight="1">
      <c r="A140" s="45" t="s">
        <v>101</v>
      </c>
      <c r="B140" s="36">
        <f>(B134/B73-F135/F74)*10000</f>
        <v>-48.72690351993392</v>
      </c>
      <c r="C140" s="36">
        <f t="shared" si="68" ref="C140:G140">(C134/C73-B134/B73)*10000</f>
        <v>-272.0212880158818</v>
      </c>
      <c r="D140" s="36"/>
      <c r="E140" s="36">
        <f>(E134/E73-C134/C73)*10000</f>
        <v>414.41646093834385</v>
      </c>
      <c r="F140" s="36">
        <f t="shared" si="68"/>
        <v>81.63248098365383</v>
      </c>
      <c r="G140" s="67">
        <f t="shared" si="68"/>
        <v>-31.822343359431127</v>
      </c>
      <c r="H140" s="3"/>
    </row>
    <row r="141" ht="23.25" customHeight="1">
      <c r="A141" s="45" t="s">
        <v>201</v>
      </c>
      <c r="B141" s="47">
        <f t="shared" si="69" ref="B141:F141">B134+B132+B133-B123</f>
        <v>0</v>
      </c>
      <c r="C141" s="47">
        <f t="shared" si="69"/>
        <v>0</v>
      </c>
      <c r="D141" s="47">
        <f t="shared" si="69"/>
        <v>0</v>
      </c>
      <c r="E141" s="47">
        <f t="shared" si="69"/>
        <v>0</v>
      </c>
      <c r="F141" s="47">
        <f t="shared" si="69"/>
        <v>0</v>
      </c>
      <c r="G141" s="64"/>
      <c r="H141" s="3"/>
    </row>
    <row r="142" ht="15" customHeight="1">
      <c r="A142" s="29" t="s">
        <v>202</v>
      </c>
      <c r="B142" s="74">
        <v>513</v>
      </c>
      <c r="C142" s="74">
        <v>470</v>
      </c>
      <c r="D142" s="62">
        <f t="shared" si="63"/>
        <v>1951</v>
      </c>
      <c r="E142" s="74">
        <v>550</v>
      </c>
      <c r="F142" s="74">
        <v>579</v>
      </c>
      <c r="G142" s="63">
        <f>G73*G148</f>
        <v>576.722025</v>
      </c>
      <c r="H142" s="3"/>
    </row>
    <row r="143" ht="15" customHeight="1">
      <c r="A143" s="58" t="s">
        <v>69</v>
      </c>
      <c r="B143" s="49">
        <v>467</v>
      </c>
      <c r="C143" s="49">
        <v>348</v>
      </c>
      <c r="D143" s="49">
        <v>1716</v>
      </c>
      <c r="E143" s="49">
        <v>488</v>
      </c>
      <c r="F143" s="49">
        <v>480</v>
      </c>
      <c r="G143" s="60">
        <f t="shared" si="56"/>
        <v>513</v>
      </c>
      <c r="H143" s="3"/>
    </row>
    <row r="144" ht="15" customHeight="1">
      <c r="A144" s="45" t="s">
        <v>70</v>
      </c>
      <c r="B144" s="37">
        <f t="shared" si="57"/>
        <v>0.09850107066381164</v>
      </c>
      <c r="C144" s="37">
        <f t="shared" si="57"/>
        <v>0.35057471264367823</v>
      </c>
      <c r="D144" s="37">
        <f t="shared" si="57"/>
        <v>0.13694638694638694</v>
      </c>
      <c r="E144" s="37">
        <f t="shared" si="57"/>
        <v>0.12704918032786883</v>
      </c>
      <c r="F144" s="37">
        <f t="shared" si="57"/>
        <v>0.20625000000000004</v>
      </c>
      <c r="G144" s="59">
        <f t="shared" si="57"/>
        <v>0.12421447368421057</v>
      </c>
      <c r="H144" s="3"/>
    </row>
    <row r="145" ht="15" customHeight="1">
      <c r="A145" s="58" t="s">
        <v>71</v>
      </c>
      <c r="B145" s="27">
        <f t="shared" si="58"/>
        <v>46</v>
      </c>
      <c r="C145" s="27">
        <f t="shared" si="58"/>
        <v>122</v>
      </c>
      <c r="D145" s="27">
        <f t="shared" si="58"/>
        <v>235</v>
      </c>
      <c r="E145" s="27">
        <f t="shared" si="58"/>
        <v>62</v>
      </c>
      <c r="F145" s="27">
        <f t="shared" si="58"/>
        <v>99</v>
      </c>
      <c r="G145" s="60">
        <f t="shared" si="58"/>
        <v>63.72202500000003</v>
      </c>
      <c r="H145" s="3"/>
    </row>
    <row r="146" ht="15" customHeight="1">
      <c r="A146" s="58" t="s">
        <v>73</v>
      </c>
      <c r="B146" s="27">
        <f t="shared" si="70"/>
        <v>33</v>
      </c>
      <c r="C146" s="27">
        <f t="shared" si="59"/>
        <v>-43</v>
      </c>
      <c r="D146" s="27"/>
      <c r="E146" s="27">
        <f t="shared" si="71"/>
        <v>80</v>
      </c>
      <c r="F146" s="27">
        <f t="shared" si="59"/>
        <v>29</v>
      </c>
      <c r="G146" s="60">
        <f t="shared" si="59"/>
        <v>-2.2779749999999694</v>
      </c>
      <c r="H146" s="3"/>
    </row>
    <row r="147" ht="15" customHeight="1">
      <c r="A147" s="45" t="s">
        <v>48</v>
      </c>
      <c r="B147" s="37">
        <f t="shared" si="72" ref="B147:G147">B142/B73</f>
        <v>0.24510272336359293</v>
      </c>
      <c r="C147" s="37">
        <f t="shared" si="72"/>
        <v>0.2213848327837965</v>
      </c>
      <c r="D147" s="37">
        <f t="shared" si="72"/>
        <v>0.2427824788451966</v>
      </c>
      <c r="E147" s="37">
        <f t="shared" si="72"/>
        <v>0.26004728132387706</v>
      </c>
      <c r="F147" s="37">
        <f t="shared" si="72"/>
        <v>0.25813642443156487</v>
      </c>
      <c r="G147" s="59">
        <f t="shared" si="72"/>
        <v>0.255</v>
      </c>
      <c r="H147" s="3"/>
    </row>
    <row r="148" ht="26.25" customHeight="1">
      <c r="A148" s="68" t="s">
        <v>203</v>
      </c>
      <c r="B148" s="37"/>
      <c r="C148" s="37"/>
      <c r="D148" s="37"/>
      <c r="E148" s="37"/>
      <c r="F148" s="37"/>
      <c r="G148" s="69">
        <v>0.255</v>
      </c>
      <c r="H148" s="38" t="s">
        <v>204</v>
      </c>
    </row>
    <row r="149" ht="15" customHeight="1">
      <c r="A149" s="45" t="s">
        <v>100</v>
      </c>
      <c r="B149" s="36">
        <f t="shared" si="73" ref="B149:G149">(B142/B73-B143/B74)*10000</f>
        <v>31.338114464944944</v>
      </c>
      <c r="C149" s="36">
        <f t="shared" si="73"/>
        <v>274.048996734286</v>
      </c>
      <c r="D149" s="36">
        <f t="shared" si="73"/>
        <v>130.02082487403365</v>
      </c>
      <c r="E149" s="36">
        <f t="shared" si="73"/>
        <v>33.402850061495236</v>
      </c>
      <c r="F149" s="36">
        <f t="shared" si="73"/>
        <v>80.06148246051559</v>
      </c>
      <c r="G149" s="67">
        <f t="shared" si="73"/>
        <v>98.97276636407076</v>
      </c>
      <c r="H149" s="3"/>
    </row>
    <row r="150" ht="15" customHeight="1">
      <c r="A150" s="45" t="s">
        <v>101</v>
      </c>
      <c r="B150" s="36">
        <f>(B142/B73-F143/F74)*10000</f>
        <v>-50.275528219203835</v>
      </c>
      <c r="C150" s="36">
        <f t="shared" si="74" ref="C150:G150">(C142/C73-B142/B73)*10000</f>
        <v>-237.17890579796423</v>
      </c>
      <c r="D150" s="36"/>
      <c r="E150" s="36">
        <f>(E142/E73-C142/C73)*10000</f>
        <v>386.6244854008055</v>
      </c>
      <c r="F150" s="36">
        <f t="shared" si="74"/>
        <v>-19.10856892312185</v>
      </c>
      <c r="G150" s="67">
        <f t="shared" si="74"/>
        <v>-31.36424431564866</v>
      </c>
      <c r="H150" s="3"/>
    </row>
    <row r="151" ht="15" customHeight="1">
      <c r="A151" s="58" t="s">
        <v>205</v>
      </c>
      <c r="B151" s="27">
        <f t="shared" si="75" ref="B151:G151">B142-B123</f>
        <v>-262</v>
      </c>
      <c r="C151" s="27">
        <f t="shared" si="75"/>
        <v>-263</v>
      </c>
      <c r="D151" s="27">
        <f t="shared" si="75"/>
        <v>-943</v>
      </c>
      <c r="E151" s="27">
        <f t="shared" si="75"/>
        <v>-260</v>
      </c>
      <c r="F151" s="27">
        <f t="shared" si="75"/>
        <v>-275</v>
      </c>
      <c r="G151" s="60">
        <f t="shared" si="75"/>
        <v>-278.18356500000004</v>
      </c>
      <c r="H151" s="3"/>
    </row>
    <row r="152" ht="15" customHeight="1">
      <c r="A152" s="45" t="s">
        <v>206</v>
      </c>
      <c r="B152" s="37">
        <f t="shared" si="76" ref="B152:G152">-B151/B73</f>
        <v>0.12517916865742953</v>
      </c>
      <c r="C152" s="37">
        <f t="shared" si="76"/>
        <v>0.12388130004710315</v>
      </c>
      <c r="D152" s="37">
        <f t="shared" si="76"/>
        <v>0.11734693877551021</v>
      </c>
      <c r="E152" s="37">
        <f t="shared" si="76"/>
        <v>0.12293144208037825</v>
      </c>
      <c r="F152" s="37">
        <f t="shared" si="76"/>
        <v>0.12260365581810076</v>
      </c>
      <c r="G152" s="59">
        <f t="shared" si="76"/>
        <v>0.12300000000000001</v>
      </c>
      <c r="H152" s="3"/>
    </row>
    <row r="153" ht="15" customHeight="1">
      <c r="A153" s="45" t="s">
        <v>100</v>
      </c>
      <c r="B153" s="36">
        <f t="shared" si="77" ref="B153:G153">(B152-(B124-B143)/B74)*10000</f>
        <v>174.07147932040928</v>
      </c>
      <c r="C153" s="36">
        <f t="shared" si="77"/>
        <v>34.79962254461011</v>
      </c>
      <c r="D153" s="36">
        <f t="shared" si="77"/>
        <v>68.75594372724989</v>
      </c>
      <c r="E153" s="36">
        <f t="shared" si="77"/>
        <v>182.49695631141012</v>
      </c>
      <c r="F153" s="36">
        <f t="shared" si="77"/>
        <v>84.81717308460327</v>
      </c>
      <c r="G153" s="67">
        <f t="shared" si="77"/>
        <v>-21.791686574295227</v>
      </c>
      <c r="H153" s="3"/>
    </row>
    <row r="154" ht="15" customHeight="1">
      <c r="A154" s="45" t="s">
        <v>101</v>
      </c>
      <c r="B154" s="36">
        <f>(B152-(F124-F143)/F74)*10000</f>
        <v>110.57230147789102</v>
      </c>
      <c r="C154" s="36">
        <f t="shared" si="52"/>
        <v>-12.978686103263804</v>
      </c>
      <c r="D154" s="36"/>
      <c r="E154" s="36">
        <f t="shared" si="78"/>
        <v>-9.498579667249068</v>
      </c>
      <c r="F154" s="36">
        <f t="shared" si="52"/>
        <v>-3.2778626227748795</v>
      </c>
      <c r="G154" s="67">
        <f t="shared" si="52"/>
        <v>3.963441818992525</v>
      </c>
      <c r="H154" s="3"/>
    </row>
    <row r="155" ht="27" customHeight="1">
      <c r="A155" s="58" t="s">
        <v>207</v>
      </c>
      <c r="B155" s="49">
        <v>2</v>
      </c>
      <c r="C155" s="49">
        <v>50</v>
      </c>
      <c r="D155" s="49">
        <v>56</v>
      </c>
      <c r="E155" s="49">
        <v>3</v>
      </c>
      <c r="F155" s="49">
        <v>-2</v>
      </c>
      <c r="G155" s="73">
        <v>2</v>
      </c>
      <c r="H155" s="18" t="s">
        <v>208</v>
      </c>
    </row>
    <row r="156" ht="27" customHeight="1">
      <c r="A156" s="58" t="s">
        <v>209</v>
      </c>
      <c r="B156" s="27">
        <f t="shared" si="79" ref="B156:G156">B133</f>
        <v>24</v>
      </c>
      <c r="C156" s="27">
        <f t="shared" si="79"/>
        <v>29</v>
      </c>
      <c r="D156" s="27">
        <f t="shared" si="79"/>
        <v>53</v>
      </c>
      <c r="E156" s="27">
        <f t="shared" si="79"/>
        <v>20</v>
      </c>
      <c r="F156" s="27">
        <f t="shared" si="79"/>
        <v>0</v>
      </c>
      <c r="G156" s="60">
        <f t="shared" si="79"/>
        <v>0</v>
      </c>
      <c r="H156" s="3"/>
    </row>
    <row r="157" ht="15" customHeight="1">
      <c r="A157" s="58" t="s">
        <v>210</v>
      </c>
      <c r="B157" s="49">
        <v>1</v>
      </c>
      <c r="C157" s="49">
        <v>1</v>
      </c>
      <c r="D157" s="49">
        <v>3</v>
      </c>
      <c r="E157" s="49">
        <v>1</v>
      </c>
      <c r="F157" s="49">
        <v>1</v>
      </c>
      <c r="G157" s="73">
        <v>0</v>
      </c>
      <c r="H157" s="3"/>
    </row>
    <row r="158" ht="15" customHeight="1">
      <c r="A158" s="58" t="s">
        <v>211</v>
      </c>
      <c r="B158" s="49">
        <v>72</v>
      </c>
      <c r="C158" s="49">
        <v>72</v>
      </c>
      <c r="D158" s="49">
        <v>272</v>
      </c>
      <c r="E158" s="49">
        <v>76</v>
      </c>
      <c r="F158" s="49">
        <v>76</v>
      </c>
      <c r="G158" s="73">
        <v>76</v>
      </c>
      <c r="H158" s="18" t="s">
        <v>212</v>
      </c>
    </row>
    <row r="159" ht="15" customHeight="1">
      <c r="A159" s="78" t="s">
        <v>213</v>
      </c>
      <c r="B159" s="62">
        <f t="shared" si="80" ref="B159:G159">B155+B156+B157+B158</f>
        <v>99</v>
      </c>
      <c r="C159" s="62">
        <f t="shared" si="80"/>
        <v>152</v>
      </c>
      <c r="D159" s="62">
        <f t="shared" si="80"/>
        <v>384</v>
      </c>
      <c r="E159" s="62">
        <f t="shared" si="80"/>
        <v>100</v>
      </c>
      <c r="F159" s="62">
        <f t="shared" si="80"/>
        <v>75</v>
      </c>
      <c r="G159" s="63">
        <f t="shared" si="80"/>
        <v>78</v>
      </c>
      <c r="H159" s="3"/>
    </row>
    <row r="160" ht="15" customHeight="1">
      <c r="A160" s="29" t="s">
        <v>214</v>
      </c>
      <c r="B160" s="74">
        <v>414</v>
      </c>
      <c r="C160" s="74">
        <v>318</v>
      </c>
      <c r="D160" s="62">
        <f t="shared" si="63"/>
        <v>1567</v>
      </c>
      <c r="E160" s="74">
        <v>450</v>
      </c>
      <c r="F160" s="74">
        <v>504</v>
      </c>
      <c r="G160" s="63">
        <f>G142-G159</f>
        <v>498.72202500000003</v>
      </c>
      <c r="H160" s="3"/>
    </row>
    <row r="161" ht="15" customHeight="1">
      <c r="A161" s="58" t="s">
        <v>69</v>
      </c>
      <c r="B161" s="49">
        <v>390</v>
      </c>
      <c r="C161" s="49">
        <v>273</v>
      </c>
      <c r="D161" s="49">
        <v>1422</v>
      </c>
      <c r="E161" s="49">
        <v>420</v>
      </c>
      <c r="F161" s="49">
        <v>415</v>
      </c>
      <c r="G161" s="60">
        <f t="shared" si="56"/>
        <v>414</v>
      </c>
      <c r="H161" s="3"/>
    </row>
    <row r="162" ht="15" customHeight="1">
      <c r="A162" s="45" t="s">
        <v>70</v>
      </c>
      <c r="B162" s="37">
        <f t="shared" si="57"/>
        <v>0.06153846153846154</v>
      </c>
      <c r="C162" s="37">
        <f t="shared" si="57"/>
        <v>0.16483516483516492</v>
      </c>
      <c r="D162" s="37">
        <f t="shared" si="57"/>
        <v>0.1019690576652601</v>
      </c>
      <c r="E162" s="37">
        <f t="shared" si="57"/>
        <v>0.0714285714285714</v>
      </c>
      <c r="F162" s="37">
        <f t="shared" si="57"/>
        <v>0.21445783132530116</v>
      </c>
      <c r="G162" s="59">
        <f t="shared" si="57"/>
        <v>0.20464257246376816</v>
      </c>
      <c r="H162" s="3"/>
    </row>
    <row r="163" ht="15" customHeight="1">
      <c r="A163" s="58" t="s">
        <v>71</v>
      </c>
      <c r="B163" s="27">
        <f t="shared" si="58"/>
        <v>24</v>
      </c>
      <c r="C163" s="27">
        <f t="shared" si="58"/>
        <v>45</v>
      </c>
      <c r="D163" s="27">
        <f t="shared" si="58"/>
        <v>145</v>
      </c>
      <c r="E163" s="27">
        <f t="shared" si="58"/>
        <v>30</v>
      </c>
      <c r="F163" s="27">
        <f t="shared" si="58"/>
        <v>89</v>
      </c>
      <c r="G163" s="60">
        <f t="shared" si="58"/>
        <v>84.72202500000003</v>
      </c>
      <c r="H163" s="3"/>
    </row>
    <row r="164" ht="15" customHeight="1">
      <c r="A164" s="58" t="s">
        <v>73</v>
      </c>
      <c r="B164" s="27">
        <f t="shared" si="70"/>
        <v>-1</v>
      </c>
      <c r="C164" s="27">
        <f t="shared" si="59"/>
        <v>-96</v>
      </c>
      <c r="D164" s="27"/>
      <c r="E164" s="27">
        <f t="shared" si="71"/>
        <v>132</v>
      </c>
      <c r="F164" s="27">
        <f t="shared" si="59"/>
        <v>54</v>
      </c>
      <c r="G164" s="60">
        <f t="shared" si="59"/>
        <v>-5.277974999999969</v>
      </c>
      <c r="H164" s="3"/>
    </row>
    <row r="165" ht="15" customHeight="1">
      <c r="A165" s="45" t="s">
        <v>215</v>
      </c>
      <c r="B165" s="37">
        <f t="shared" si="81" ref="B165:G165">B160/B73</f>
        <v>0.1978021978021978</v>
      </c>
      <c r="C165" s="37">
        <f t="shared" si="81"/>
        <v>0.1497880357983985</v>
      </c>
      <c r="D165" s="37">
        <f t="shared" si="81"/>
        <v>0.1949975111996018</v>
      </c>
      <c r="E165" s="37">
        <f t="shared" si="81"/>
        <v>0.2127659574468085</v>
      </c>
      <c r="F165" s="37">
        <f t="shared" si="81"/>
        <v>0.22469906375390103</v>
      </c>
      <c r="G165" s="59">
        <f t="shared" si="81"/>
        <v>0.2205119812703529</v>
      </c>
      <c r="H165" s="3"/>
    </row>
    <row r="166" ht="15" customHeight="1">
      <c r="A166" s="45" t="s">
        <v>100</v>
      </c>
      <c r="B166" s="36">
        <f t="shared" si="82" ref="B166:G166">(B160/B73-B161/B74)*10000</f>
        <v>-42.7034105790583</v>
      </c>
      <c r="C166" s="36">
        <f t="shared" si="82"/>
        <v>-23.858772450797705</v>
      </c>
      <c r="D166" s="36">
        <f t="shared" si="82"/>
        <v>45.85084847164717</v>
      </c>
      <c r="E166" s="36">
        <f t="shared" si="82"/>
        <v>-81.70391843038944</v>
      </c>
      <c r="F166" s="36">
        <f t="shared" si="82"/>
        <v>84.4059580184267</v>
      </c>
      <c r="G166" s="67">
        <f t="shared" si="82"/>
        <v>227.0978346815511</v>
      </c>
      <c r="H166" s="3"/>
    </row>
    <row r="167" ht="15" customHeight="1">
      <c r="A167" s="45" t="s">
        <v>101</v>
      </c>
      <c r="B167" s="36">
        <f>(B160/B73-F161/F74)*10000</f>
        <v>-184.56270149860566</v>
      </c>
      <c r="C167" s="36">
        <f t="shared" si="83" ref="C167:G167">(C160/C73-B160/B73)*10000</f>
        <v>-480.14162003799294</v>
      </c>
      <c r="D167" s="36"/>
      <c r="E167" s="36">
        <f>(E160/E73-C160/C73)*10000</f>
        <v>629.7792164841002</v>
      </c>
      <c r="F167" s="36">
        <f t="shared" si="83"/>
        <v>119.33106307092517</v>
      </c>
      <c r="G167" s="67">
        <f t="shared" si="83"/>
        <v>-41.870824835481265</v>
      </c>
      <c r="H167" s="3"/>
    </row>
    <row r="168" ht="15" customHeight="1">
      <c r="A168" s="58" t="s">
        <v>216</v>
      </c>
      <c r="B168" s="27">
        <f t="shared" si="84" ref="B168:G168">B160-B134</f>
        <v>-336</v>
      </c>
      <c r="C168" s="27">
        <f t="shared" si="84"/>
        <v>-385</v>
      </c>
      <c r="D168" s="27">
        <f t="shared" si="84"/>
        <v>-1268</v>
      </c>
      <c r="E168" s="27">
        <f t="shared" si="84"/>
        <v>-338</v>
      </c>
      <c r="F168" s="27">
        <f t="shared" si="84"/>
        <v>-350</v>
      </c>
      <c r="G168" s="60">
        <f t="shared" si="84"/>
        <v>-355.18356500000004</v>
      </c>
      <c r="H168" s="3"/>
    </row>
    <row r="169" ht="15" customHeight="1">
      <c r="A169" s="45" t="s">
        <v>206</v>
      </c>
      <c r="B169" s="37">
        <f t="shared" si="85" ref="B169:G169">-B168/B73</f>
        <v>0.1605351170568562</v>
      </c>
      <c r="C169" s="37">
        <f t="shared" si="85"/>
        <v>0.18134715025906736</v>
      </c>
      <c r="D169" s="37">
        <f t="shared" si="85"/>
        <v>0.15778994524639123</v>
      </c>
      <c r="E169" s="37">
        <f t="shared" si="85"/>
        <v>0.15981087470449173</v>
      </c>
      <c r="F169" s="37">
        <f t="shared" si="85"/>
        <v>0.1560410164957646</v>
      </c>
      <c r="G169" s="59">
        <f t="shared" si="85"/>
        <v>0.1570458646433696</v>
      </c>
      <c r="H169" s="3"/>
    </row>
    <row r="170" ht="15" customHeight="1">
      <c r="A170" s="45" t="s">
        <v>100</v>
      </c>
      <c r="B170" s="36">
        <f t="shared" si="86" ref="B170:G170">(B169-(B135-B161)/B74)*10000</f>
        <v>139.0299270452458</v>
      </c>
      <c r="C170" s="36">
        <f t="shared" si="86"/>
        <v>235.99101206670497</v>
      </c>
      <c r="D170" s="36">
        <f t="shared" si="86"/>
        <v>103.60914716128767</v>
      </c>
      <c r="E170" s="36">
        <f t="shared" si="86"/>
        <v>204.10559081135594</v>
      </c>
      <c r="F170" s="36">
        <f t="shared" si="86"/>
        <v>90.89479236775556</v>
      </c>
      <c r="G170" s="67">
        <f t="shared" si="86"/>
        <v>-34.89252413486604</v>
      </c>
      <c r="H170" s="3"/>
    </row>
    <row r="171" ht="15" customHeight="1">
      <c r="A171" s="45" t="s">
        <v>101</v>
      </c>
      <c r="B171" s="36">
        <f>(B169-(F135-F161)/F74)*10000</f>
        <v>135.83579797867145</v>
      </c>
      <c r="C171" s="36">
        <f t="shared" si="52"/>
        <v>208.1203320221117</v>
      </c>
      <c r="D171" s="36"/>
      <c r="E171" s="36">
        <f t="shared" si="78"/>
        <v>-215.3627555457563</v>
      </c>
      <c r="F171" s="36">
        <f t="shared" si="52"/>
        <v>-37.69858208727134</v>
      </c>
      <c r="G171" s="67">
        <f t="shared" si="52"/>
        <v>10.048481476049865</v>
      </c>
      <c r="H171" s="3"/>
    </row>
    <row r="172" ht="15" customHeight="1">
      <c r="A172" s="45" t="s">
        <v>217</v>
      </c>
      <c r="B172" s="47">
        <f t="shared" si="87" ref="B172:F172">B160+B159-B142</f>
        <v>0</v>
      </c>
      <c r="C172" s="47">
        <f t="shared" si="87"/>
        <v>0</v>
      </c>
      <c r="D172" s="47">
        <f t="shared" si="87"/>
        <v>0</v>
      </c>
      <c r="E172" s="47">
        <f t="shared" si="87"/>
        <v>0</v>
      </c>
      <c r="F172" s="47">
        <f t="shared" si="87"/>
        <v>0</v>
      </c>
      <c r="G172" s="64"/>
      <c r="H172" s="3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940ABDAE-8318-8ED8-0688-31F202690E4F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218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118</v>
      </c>
      <c r="B8" s="20"/>
      <c r="C8" s="20"/>
      <c r="D8" s="20"/>
      <c r="E8" s="20"/>
      <c r="F8" s="20"/>
      <c r="G8" s="56"/>
      <c r="H8" s="3"/>
    </row>
    <row r="9" ht="15" customHeight="1">
      <c r="A9" s="22" t="s">
        <v>219</v>
      </c>
      <c r="B9" s="49">
        <v>367</v>
      </c>
      <c r="C9" s="49">
        <v>351</v>
      </c>
      <c r="D9" s="27">
        <f t="shared" si="8" ref="D9:D25">E11+F11+B9+C9</f>
        <v>1393</v>
      </c>
      <c r="E9" s="49">
        <v>381</v>
      </c>
      <c r="F9" s="49">
        <v>411</v>
      </c>
      <c r="G9" s="60">
        <f t="shared" si="9" ref="G9:G25">B9*(1+G10)</f>
        <v>411.04</v>
      </c>
      <c r="H9" s="18" t="s">
        <v>220</v>
      </c>
    </row>
    <row r="10" ht="15" customHeight="1">
      <c r="A10" s="45" t="s">
        <v>121</v>
      </c>
      <c r="B10" s="37"/>
      <c r="C10" s="37"/>
      <c r="D10" s="37"/>
      <c r="E10" s="37"/>
      <c r="F10" s="37"/>
      <c r="G10" s="69">
        <v>0.12</v>
      </c>
      <c r="H10" s="18" t="s">
        <v>221</v>
      </c>
    </row>
    <row r="11" ht="15" customHeight="1">
      <c r="A11" s="58" t="s">
        <v>69</v>
      </c>
      <c r="B11" s="49">
        <v>349</v>
      </c>
      <c r="C11" s="49">
        <v>339</v>
      </c>
      <c r="D11" s="49">
        <v>1308</v>
      </c>
      <c r="E11" s="49">
        <v>322</v>
      </c>
      <c r="F11" s="49">
        <v>353</v>
      </c>
      <c r="G11" s="60">
        <f t="shared" si="10" ref="G11:G80">B9</f>
        <v>367</v>
      </c>
      <c r="H11" s="18" t="s">
        <v>123</v>
      </c>
    </row>
    <row r="12" ht="15" customHeight="1">
      <c r="A12" s="45" t="s">
        <v>70</v>
      </c>
      <c r="B12" s="37">
        <f t="shared" si="0" ref="B12:G81">B9/B11-1</f>
        <v>0.05157593123209159</v>
      </c>
      <c r="C12" s="37">
        <f t="shared" si="0"/>
        <v>0.03539823008849563</v>
      </c>
      <c r="D12" s="37">
        <f t="shared" si="0"/>
        <v>0.06498470948012236</v>
      </c>
      <c r="E12" s="37">
        <f t="shared" si="0"/>
        <v>0.18322981366459623</v>
      </c>
      <c r="F12" s="37">
        <f t="shared" si="0"/>
        <v>0.1643059490084986</v>
      </c>
      <c r="G12" s="59">
        <f t="shared" si="0"/>
        <v>0.1200000000000001</v>
      </c>
      <c r="H12" s="3"/>
    </row>
    <row r="13" ht="15" customHeight="1">
      <c r="A13" s="58" t="s">
        <v>71</v>
      </c>
      <c r="B13" s="27">
        <f t="shared" si="1" ref="B13:G29">B9-B11</f>
        <v>18</v>
      </c>
      <c r="C13" s="27">
        <f t="shared" si="1"/>
        <v>12</v>
      </c>
      <c r="D13" s="27">
        <f t="shared" si="1"/>
        <v>85</v>
      </c>
      <c r="E13" s="27">
        <f t="shared" si="1"/>
        <v>59</v>
      </c>
      <c r="F13" s="27">
        <f t="shared" si="1"/>
        <v>58</v>
      </c>
      <c r="G13" s="60">
        <f t="shared" si="1"/>
        <v>44.04000000000002</v>
      </c>
      <c r="H13" s="3"/>
    </row>
    <row r="14" ht="15" customHeight="1">
      <c r="A14" s="45" t="s">
        <v>72</v>
      </c>
      <c r="B14" s="37">
        <f t="shared" si="11" ref="B14:B30">B9/F11-1</f>
        <v>0.03966005665722383</v>
      </c>
      <c r="C14" s="37">
        <f t="shared" si="2" ref="C14:G30">C9/B9-1</f>
        <v>-0.043596730245231585</v>
      </c>
      <c r="D14" s="37"/>
      <c r="E14" s="37">
        <f t="shared" si="12" ref="E14:E30">E9/C9-1</f>
        <v>0.08547008547008539</v>
      </c>
      <c r="F14" s="37">
        <f t="shared" si="2"/>
        <v>0.07874015748031504</v>
      </c>
      <c r="G14" s="59">
        <f t="shared" si="2"/>
        <v>0.00009732360097336468</v>
      </c>
      <c r="H14" s="18" t="s">
        <v>124</v>
      </c>
    </row>
    <row r="15" ht="15" customHeight="1">
      <c r="A15" s="58" t="s">
        <v>73</v>
      </c>
      <c r="B15" s="27">
        <f t="shared" si="13" ref="B15:B31">B9-F11</f>
        <v>14</v>
      </c>
      <c r="C15" s="27">
        <f t="shared" si="3" ref="C15:G31">C9-B9</f>
        <v>-16</v>
      </c>
      <c r="D15" s="27"/>
      <c r="E15" s="27">
        <f t="shared" si="14" ref="E15:E31">E9-C9</f>
        <v>30</v>
      </c>
      <c r="F15" s="27">
        <f t="shared" si="3"/>
        <v>30</v>
      </c>
      <c r="G15" s="60">
        <f t="shared" si="3"/>
        <v>0.040000000000020464</v>
      </c>
      <c r="H15" s="3"/>
    </row>
    <row r="16" ht="15" customHeight="1">
      <c r="A16" s="45" t="s">
        <v>125</v>
      </c>
      <c r="B16" s="37">
        <f t="shared" si="4" ref="B16:G16">B9/B41</f>
        <v>0.46279949558638084</v>
      </c>
      <c r="C16" s="37">
        <f t="shared" si="4"/>
        <v>0.4168646080760095</v>
      </c>
      <c r="D16" s="37">
        <f t="shared" si="4"/>
        <v>0.44490578090067073</v>
      </c>
      <c r="E16" s="37">
        <f t="shared" si="4"/>
        <v>0.4562874251497006</v>
      </c>
      <c r="F16" s="37">
        <f t="shared" si="4"/>
        <v>0.4391025641025641</v>
      </c>
      <c r="G16" s="59">
        <f t="shared" si="4"/>
        <v>0.45731578420355806</v>
      </c>
      <c r="H16" s="3"/>
    </row>
    <row r="17" ht="15" customHeight="1">
      <c r="A17" s="45" t="s">
        <v>126</v>
      </c>
      <c r="B17" s="36">
        <f t="shared" si="5" ref="B17:G17">(B9/B41-B11/B42)*10000</f>
        <v>-133.2601600979927</v>
      </c>
      <c r="C17" s="36">
        <f t="shared" si="5"/>
        <v>-127.93186600796591</v>
      </c>
      <c r="D17" s="36">
        <f t="shared" si="5"/>
        <v>-31.92883025331328</v>
      </c>
      <c r="E17" s="36">
        <f t="shared" si="5"/>
        <v>21.2663530484869</v>
      </c>
      <c r="F17" s="36">
        <f t="shared" si="5"/>
        <v>-94.36190662366006</v>
      </c>
      <c r="G17" s="67">
        <f t="shared" si="5"/>
        <v>-54.83711382822776</v>
      </c>
      <c r="H17" s="3"/>
    </row>
    <row r="18" ht="15" customHeight="1">
      <c r="A18" s="45" t="s">
        <v>127</v>
      </c>
      <c r="B18" s="36">
        <f>(B9/B41-F11/F42)*10000</f>
        <v>142.60740821450736</v>
      </c>
      <c r="C18" s="36">
        <f t="shared" si="6" ref="C18:G18">(C9/C41-B9/B41)*10000</f>
        <v>-459.34887510371334</v>
      </c>
      <c r="D18" s="36"/>
      <c r="E18" s="36">
        <f>(E9/E41-C9/C41)*10000</f>
        <v>394.22817073691107</v>
      </c>
      <c r="F18" s="36">
        <f t="shared" si="6"/>
        <v>-171.84861047136513</v>
      </c>
      <c r="G18" s="67">
        <f t="shared" si="6"/>
        <v>182.13220100993965</v>
      </c>
      <c r="H18" s="3"/>
    </row>
    <row r="19" ht="26.25" customHeight="1">
      <c r="A19" s="58" t="s">
        <v>128</v>
      </c>
      <c r="B19" s="49">
        <v>12</v>
      </c>
      <c r="C19" s="27">
        <f t="shared" si="18" ref="C19:C35">D19-B20</f>
        <v>10</v>
      </c>
      <c r="D19" s="49">
        <v>74</v>
      </c>
      <c r="E19" s="49">
        <v>17</v>
      </c>
      <c r="F19" s="49">
        <v>15</v>
      </c>
      <c r="G19" s="60" t="s">
        <v>129</v>
      </c>
      <c r="H19" s="38" t="s">
        <v>130</v>
      </c>
    </row>
    <row r="20" ht="15" customHeight="1">
      <c r="A20" s="66" t="s">
        <v>131</v>
      </c>
      <c r="B20" s="49">
        <v>64</v>
      </c>
      <c r="C20" s="27"/>
      <c r="D20" s="27"/>
      <c r="E20" s="27"/>
      <c r="F20" s="27"/>
      <c r="G20" s="60"/>
      <c r="H20" s="18" t="s">
        <v>132</v>
      </c>
    </row>
    <row r="21" ht="15" customHeight="1">
      <c r="A21" s="45" t="s">
        <v>78</v>
      </c>
      <c r="B21" s="37">
        <f t="shared" si="7" ref="B21:F37">B19/B11</f>
        <v>0.034383954154727794</v>
      </c>
      <c r="C21" s="37">
        <f t="shared" si="7"/>
        <v>0.029498525073746312</v>
      </c>
      <c r="D21" s="37">
        <f t="shared" si="7"/>
        <v>0.05657492354740061</v>
      </c>
      <c r="E21" s="37">
        <f t="shared" si="7"/>
        <v>0.052795031055900624</v>
      </c>
      <c r="F21" s="37">
        <f t="shared" si="7"/>
        <v>0.042492917847025496</v>
      </c>
      <c r="G21" s="59"/>
      <c r="H21" s="3"/>
    </row>
    <row r="22" ht="15" customHeight="1">
      <c r="A22" s="45" t="s">
        <v>102</v>
      </c>
      <c r="B22" s="37" t="s">
        <v>103</v>
      </c>
      <c r="C22" s="37" t="s">
        <v>103</v>
      </c>
      <c r="D22" s="37" t="s">
        <v>103</v>
      </c>
      <c r="E22" s="37" t="s">
        <v>103</v>
      </c>
      <c r="F22" s="37" t="s">
        <v>103</v>
      </c>
      <c r="G22" s="59" t="s">
        <v>103</v>
      </c>
      <c r="H22" s="18" t="s">
        <v>133</v>
      </c>
    </row>
    <row r="23" ht="15" customHeight="1">
      <c r="A23" s="45" t="s">
        <v>77</v>
      </c>
      <c r="B23" s="37" t="s">
        <v>103</v>
      </c>
      <c r="C23" s="37" t="s">
        <v>103</v>
      </c>
      <c r="D23" s="37" t="s">
        <v>103</v>
      </c>
      <c r="E23" s="37" t="s">
        <v>103</v>
      </c>
      <c r="F23" s="37" t="s">
        <v>103</v>
      </c>
      <c r="G23" s="59" t="s">
        <v>103</v>
      </c>
      <c r="H23" s="18" t="s">
        <v>134</v>
      </c>
    </row>
    <row r="24" ht="23.25" customHeight="1">
      <c r="A24" s="45" t="s">
        <v>87</v>
      </c>
      <c r="B24" s="37" t="s">
        <v>103</v>
      </c>
      <c r="C24" s="37" t="s">
        <v>103</v>
      </c>
      <c r="D24" s="37" t="s">
        <v>103</v>
      </c>
      <c r="E24" s="37" t="s">
        <v>103</v>
      </c>
      <c r="F24" s="37" t="s">
        <v>103</v>
      </c>
      <c r="G24" s="59" t="s">
        <v>103</v>
      </c>
      <c r="H24" s="18" t="s">
        <v>135</v>
      </c>
    </row>
    <row r="25" ht="15" customHeight="1">
      <c r="A25" s="22" t="s">
        <v>222</v>
      </c>
      <c r="B25" s="49">
        <v>426</v>
      </c>
      <c r="C25" s="49">
        <v>491</v>
      </c>
      <c r="D25" s="27">
        <f t="shared" si="8"/>
        <v>1738</v>
      </c>
      <c r="E25" s="49">
        <v>454</v>
      </c>
      <c r="F25" s="49">
        <v>525</v>
      </c>
      <c r="G25" s="60">
        <f t="shared" si="9"/>
        <v>487.77</v>
      </c>
      <c r="H25" s="18" t="s">
        <v>223</v>
      </c>
    </row>
    <row r="26" ht="48.75" customHeight="1">
      <c r="A26" s="45" t="s">
        <v>121</v>
      </c>
      <c r="B26" s="37"/>
      <c r="C26" s="37"/>
      <c r="D26" s="37"/>
      <c r="E26" s="37"/>
      <c r="F26" s="37"/>
      <c r="G26" s="69">
        <v>0.145</v>
      </c>
      <c r="H26" s="38" t="s">
        <v>224</v>
      </c>
    </row>
    <row r="27" ht="15" customHeight="1">
      <c r="A27" s="58" t="s">
        <v>69</v>
      </c>
      <c r="B27" s="49">
        <v>384</v>
      </c>
      <c r="C27" s="49">
        <v>450</v>
      </c>
      <c r="D27" s="49">
        <v>1611</v>
      </c>
      <c r="E27" s="49">
        <v>387</v>
      </c>
      <c r="F27" s="49">
        <v>434</v>
      </c>
      <c r="G27" s="60">
        <f t="shared" si="10"/>
        <v>426</v>
      </c>
      <c r="H27" s="18" t="s">
        <v>123</v>
      </c>
    </row>
    <row r="28" ht="15" customHeight="1">
      <c r="A28" s="45" t="s">
        <v>70</v>
      </c>
      <c r="B28" s="37">
        <f t="shared" si="0"/>
        <v>0.109375</v>
      </c>
      <c r="C28" s="37">
        <f t="shared" si="0"/>
        <v>0.09111111111111114</v>
      </c>
      <c r="D28" s="37">
        <f t="shared" si="0"/>
        <v>0.07883302296710126</v>
      </c>
      <c r="E28" s="37">
        <f t="shared" si="0"/>
        <v>0.17312661498708004</v>
      </c>
      <c r="F28" s="37">
        <f t="shared" si="0"/>
        <v>0.20967741935483875</v>
      </c>
      <c r="G28" s="59">
        <f t="shared" si="0"/>
        <v>0.14500000000000002</v>
      </c>
      <c r="H28" s="3"/>
    </row>
    <row r="29" ht="15" customHeight="1">
      <c r="A29" s="58" t="s">
        <v>71</v>
      </c>
      <c r="B29" s="27">
        <f t="shared" si="1"/>
        <v>42</v>
      </c>
      <c r="C29" s="27">
        <f t="shared" si="1"/>
        <v>41</v>
      </c>
      <c r="D29" s="27">
        <f t="shared" si="1"/>
        <v>127</v>
      </c>
      <c r="E29" s="27">
        <f t="shared" si="1"/>
        <v>67</v>
      </c>
      <c r="F29" s="27">
        <f t="shared" si="1"/>
        <v>91</v>
      </c>
      <c r="G29" s="60">
        <f t="shared" si="1"/>
        <v>61.76999999999998</v>
      </c>
      <c r="H29" s="3"/>
    </row>
    <row r="30" ht="15" customHeight="1">
      <c r="A30" s="45" t="s">
        <v>72</v>
      </c>
      <c r="B30" s="37">
        <f t="shared" si="11"/>
        <v>-0.018433179723502335</v>
      </c>
      <c r="C30" s="37">
        <f t="shared" si="2"/>
        <v>0.15258215962441324</v>
      </c>
      <c r="D30" s="37"/>
      <c r="E30" s="37">
        <f t="shared" si="12"/>
        <v>-0.07535641547861505</v>
      </c>
      <c r="F30" s="37">
        <f t="shared" si="2"/>
        <v>0.15638766519823788</v>
      </c>
      <c r="G30" s="59">
        <f t="shared" si="2"/>
        <v>-0.07091428571428571</v>
      </c>
      <c r="H30" s="18" t="s">
        <v>124</v>
      </c>
    </row>
    <row r="31" ht="15" customHeight="1">
      <c r="A31" s="58" t="s">
        <v>73</v>
      </c>
      <c r="B31" s="27">
        <f t="shared" si="13"/>
        <v>-8</v>
      </c>
      <c r="C31" s="27">
        <f t="shared" si="3"/>
        <v>65</v>
      </c>
      <c r="D31" s="27"/>
      <c r="E31" s="27">
        <f t="shared" si="14"/>
        <v>-37</v>
      </c>
      <c r="F31" s="27">
        <f t="shared" si="3"/>
        <v>71</v>
      </c>
      <c r="G31" s="60">
        <f t="shared" si="3"/>
        <v>-37.23000000000002</v>
      </c>
      <c r="H31" s="3"/>
    </row>
    <row r="32" ht="15" customHeight="1">
      <c r="A32" s="45" t="s">
        <v>125</v>
      </c>
      <c r="B32" s="37">
        <f t="shared" si="15" ref="B32:G32">B25/B41</f>
        <v>0.5372005044136192</v>
      </c>
      <c r="C32" s="37">
        <f t="shared" si="15"/>
        <v>0.5831353919239906</v>
      </c>
      <c r="D32" s="37">
        <f t="shared" si="15"/>
        <v>0.5550942190993293</v>
      </c>
      <c r="E32" s="37">
        <f t="shared" si="15"/>
        <v>0.5437125748502994</v>
      </c>
      <c r="F32" s="37">
        <f t="shared" si="15"/>
        <v>0.5608974358974359</v>
      </c>
      <c r="G32" s="59">
        <f t="shared" si="15"/>
        <v>0.542684215796442</v>
      </c>
      <c r="H32" s="3"/>
    </row>
    <row r="33" ht="15" customHeight="1">
      <c r="A33" s="45" t="s">
        <v>126</v>
      </c>
      <c r="B33" s="36">
        <f t="shared" si="16" ref="B33:G33">(B25/B41-B27/B42)*10000</f>
        <v>133.26016009799324</v>
      </c>
      <c r="C33" s="36">
        <f t="shared" si="16"/>
        <v>127.93186600796646</v>
      </c>
      <c r="D33" s="36">
        <f t="shared" si="16"/>
        <v>31.928830253313834</v>
      </c>
      <c r="E33" s="36">
        <f t="shared" si="16"/>
        <v>-21.2663530484869</v>
      </c>
      <c r="F33" s="36">
        <f t="shared" si="16"/>
        <v>94.36190662366006</v>
      </c>
      <c r="G33" s="67">
        <f t="shared" si="16"/>
        <v>54.83711382822776</v>
      </c>
      <c r="H33" s="3"/>
    </row>
    <row r="34" ht="15" customHeight="1">
      <c r="A34" s="45" t="s">
        <v>127</v>
      </c>
      <c r="B34" s="36">
        <f>(B25/B41-F27/F42)*10000</f>
        <v>-142.6074082145068</v>
      </c>
      <c r="C34" s="36">
        <f t="shared" si="17" ref="C34:G34">(C25/C41-B25/B41)*10000</f>
        <v>459.34887510371334</v>
      </c>
      <c r="D34" s="36"/>
      <c r="E34" s="36">
        <f>(E25/E41-C25/C41)*10000</f>
        <v>-394.22817073691107</v>
      </c>
      <c r="F34" s="36">
        <f t="shared" si="17"/>
        <v>171.84861047136457</v>
      </c>
      <c r="G34" s="67">
        <f t="shared" si="17"/>
        <v>-182.1322010099391</v>
      </c>
      <c r="H34" s="3"/>
    </row>
    <row r="35" ht="26.25" customHeight="1">
      <c r="A35" s="58" t="s">
        <v>128</v>
      </c>
      <c r="B35" s="49">
        <v>26</v>
      </c>
      <c r="C35" s="27">
        <f t="shared" si="18"/>
        <v>21</v>
      </c>
      <c r="D35" s="49">
        <v>83</v>
      </c>
      <c r="E35" s="49">
        <v>23</v>
      </c>
      <c r="F35" s="49">
        <v>56</v>
      </c>
      <c r="G35" s="60" t="s">
        <v>129</v>
      </c>
      <c r="H35" s="38" t="s">
        <v>130</v>
      </c>
    </row>
    <row r="36" ht="15" customHeight="1">
      <c r="A36" s="66" t="s">
        <v>131</v>
      </c>
      <c r="B36" s="49">
        <v>62</v>
      </c>
      <c r="C36" s="27"/>
      <c r="D36" s="27"/>
      <c r="E36" s="27"/>
      <c r="F36" s="27"/>
      <c r="G36" s="60"/>
      <c r="H36" s="18" t="s">
        <v>132</v>
      </c>
    </row>
    <row r="37" ht="15" customHeight="1">
      <c r="A37" s="45" t="s">
        <v>78</v>
      </c>
      <c r="B37" s="37">
        <f t="shared" si="7"/>
        <v>0.06770833333333333</v>
      </c>
      <c r="C37" s="37">
        <f t="shared" si="7"/>
        <v>0.04666666666666667</v>
      </c>
      <c r="D37" s="37">
        <f t="shared" si="7"/>
        <v>0.051520794537554315</v>
      </c>
      <c r="E37" s="37">
        <f t="shared" si="7"/>
        <v>0.059431524547803614</v>
      </c>
      <c r="F37" s="37">
        <f t="shared" si="7"/>
        <v>0.12903225806451613</v>
      </c>
      <c r="G37" s="59"/>
      <c r="H37" s="3"/>
    </row>
    <row r="38" ht="15" customHeight="1">
      <c r="A38" s="45" t="s">
        <v>102</v>
      </c>
      <c r="B38" s="37" t="s">
        <v>103</v>
      </c>
      <c r="C38" s="37" t="s">
        <v>103</v>
      </c>
      <c r="D38" s="37" t="s">
        <v>103</v>
      </c>
      <c r="E38" s="37" t="s">
        <v>103</v>
      </c>
      <c r="F38" s="37" t="s">
        <v>103</v>
      </c>
      <c r="G38" s="59" t="s">
        <v>103</v>
      </c>
      <c r="H38" s="18" t="s">
        <v>133</v>
      </c>
    </row>
    <row r="39" ht="15" customHeight="1">
      <c r="A39" s="45" t="s">
        <v>77</v>
      </c>
      <c r="B39" s="37" t="s">
        <v>103</v>
      </c>
      <c r="C39" s="37" t="s">
        <v>103</v>
      </c>
      <c r="D39" s="37" t="s">
        <v>103</v>
      </c>
      <c r="E39" s="37" t="s">
        <v>103</v>
      </c>
      <c r="F39" s="37" t="s">
        <v>103</v>
      </c>
      <c r="G39" s="59" t="s">
        <v>103</v>
      </c>
      <c r="H39" s="18" t="s">
        <v>134</v>
      </c>
    </row>
    <row r="40" ht="23.25" customHeight="1">
      <c r="A40" s="45" t="s">
        <v>87</v>
      </c>
      <c r="B40" s="37" t="s">
        <v>103</v>
      </c>
      <c r="C40" s="37" t="s">
        <v>103</v>
      </c>
      <c r="D40" s="37" t="s">
        <v>103</v>
      </c>
      <c r="E40" s="37" t="s">
        <v>103</v>
      </c>
      <c r="F40" s="37" t="s">
        <v>103</v>
      </c>
      <c r="G40" s="59" t="s">
        <v>103</v>
      </c>
      <c r="H40" s="18" t="s">
        <v>135</v>
      </c>
    </row>
    <row r="41" ht="15" customHeight="1">
      <c r="A41" s="29" t="s">
        <v>80</v>
      </c>
      <c r="B41" s="62">
        <f t="shared" si="19" ref="B41:G41">B9+B25</f>
        <v>793</v>
      </c>
      <c r="C41" s="62">
        <f t="shared" si="19"/>
        <v>842</v>
      </c>
      <c r="D41" s="62">
        <f t="shared" si="19"/>
        <v>3131</v>
      </c>
      <c r="E41" s="62">
        <f t="shared" si="19"/>
        <v>835</v>
      </c>
      <c r="F41" s="62">
        <f t="shared" si="19"/>
        <v>936</v>
      </c>
      <c r="G41" s="63">
        <f t="shared" si="19"/>
        <v>898.81</v>
      </c>
      <c r="H41" s="18" t="s">
        <v>145</v>
      </c>
    </row>
    <row r="42" ht="15" customHeight="1">
      <c r="A42" s="58" t="s">
        <v>69</v>
      </c>
      <c r="B42" s="27">
        <f t="shared" si="20" ref="B42:F42">B11+B27</f>
        <v>733</v>
      </c>
      <c r="C42" s="27">
        <f t="shared" si="20"/>
        <v>789</v>
      </c>
      <c r="D42" s="27">
        <f t="shared" si="20"/>
        <v>2919</v>
      </c>
      <c r="E42" s="27">
        <f t="shared" si="20"/>
        <v>709</v>
      </c>
      <c r="F42" s="27">
        <f t="shared" si="20"/>
        <v>787</v>
      </c>
      <c r="G42" s="60">
        <f t="shared" si="50" ref="G42:G129">B41</f>
        <v>793</v>
      </c>
      <c r="H42" s="18" t="s">
        <v>146</v>
      </c>
    </row>
    <row r="43" ht="15" customHeight="1">
      <c r="A43" s="58" t="s">
        <v>225</v>
      </c>
      <c r="B43" s="49">
        <v>793</v>
      </c>
      <c r="C43" s="49">
        <v>842</v>
      </c>
      <c r="D43" s="49">
        <v>3131</v>
      </c>
      <c r="E43" s="49">
        <v>835</v>
      </c>
      <c r="F43" s="49">
        <v>936</v>
      </c>
      <c r="G43" s="60"/>
      <c r="H43" s="18" t="s">
        <v>148</v>
      </c>
    </row>
    <row r="44" ht="15" customHeight="1">
      <c r="A44" s="45" t="s">
        <v>149</v>
      </c>
      <c r="B44" s="47">
        <f t="shared" si="21" ref="B44:F44">B41-B43</f>
        <v>0</v>
      </c>
      <c r="C44" s="47">
        <f t="shared" si="21"/>
        <v>0</v>
      </c>
      <c r="D44" s="47">
        <f t="shared" si="21"/>
        <v>0</v>
      </c>
      <c r="E44" s="47">
        <f t="shared" si="21"/>
        <v>0</v>
      </c>
      <c r="F44" s="47">
        <f t="shared" si="21"/>
        <v>0</v>
      </c>
      <c r="G44" s="64"/>
      <c r="H44" s="3"/>
    </row>
    <row r="45" ht="15" customHeight="1">
      <c r="A45" s="45" t="s">
        <v>70</v>
      </c>
      <c r="B45" s="37">
        <f t="shared" si="22" ref="B45:G45">B41/B42-1</f>
        <v>0.08185538881309684</v>
      </c>
      <c r="C45" s="37">
        <f t="shared" si="22"/>
        <v>0.06717363751584293</v>
      </c>
      <c r="D45" s="37">
        <f t="shared" si="22"/>
        <v>0.07262761219595748</v>
      </c>
      <c r="E45" s="37">
        <f t="shared" si="22"/>
        <v>0.17771509167842026</v>
      </c>
      <c r="F45" s="37">
        <f t="shared" si="22"/>
        <v>0.18932655654383734</v>
      </c>
      <c r="G45" s="59">
        <f t="shared" si="22"/>
        <v>0.1334300126103405</v>
      </c>
      <c r="H45" s="3"/>
    </row>
    <row r="46" ht="15" customHeight="1">
      <c r="A46" s="58" t="s">
        <v>71</v>
      </c>
      <c r="B46" s="27">
        <f t="shared" si="23" ref="B46:G46">B41-B42</f>
        <v>60</v>
      </c>
      <c r="C46" s="27">
        <f t="shared" si="23"/>
        <v>53</v>
      </c>
      <c r="D46" s="27">
        <f t="shared" si="23"/>
        <v>212</v>
      </c>
      <c r="E46" s="27">
        <f t="shared" si="23"/>
        <v>126</v>
      </c>
      <c r="F46" s="27">
        <f t="shared" si="23"/>
        <v>149</v>
      </c>
      <c r="G46" s="60">
        <f t="shared" si="23"/>
        <v>105.80999999999995</v>
      </c>
      <c r="H46" s="3"/>
    </row>
    <row r="47" ht="15" customHeight="1">
      <c r="A47" s="45" t="s">
        <v>72</v>
      </c>
      <c r="B47" s="37">
        <f>B41/F42-1</f>
        <v>0.007623888182973326</v>
      </c>
      <c r="C47" s="37">
        <f t="shared" si="24" ref="C47:G47">C41/B41-1</f>
        <v>0.06179066834804536</v>
      </c>
      <c r="D47" s="37"/>
      <c r="E47" s="37">
        <f>E41/C41-1</f>
        <v>-0.008313539192399078</v>
      </c>
      <c r="F47" s="37">
        <f t="shared" si="24"/>
        <v>0.12095808383233542</v>
      </c>
      <c r="G47" s="59">
        <f t="shared" si="24"/>
        <v>-0.03973290598290602</v>
      </c>
      <c r="H47" s="3"/>
    </row>
    <row r="48" ht="15" customHeight="1">
      <c r="A48" s="58" t="s">
        <v>73</v>
      </c>
      <c r="B48" s="27">
        <f>B41-F42</f>
        <v>6</v>
      </c>
      <c r="C48" s="27">
        <f t="shared" si="25" ref="C48:G48">C41-B41</f>
        <v>49</v>
      </c>
      <c r="D48" s="27"/>
      <c r="E48" s="27">
        <f>E41-C41</f>
        <v>-7</v>
      </c>
      <c r="F48" s="27">
        <f t="shared" si="25"/>
        <v>101</v>
      </c>
      <c r="G48" s="60">
        <f t="shared" si="25"/>
        <v>-37.190000000000055</v>
      </c>
      <c r="H48" s="3"/>
    </row>
    <row r="49" ht="15" customHeight="1">
      <c r="A49" s="22"/>
      <c r="B49" s="3"/>
      <c r="C49" s="3"/>
      <c r="D49" s="3"/>
      <c r="E49" s="3"/>
      <c r="F49" s="3"/>
      <c r="G49" s="65"/>
      <c r="H49" s="3"/>
    </row>
    <row r="50" ht="15" customHeight="1">
      <c r="A50" s="55" t="s">
        <v>150</v>
      </c>
      <c r="B50" s="20"/>
      <c r="C50" s="20"/>
      <c r="D50" s="20"/>
      <c r="E50" s="20"/>
      <c r="F50" s="20"/>
      <c r="G50" s="56"/>
      <c r="H50" s="3"/>
    </row>
    <row r="51" ht="37.5" customHeight="1">
      <c r="A51" s="58" t="s">
        <v>83</v>
      </c>
      <c r="B51" s="49">
        <v>6</v>
      </c>
      <c r="C51" s="49">
        <v>4</v>
      </c>
      <c r="D51" s="49">
        <v>27</v>
      </c>
      <c r="E51" s="49">
        <v>41</v>
      </c>
      <c r="F51" s="49">
        <v>69</v>
      </c>
      <c r="G51" s="73">
        <v>66</v>
      </c>
      <c r="H51" s="38" t="s">
        <v>226</v>
      </c>
    </row>
    <row r="52" ht="15" customHeight="1">
      <c r="A52" s="58" t="s">
        <v>152</v>
      </c>
      <c r="B52" s="49">
        <v>-6</v>
      </c>
      <c r="C52" s="49">
        <v>-19</v>
      </c>
      <c r="D52" s="49">
        <v>-36</v>
      </c>
      <c r="E52" s="49">
        <v>-3</v>
      </c>
      <c r="F52" s="49">
        <v>-1</v>
      </c>
      <c r="G52" s="73">
        <v>-1</v>
      </c>
      <c r="H52" s="18" t="s">
        <v>227</v>
      </c>
    </row>
    <row r="53" ht="15" customHeight="1">
      <c r="A53" s="58" t="s">
        <v>85</v>
      </c>
      <c r="B53" s="49">
        <v>22</v>
      </c>
      <c r="C53" s="49">
        <v>37</v>
      </c>
      <c r="D53" s="49">
        <v>64</v>
      </c>
      <c r="E53" s="49">
        <v>48</v>
      </c>
      <c r="F53" s="49">
        <v>10</v>
      </c>
      <c r="G53" s="73">
        <v>-7</v>
      </c>
      <c r="H53" s="18" t="s">
        <v>228</v>
      </c>
    </row>
    <row r="54" ht="15" customHeight="1">
      <c r="A54" s="58" t="s">
        <v>86</v>
      </c>
      <c r="B54" s="49">
        <v>38</v>
      </c>
      <c r="C54" s="49">
        <v>31</v>
      </c>
      <c r="D54" s="49">
        <v>157</v>
      </c>
      <c r="E54" s="49">
        <v>40</v>
      </c>
      <c r="F54" s="49">
        <v>71</v>
      </c>
      <c r="G54" s="60">
        <f>G41-G42-G51-G52-G53</f>
        <v>47.809999999999945</v>
      </c>
      <c r="H54" s="18" t="s">
        <v>155</v>
      </c>
    </row>
    <row r="55" ht="15" customHeight="1">
      <c r="A55" s="45" t="s">
        <v>156</v>
      </c>
      <c r="B55" s="47">
        <f t="shared" si="26" ref="B55:G55">B42+B51+B52+B53+B54-B41</f>
        <v>0</v>
      </c>
      <c r="C55" s="47">
        <f t="shared" si="26"/>
        <v>0</v>
      </c>
      <c r="D55" s="47">
        <f t="shared" si="26"/>
        <v>0</v>
      </c>
      <c r="E55" s="47">
        <f t="shared" si="26"/>
        <v>0</v>
      </c>
      <c r="F55" s="47">
        <f t="shared" si="26"/>
        <v>0</v>
      </c>
      <c r="G55" s="64">
        <f t="shared" si="26"/>
        <v>0</v>
      </c>
      <c r="H55" s="3"/>
    </row>
    <row r="56" ht="15" customHeight="1">
      <c r="A56" s="45" t="s">
        <v>75</v>
      </c>
      <c r="B56" s="37">
        <f t="shared" si="27" ref="B56:G56">B51/B42</f>
        <v>0.008185538881309686</v>
      </c>
      <c r="C56" s="37">
        <f t="shared" si="27"/>
        <v>0.005069708491761723</v>
      </c>
      <c r="D56" s="37">
        <f t="shared" si="27"/>
        <v>0.009249743062692703</v>
      </c>
      <c r="E56" s="37">
        <f t="shared" si="27"/>
        <v>0.05782792665726375</v>
      </c>
      <c r="F56" s="37">
        <f t="shared" si="27"/>
        <v>0.08767471410419314</v>
      </c>
      <c r="G56" s="59">
        <f t="shared" si="27"/>
        <v>0.0832282471626734</v>
      </c>
      <c r="H56" s="3"/>
    </row>
    <row r="57" ht="15" customHeight="1">
      <c r="A57" s="45" t="s">
        <v>76</v>
      </c>
      <c r="B57" s="37">
        <f t="shared" si="28" ref="B57:G83">B52/B42</f>
        <v>-0.008185538881309686</v>
      </c>
      <c r="C57" s="37">
        <f t="shared" si="28"/>
        <v>-0.024081115335868188</v>
      </c>
      <c r="D57" s="37">
        <f t="shared" si="28"/>
        <v>-0.012332990750256937</v>
      </c>
      <c r="E57" s="37">
        <f t="shared" si="28"/>
        <v>-0.004231311706629055</v>
      </c>
      <c r="F57" s="37">
        <f t="shared" si="28"/>
        <v>-0.0012706480304955528</v>
      </c>
      <c r="G57" s="59">
        <f t="shared" si="28"/>
        <v>-0.0012610340479192938</v>
      </c>
      <c r="H57" s="3"/>
    </row>
    <row r="58" ht="15" customHeight="1">
      <c r="A58" s="45" t="s">
        <v>157</v>
      </c>
      <c r="B58" s="37">
        <f t="shared" si="29" ref="B58:G58">B56+B57</f>
        <v>0</v>
      </c>
      <c r="C58" s="37">
        <f t="shared" si="29"/>
        <v>-0.019011406844106463</v>
      </c>
      <c r="D58" s="37">
        <f t="shared" si="29"/>
        <v>-0.0030832476875642337</v>
      </c>
      <c r="E58" s="37">
        <f t="shared" si="29"/>
        <v>0.0535966149506347</v>
      </c>
      <c r="F58" s="37">
        <f t="shared" si="29"/>
        <v>0.08640406607369759</v>
      </c>
      <c r="G58" s="59">
        <f t="shared" si="29"/>
        <v>0.0819672131147541</v>
      </c>
      <c r="H58" s="3"/>
    </row>
    <row r="59" ht="15" customHeight="1">
      <c r="A59" s="45" t="s">
        <v>77</v>
      </c>
      <c r="B59" s="37">
        <f t="shared" si="30" ref="B59:G59">B53/B42</f>
        <v>0.030013642564802184</v>
      </c>
      <c r="C59" s="37">
        <f t="shared" si="30"/>
        <v>0.046894803548795945</v>
      </c>
      <c r="D59" s="37">
        <f t="shared" si="30"/>
        <v>0.021925316889345667</v>
      </c>
      <c r="E59" s="37">
        <f t="shared" si="30"/>
        <v>0.06770098730606489</v>
      </c>
      <c r="F59" s="37">
        <f t="shared" si="30"/>
        <v>0.012706480304955527</v>
      </c>
      <c r="G59" s="59">
        <f t="shared" si="30"/>
        <v>-0.008827238335435058</v>
      </c>
      <c r="H59" s="3"/>
    </row>
    <row r="60" ht="15" customHeight="1">
      <c r="A60" s="45" t="s">
        <v>78</v>
      </c>
      <c r="B60" s="37">
        <f t="shared" si="31" ref="B60:G60">B54/B42</f>
        <v>0.05184174624829468</v>
      </c>
      <c r="C60" s="37">
        <f t="shared" si="31"/>
        <v>0.03929024081115336</v>
      </c>
      <c r="D60" s="37">
        <f t="shared" si="31"/>
        <v>0.05378554299417609</v>
      </c>
      <c r="E60" s="37">
        <f t="shared" si="31"/>
        <v>0.056417489421720736</v>
      </c>
      <c r="F60" s="37">
        <f t="shared" si="31"/>
        <v>0.09021601016518424</v>
      </c>
      <c r="G60" s="59">
        <f t="shared" si="31"/>
        <v>0.06029003783102137</v>
      </c>
      <c r="H60" s="3"/>
    </row>
    <row r="61" ht="15" customHeight="1">
      <c r="A61" s="45" t="s">
        <v>158</v>
      </c>
      <c r="B61" s="37">
        <f t="shared" si="32" ref="B61:G61">B45</f>
        <v>0.08185538881309684</v>
      </c>
      <c r="C61" s="37">
        <f t="shared" si="32"/>
        <v>0.06717363751584293</v>
      </c>
      <c r="D61" s="37">
        <f t="shared" si="32"/>
        <v>0.07262761219595748</v>
      </c>
      <c r="E61" s="37">
        <f t="shared" si="32"/>
        <v>0.17771509167842026</v>
      </c>
      <c r="F61" s="37">
        <f t="shared" si="32"/>
        <v>0.18932655654383734</v>
      </c>
      <c r="G61" s="59">
        <f t="shared" si="32"/>
        <v>0.1334300126103405</v>
      </c>
      <c r="H61" s="3"/>
    </row>
    <row r="62" ht="23.25" customHeight="1">
      <c r="A62" s="45" t="s">
        <v>87</v>
      </c>
      <c r="B62" s="37">
        <f t="shared" si="33" ref="B62:G62">(1+B61)/((1+B58)*(1+B59))-1</f>
        <v>0.05033112582781474</v>
      </c>
      <c r="C62" s="37">
        <f t="shared" si="33"/>
        <v>0.03912570152223305</v>
      </c>
      <c r="D62" s="37">
        <f t="shared" si="33"/>
        <v>0.05286071242193735</v>
      </c>
      <c r="E62" s="37">
        <f t="shared" si="33"/>
        <v>0.04692658790158455</v>
      </c>
      <c r="F62" s="37">
        <f t="shared" si="33"/>
        <v>0.08100112263091863</v>
      </c>
      <c r="G62" s="59">
        <f t="shared" si="33"/>
        <v>0.056893553859202584</v>
      </c>
      <c r="H62" s="18" t="s">
        <v>159</v>
      </c>
    </row>
    <row r="63" ht="15" customHeight="1">
      <c r="A63" s="22"/>
      <c r="B63" s="3"/>
      <c r="C63" s="3"/>
      <c r="D63" s="3"/>
      <c r="E63" s="3"/>
      <c r="F63" s="3"/>
      <c r="G63" s="65"/>
      <c r="H63" s="3"/>
    </row>
    <row r="64" ht="15" customHeight="1">
      <c r="A64" s="55" t="s">
        <v>160</v>
      </c>
      <c r="B64" s="20"/>
      <c r="C64" s="20"/>
      <c r="D64" s="20"/>
      <c r="E64" s="20"/>
      <c r="F64" s="20"/>
      <c r="G64" s="56"/>
      <c r="H64" s="3"/>
    </row>
    <row r="65" ht="15" customHeight="1">
      <c r="A65" s="22" t="s">
        <v>161</v>
      </c>
      <c r="B65" s="27">
        <f>F70</f>
        <v>4692</v>
      </c>
      <c r="C65" s="27">
        <f t="shared" si="34" ref="C65:G77">B68</f>
        <v>4670</v>
      </c>
      <c r="D65" s="27">
        <f>C70</f>
        <v>4286</v>
      </c>
      <c r="E65" s="27">
        <f>C68</f>
        <v>4914</v>
      </c>
      <c r="F65" s="27">
        <f t="shared" si="34"/>
        <v>5627</v>
      </c>
      <c r="G65" s="60">
        <f t="shared" si="34"/>
        <v>5600</v>
      </c>
      <c r="H65" s="18" t="s">
        <v>162</v>
      </c>
    </row>
    <row r="66" ht="15" customHeight="1">
      <c r="A66" s="58" t="s">
        <v>163</v>
      </c>
      <c r="B66" s="27">
        <f t="shared" si="35" ref="B66:F66">B68-B65+B41</f>
        <v>771</v>
      </c>
      <c r="C66" s="27">
        <f t="shared" si="35"/>
        <v>1086</v>
      </c>
      <c r="D66" s="27">
        <f t="shared" si="35"/>
        <v>3759</v>
      </c>
      <c r="E66" s="27">
        <f t="shared" si="35"/>
        <v>1548</v>
      </c>
      <c r="F66" s="27">
        <f t="shared" si="35"/>
        <v>909</v>
      </c>
      <c r="G66" s="60">
        <f>G41*G74</f>
        <v>898.81</v>
      </c>
      <c r="H66" s="18" t="s">
        <v>164</v>
      </c>
    </row>
    <row r="67" ht="15" customHeight="1">
      <c r="A67" s="58" t="s">
        <v>165</v>
      </c>
      <c r="B67" s="27">
        <f t="shared" si="36" ref="B67:G67">-B41</f>
        <v>-793</v>
      </c>
      <c r="C67" s="27">
        <f t="shared" si="36"/>
        <v>-842</v>
      </c>
      <c r="D67" s="27">
        <f t="shared" si="36"/>
        <v>-3131</v>
      </c>
      <c r="E67" s="27">
        <f t="shared" si="36"/>
        <v>-835</v>
      </c>
      <c r="F67" s="27">
        <f t="shared" si="36"/>
        <v>-936</v>
      </c>
      <c r="G67" s="60">
        <f t="shared" si="36"/>
        <v>-898.81</v>
      </c>
      <c r="H67" s="3"/>
    </row>
    <row r="68" ht="15" customHeight="1">
      <c r="A68" s="29" t="s">
        <v>166</v>
      </c>
      <c r="B68" s="74">
        <v>4670</v>
      </c>
      <c r="C68" s="74">
        <v>4914</v>
      </c>
      <c r="D68" s="62">
        <f t="shared" si="38" ref="D68:D80">C68</f>
        <v>4914</v>
      </c>
      <c r="E68" s="74">
        <v>5627</v>
      </c>
      <c r="F68" s="74">
        <v>5600</v>
      </c>
      <c r="G68" s="63">
        <f>G65+G66+G67</f>
        <v>5600</v>
      </c>
      <c r="H68" s="18" t="s">
        <v>167</v>
      </c>
    </row>
    <row r="69" ht="15" customHeight="1">
      <c r="A69" s="58" t="s">
        <v>168</v>
      </c>
      <c r="B69" s="27">
        <f t="shared" si="37" ref="B69:G69">(B65+B68)/2</f>
        <v>4681</v>
      </c>
      <c r="C69" s="27">
        <f t="shared" si="37"/>
        <v>4792</v>
      </c>
      <c r="D69" s="27">
        <f t="shared" si="37"/>
        <v>4600</v>
      </c>
      <c r="E69" s="27">
        <f t="shared" si="37"/>
        <v>5270.5</v>
      </c>
      <c r="F69" s="27">
        <f t="shared" si="37"/>
        <v>5613.5</v>
      </c>
      <c r="G69" s="60">
        <f t="shared" si="37"/>
        <v>5600</v>
      </c>
      <c r="H69" s="3"/>
    </row>
    <row r="70" ht="15" customHeight="1">
      <c r="A70" s="58" t="s">
        <v>169</v>
      </c>
      <c r="B70" s="49">
        <v>4478</v>
      </c>
      <c r="C70" s="49">
        <v>4286</v>
      </c>
      <c r="D70" s="27">
        <f t="shared" si="38"/>
        <v>4286</v>
      </c>
      <c r="E70" s="49">
        <v>4451</v>
      </c>
      <c r="F70" s="49">
        <v>4692</v>
      </c>
      <c r="G70" s="60">
        <f t="shared" si="10"/>
        <v>4670</v>
      </c>
      <c r="H70" s="3"/>
    </row>
    <row r="71" ht="15" customHeight="1">
      <c r="A71" s="45" t="s">
        <v>170</v>
      </c>
      <c r="B71" s="37">
        <f t="shared" si="0"/>
        <v>0.0428762840553818</v>
      </c>
      <c r="C71" s="37">
        <f t="shared" si="0"/>
        <v>0.14652356509566022</v>
      </c>
      <c r="D71" s="37">
        <f t="shared" si="0"/>
        <v>0.14652356509566022</v>
      </c>
      <c r="E71" s="37">
        <f t="shared" si="0"/>
        <v>0.2642102898225118</v>
      </c>
      <c r="F71" s="37">
        <f t="shared" si="0"/>
        <v>0.1935208866155158</v>
      </c>
      <c r="G71" s="59">
        <f t="shared" si="0"/>
        <v>0.1991434689507494</v>
      </c>
      <c r="H71" s="3"/>
    </row>
    <row r="72" ht="15" customHeight="1">
      <c r="A72" s="58" t="s">
        <v>171</v>
      </c>
      <c r="B72" s="27">
        <f t="shared" si="39" ref="B72:G72">B68-B65</f>
        <v>-22</v>
      </c>
      <c r="C72" s="27">
        <f t="shared" si="39"/>
        <v>244</v>
      </c>
      <c r="D72" s="27">
        <f t="shared" si="39"/>
        <v>628</v>
      </c>
      <c r="E72" s="27">
        <f t="shared" si="39"/>
        <v>713</v>
      </c>
      <c r="F72" s="27">
        <f t="shared" si="39"/>
        <v>-27</v>
      </c>
      <c r="G72" s="60">
        <f t="shared" si="39"/>
        <v>0</v>
      </c>
      <c r="H72" s="3"/>
    </row>
    <row r="73" ht="15" customHeight="1">
      <c r="A73" s="22" t="s">
        <v>172</v>
      </c>
      <c r="B73" s="75">
        <f t="shared" si="40" ref="B73:G73">B66/B41</f>
        <v>0.9722572509457755</v>
      </c>
      <c r="C73" s="75">
        <f t="shared" si="40"/>
        <v>1.2897862232779098</v>
      </c>
      <c r="D73" s="75">
        <f t="shared" si="40"/>
        <v>1.2005748961992972</v>
      </c>
      <c r="E73" s="75">
        <f t="shared" si="40"/>
        <v>1.8538922155688622</v>
      </c>
      <c r="F73" s="75">
        <f t="shared" si="40"/>
        <v>0.9711538461538461</v>
      </c>
      <c r="G73" s="76">
        <f t="shared" si="40"/>
        <v>1</v>
      </c>
      <c r="H73" s="3"/>
    </row>
    <row r="74" ht="15" customHeight="1">
      <c r="A74" s="58" t="s">
        <v>173</v>
      </c>
      <c r="B74" s="75"/>
      <c r="C74" s="75"/>
      <c r="D74" s="75"/>
      <c r="E74" s="75"/>
      <c r="F74" s="75"/>
      <c r="G74" s="77">
        <v>1</v>
      </c>
      <c r="H74" s="18" t="s">
        <v>229</v>
      </c>
    </row>
    <row r="75" ht="15" customHeight="1">
      <c r="A75" s="58" t="s">
        <v>175</v>
      </c>
      <c r="B75" s="75">
        <f>B73-(B65-E70+F42)/F42</f>
        <v>-0.33396892440365267</v>
      </c>
      <c r="C75" s="75">
        <f t="shared" si="41" ref="C75:G75">C73-B73</f>
        <v>0.3175289723321343</v>
      </c>
      <c r="D75" s="75"/>
      <c r="E75" s="75">
        <f>E73-C73</f>
        <v>0.5641059922909524</v>
      </c>
      <c r="F75" s="75">
        <f t="shared" si="41"/>
        <v>-0.882738369415016</v>
      </c>
      <c r="G75" s="76">
        <f t="shared" si="41"/>
        <v>0.028846153846153855</v>
      </c>
      <c r="H75" s="18" t="s">
        <v>176</v>
      </c>
    </row>
    <row r="76" ht="26.25" customHeight="1">
      <c r="A76" s="58" t="s">
        <v>177</v>
      </c>
      <c r="B76" s="75" t="s">
        <v>103</v>
      </c>
      <c r="C76" s="75">
        <f t="shared" si="42" ref="C76:F76">C73-(C70-B70+C42)/C42</f>
        <v>0.5331322308824725</v>
      </c>
      <c r="D76" s="75" t="s">
        <v>103</v>
      </c>
      <c r="E76" s="75">
        <f>E73-(E70-D65+E42)/E42</f>
        <v>0.6211700717042641</v>
      </c>
      <c r="F76" s="75">
        <f t="shared" si="42"/>
        <v>-0.33507232919558205</v>
      </c>
      <c r="G76" s="76">
        <f>G73-B73</f>
        <v>0.02774274905422447</v>
      </c>
      <c r="H76" s="38" t="s">
        <v>178</v>
      </c>
    </row>
    <row r="77" ht="15" customHeight="1">
      <c r="A77" s="22" t="s">
        <v>179</v>
      </c>
      <c r="B77" s="27">
        <f>F80</f>
        <v>2186</v>
      </c>
      <c r="C77" s="27">
        <f t="shared" si="43" ref="C77:G77">B78</f>
        <v>2182</v>
      </c>
      <c r="D77" s="27">
        <f t="shared" si="34"/>
        <v>2104</v>
      </c>
      <c r="E77" s="27">
        <f>C78</f>
        <v>2212</v>
      </c>
      <c r="F77" s="27">
        <f t="shared" si="43"/>
        <v>2568</v>
      </c>
      <c r="G77" s="60">
        <f t="shared" si="43"/>
        <v>2502</v>
      </c>
      <c r="H77" s="3"/>
    </row>
    <row r="78" ht="15" customHeight="1">
      <c r="A78" s="29" t="s">
        <v>180</v>
      </c>
      <c r="B78" s="74">
        <v>2182</v>
      </c>
      <c r="C78" s="74">
        <v>2212</v>
      </c>
      <c r="D78" s="62">
        <f t="shared" si="38"/>
        <v>2212</v>
      </c>
      <c r="E78" s="74">
        <v>2568</v>
      </c>
      <c r="F78" s="74">
        <v>2502</v>
      </c>
      <c r="G78" s="63">
        <f>F78*(1+G79)</f>
        <v>2502</v>
      </c>
      <c r="H78" s="18" t="s">
        <v>181</v>
      </c>
    </row>
    <row r="79" ht="23.25" customHeight="1">
      <c r="A79" s="45" t="s">
        <v>182</v>
      </c>
      <c r="B79" s="37"/>
      <c r="C79" s="37"/>
      <c r="D79" s="37"/>
      <c r="E79" s="37"/>
      <c r="F79" s="37"/>
      <c r="G79" s="69">
        <v>0</v>
      </c>
      <c r="H79" s="18" t="s">
        <v>183</v>
      </c>
    </row>
    <row r="80" ht="15" customHeight="1">
      <c r="A80" s="58" t="s">
        <v>184</v>
      </c>
      <c r="B80" s="49">
        <v>2035</v>
      </c>
      <c r="C80" s="49">
        <v>2104</v>
      </c>
      <c r="D80" s="27">
        <f t="shared" si="38"/>
        <v>2104</v>
      </c>
      <c r="E80" s="49">
        <v>2127</v>
      </c>
      <c r="F80" s="49">
        <v>2186</v>
      </c>
      <c r="G80" s="60">
        <f t="shared" si="10"/>
        <v>2182</v>
      </c>
      <c r="H80" s="3"/>
    </row>
    <row r="81" ht="15" customHeight="1">
      <c r="A81" s="45" t="s">
        <v>185</v>
      </c>
      <c r="B81" s="37">
        <f t="shared" si="0"/>
        <v>0.07223587223587224</v>
      </c>
      <c r="C81" s="37">
        <f t="shared" si="0"/>
        <v>0.05133079847908739</v>
      </c>
      <c r="D81" s="37">
        <f t="shared" si="0"/>
        <v>0.05133079847908739</v>
      </c>
      <c r="E81" s="37">
        <f t="shared" si="0"/>
        <v>0.2073342736248236</v>
      </c>
      <c r="F81" s="37">
        <f t="shared" si="0"/>
        <v>0.14455626715462033</v>
      </c>
      <c r="G81" s="59">
        <f t="shared" si="0"/>
        <v>0.1466544454628782</v>
      </c>
      <c r="H81" s="3"/>
    </row>
    <row r="82" ht="15" customHeight="1">
      <c r="A82" s="58" t="s">
        <v>171</v>
      </c>
      <c r="B82" s="27">
        <f t="shared" si="44" ref="B82:G82">B78-B77</f>
        <v>-4</v>
      </c>
      <c r="C82" s="27">
        <f t="shared" si="44"/>
        <v>30</v>
      </c>
      <c r="D82" s="27">
        <f t="shared" si="44"/>
        <v>108</v>
      </c>
      <c r="E82" s="27">
        <f t="shared" si="44"/>
        <v>356</v>
      </c>
      <c r="F82" s="27">
        <f t="shared" si="44"/>
        <v>-66</v>
      </c>
      <c r="G82" s="60">
        <f t="shared" si="44"/>
        <v>0</v>
      </c>
      <c r="H82" s="3"/>
    </row>
    <row r="83" ht="15" customHeight="1">
      <c r="A83" s="45" t="s">
        <v>186</v>
      </c>
      <c r="B83" s="37">
        <f t="shared" si="28"/>
        <v>0.467237687366167</v>
      </c>
      <c r="C83" s="37">
        <f t="shared" si="28"/>
        <v>0.45014245014245013</v>
      </c>
      <c r="D83" s="37">
        <f t="shared" si="28"/>
        <v>0.45014245014245013</v>
      </c>
      <c r="E83" s="37">
        <f t="shared" si="28"/>
        <v>0.45637106806468813</v>
      </c>
      <c r="F83" s="37">
        <f t="shared" si="28"/>
        <v>0.4467857142857143</v>
      </c>
      <c r="G83" s="59">
        <f t="shared" si="28"/>
        <v>0.4467857142857143</v>
      </c>
      <c r="H83" s="3"/>
    </row>
    <row r="84" ht="15" customHeight="1">
      <c r="A84" s="45" t="s">
        <v>100</v>
      </c>
      <c r="B84" s="36">
        <f t="shared" si="45" ref="B84:G84">(B78/B68-B80/B70)*10000</f>
        <v>127.93739175010255</v>
      </c>
      <c r="C84" s="36">
        <f t="shared" si="45"/>
        <v>-407.58156483774786</v>
      </c>
      <c r="D84" s="36">
        <f t="shared" si="45"/>
        <v>-407.58156483774786</v>
      </c>
      <c r="E84" s="36">
        <f t="shared" si="45"/>
        <v>-214.99073476538567</v>
      </c>
      <c r="F84" s="36">
        <f t="shared" si="45"/>
        <v>-191.13688953842413</v>
      </c>
      <c r="G84" s="67">
        <f t="shared" si="45"/>
        <v>-204.51973080452711</v>
      </c>
      <c r="H84" s="3"/>
    </row>
    <row r="85" ht="15" customHeight="1">
      <c r="A85" s="45" t="s">
        <v>101</v>
      </c>
      <c r="B85" s="36">
        <f>(B83-F80/F70)*10000</f>
        <v>13.382841266103007</v>
      </c>
      <c r="C85" s="36">
        <f t="shared" si="46" ref="C85:G139">(C83-B83)*10000</f>
        <v>-170.95237223716865</v>
      </c>
      <c r="D85" s="36"/>
      <c r="E85" s="36">
        <f t="shared" si="72" ref="E85:E139">(E83-C83)*10000</f>
        <v>62.28617922238</v>
      </c>
      <c r="F85" s="36">
        <f t="shared" si="46"/>
        <v>-95.85353778973848</v>
      </c>
      <c r="G85" s="67">
        <f t="shared" si="46"/>
        <v>0</v>
      </c>
      <c r="H85" s="3"/>
    </row>
    <row r="86" ht="15" customHeight="1">
      <c r="A86" s="21" t="s">
        <v>187</v>
      </c>
      <c r="B86" s="37">
        <f t="shared" si="47" ref="B86:G86">B41/B77</f>
        <v>0.3627630375114364</v>
      </c>
      <c r="C86" s="37">
        <f t="shared" si="47"/>
        <v>0.38588450962419796</v>
      </c>
      <c r="D86" s="37">
        <f t="shared" si="47"/>
        <v>1.4881178707224334</v>
      </c>
      <c r="E86" s="37">
        <f t="shared" si="47"/>
        <v>0.37748643761301987</v>
      </c>
      <c r="F86" s="37">
        <f t="shared" si="47"/>
        <v>0.3644859813084112</v>
      </c>
      <c r="G86" s="59">
        <f t="shared" si="47"/>
        <v>0.3592366107114308</v>
      </c>
      <c r="H86" s="18" t="s">
        <v>188</v>
      </c>
    </row>
    <row r="87" ht="15" customHeight="1">
      <c r="A87" s="45" t="s">
        <v>101</v>
      </c>
      <c r="B87" s="36">
        <f>(B86-F42/E80)*10000</f>
        <v>-72.41663946015386</v>
      </c>
      <c r="C87" s="36">
        <f t="shared" si="48" ref="C87:G87">(C86-B86)*10000</f>
        <v>231.21472112761555</v>
      </c>
      <c r="D87" s="36"/>
      <c r="E87" s="36">
        <f>(E86-C86)*10000</f>
        <v>-83.98072011178093</v>
      </c>
      <c r="F87" s="36">
        <f t="shared" si="48"/>
        <v>-130.00456304608664</v>
      </c>
      <c r="G87" s="67">
        <f t="shared" si="48"/>
        <v>-52.49370596980385</v>
      </c>
      <c r="H87" s="3"/>
    </row>
    <row r="88" ht="15" customHeight="1">
      <c r="A88" s="45" t="s">
        <v>100</v>
      </c>
      <c r="B88" s="36" t="s">
        <v>103</v>
      </c>
      <c r="C88" s="36">
        <f t="shared" si="49" ref="C88:F88">(C86-C42/B80)*10000</f>
        <v>-18.30478090789733</v>
      </c>
      <c r="D88" s="36" t="s">
        <v>103</v>
      </c>
      <c r="E88" s="36">
        <f>(E86-E42/D77)*10000</f>
        <v>405.09251301232786</v>
      </c>
      <c r="F88" s="36">
        <f t="shared" si="49"/>
        <v>-55.187201490405904</v>
      </c>
      <c r="G88" s="67">
        <f>(G86-B86)*10000</f>
        <v>-35.264268000055885</v>
      </c>
      <c r="H88" s="18" t="s">
        <v>189</v>
      </c>
    </row>
    <row r="89" ht="15" customHeight="1">
      <c r="A89" s="22"/>
      <c r="B89" s="3"/>
      <c r="C89" s="3"/>
      <c r="D89" s="3"/>
      <c r="E89" s="3"/>
      <c r="F89" s="3"/>
      <c r="G89" s="65"/>
      <c r="H89" s="3"/>
    </row>
    <row r="90" ht="15" customHeight="1">
      <c r="A90" s="55" t="s">
        <v>190</v>
      </c>
      <c r="B90" s="20"/>
      <c r="C90" s="20"/>
      <c r="D90" s="20"/>
      <c r="E90" s="20"/>
      <c r="F90" s="20"/>
      <c r="G90" s="56"/>
      <c r="H90" s="3"/>
    </row>
    <row r="91" ht="15" customHeight="1">
      <c r="A91" s="29" t="s">
        <v>191</v>
      </c>
      <c r="B91" s="74">
        <v>253</v>
      </c>
      <c r="C91" s="74">
        <v>266</v>
      </c>
      <c r="D91" s="62">
        <f t="shared" si="57" ref="D91:D128">E92+F92+B91+C91</f>
        <v>977</v>
      </c>
      <c r="E91" s="74">
        <v>277</v>
      </c>
      <c r="F91" s="74">
        <v>312</v>
      </c>
      <c r="G91" s="63">
        <f>G41*G97</f>
        <v>293.01206</v>
      </c>
      <c r="H91" s="18" t="s">
        <v>192</v>
      </c>
    </row>
    <row r="92" ht="15" customHeight="1">
      <c r="A92" s="58" t="s">
        <v>69</v>
      </c>
      <c r="B92" s="49">
        <v>212</v>
      </c>
      <c r="C92" s="49">
        <v>251</v>
      </c>
      <c r="D92" s="49">
        <v>862</v>
      </c>
      <c r="E92" s="49">
        <v>216</v>
      </c>
      <c r="F92" s="49">
        <v>242</v>
      </c>
      <c r="G92" s="60">
        <f t="shared" si="50"/>
        <v>253</v>
      </c>
      <c r="H92" s="3"/>
    </row>
    <row r="93" ht="15" customHeight="1">
      <c r="A93" s="45" t="s">
        <v>70</v>
      </c>
      <c r="B93" s="37">
        <f t="shared" si="51" ref="B93:G130">B91/B92-1</f>
        <v>0.19339622641509435</v>
      </c>
      <c r="C93" s="37">
        <f t="shared" si="51"/>
        <v>0.05976095617529875</v>
      </c>
      <c r="D93" s="37">
        <f t="shared" si="51"/>
        <v>0.13341067285382824</v>
      </c>
      <c r="E93" s="37">
        <f t="shared" si="51"/>
        <v>0.28240740740740744</v>
      </c>
      <c r="F93" s="37">
        <f t="shared" si="51"/>
        <v>0.28925619834710736</v>
      </c>
      <c r="G93" s="59">
        <f t="shared" si="51"/>
        <v>0.15815043478260882</v>
      </c>
      <c r="H93" s="3"/>
    </row>
    <row r="94" ht="15" customHeight="1">
      <c r="A94" s="58" t="s">
        <v>71</v>
      </c>
      <c r="B94" s="27">
        <f t="shared" si="52" ref="B94:G131">B91-B92</f>
        <v>41</v>
      </c>
      <c r="C94" s="27">
        <f t="shared" si="52"/>
        <v>15</v>
      </c>
      <c r="D94" s="27">
        <f t="shared" si="52"/>
        <v>115</v>
      </c>
      <c r="E94" s="27">
        <f t="shared" si="52"/>
        <v>61</v>
      </c>
      <c r="F94" s="27">
        <f t="shared" si="52"/>
        <v>70</v>
      </c>
      <c r="G94" s="60">
        <f t="shared" si="52"/>
        <v>40.01206000000002</v>
      </c>
      <c r="H94" s="3"/>
    </row>
    <row r="95" ht="15" customHeight="1">
      <c r="A95" s="58" t="s">
        <v>73</v>
      </c>
      <c r="B95" s="27">
        <f t="shared" si="64" ref="B95:B132">B91-F92</f>
        <v>11</v>
      </c>
      <c r="C95" s="27">
        <f t="shared" si="53" ref="C95:G132">C91-B91</f>
        <v>13</v>
      </c>
      <c r="D95" s="27"/>
      <c r="E95" s="27">
        <f t="shared" si="65" ref="E95:E132">E91-C91</f>
        <v>11</v>
      </c>
      <c r="F95" s="27">
        <f t="shared" si="53"/>
        <v>35</v>
      </c>
      <c r="G95" s="60">
        <f t="shared" si="53"/>
        <v>-18.98793999999998</v>
      </c>
      <c r="H95" s="3"/>
    </row>
    <row r="96" ht="15" customHeight="1">
      <c r="A96" s="45" t="s">
        <v>193</v>
      </c>
      <c r="B96" s="37">
        <f t="shared" si="54" ref="B96:G96">B91/B41</f>
        <v>0.31904161412358134</v>
      </c>
      <c r="C96" s="37">
        <f t="shared" si="54"/>
        <v>0.3159144893111639</v>
      </c>
      <c r="D96" s="37">
        <f t="shared" si="54"/>
        <v>0.3120408815075056</v>
      </c>
      <c r="E96" s="37">
        <f t="shared" si="54"/>
        <v>0.3317365269461078</v>
      </c>
      <c r="F96" s="37">
        <f t="shared" si="54"/>
        <v>0.3333333333333333</v>
      </c>
      <c r="G96" s="59">
        <f t="shared" si="54"/>
        <v>0.32600000000000007</v>
      </c>
      <c r="H96" s="3"/>
    </row>
    <row r="97" ht="15" customHeight="1">
      <c r="A97" s="68" t="s">
        <v>194</v>
      </c>
      <c r="B97" s="37"/>
      <c r="C97" s="37"/>
      <c r="D97" s="37"/>
      <c r="E97" s="37"/>
      <c r="F97" s="37"/>
      <c r="G97" s="69">
        <v>0.326</v>
      </c>
      <c r="H97" s="18" t="s">
        <v>230</v>
      </c>
    </row>
    <row r="98" ht="15" customHeight="1">
      <c r="A98" s="45" t="s">
        <v>100</v>
      </c>
      <c r="B98" s="36">
        <f t="shared" si="55" ref="B98:G98">(B91/B41-B92/B42)*10000</f>
        <v>298.19240317305764</v>
      </c>
      <c r="C98" s="36">
        <f t="shared" si="55"/>
        <v>-22.097185468842873</v>
      </c>
      <c r="D98" s="36">
        <f t="shared" si="55"/>
        <v>167.34269654131162</v>
      </c>
      <c r="E98" s="36">
        <f t="shared" si="55"/>
        <v>270.82084068815794</v>
      </c>
      <c r="F98" s="36">
        <f t="shared" si="55"/>
        <v>258.3650995340958</v>
      </c>
      <c r="G98" s="67">
        <f t="shared" si="55"/>
        <v>69.58385876418727</v>
      </c>
      <c r="H98" s="3"/>
    </row>
    <row r="99" ht="15" customHeight="1">
      <c r="A99" s="45" t="s">
        <v>101</v>
      </c>
      <c r="B99" s="36">
        <f>(B91/B41-F92/F42)*10000</f>
        <v>115.44790743657607</v>
      </c>
      <c r="C99" s="36">
        <f t="shared" si="56" ref="C99:G99">(C91/C41-B91/B41)*10000</f>
        <v>-31.271248124174477</v>
      </c>
      <c r="D99" s="36"/>
      <c r="E99" s="36">
        <f>(E91/E41-C91/C41)*10000</f>
        <v>158.22037634943885</v>
      </c>
      <c r="F99" s="36">
        <f t="shared" si="56"/>
        <v>15.968063872255357</v>
      </c>
      <c r="G99" s="67">
        <f t="shared" si="56"/>
        <v>-73.33333333333248</v>
      </c>
      <c r="H99" s="3"/>
    </row>
    <row r="100" ht="15" customHeight="1">
      <c r="A100" s="58" t="s">
        <v>196</v>
      </c>
      <c r="B100" s="49">
        <v>1</v>
      </c>
      <c r="C100" s="49">
        <v>3</v>
      </c>
      <c r="D100" s="49">
        <v>6</v>
      </c>
      <c r="E100" s="49">
        <v>1</v>
      </c>
      <c r="F100" s="49">
        <v>0</v>
      </c>
      <c r="G100" s="73">
        <v>1</v>
      </c>
      <c r="H100" s="3"/>
    </row>
    <row r="101" ht="15" customHeight="1">
      <c r="A101" s="58" t="s">
        <v>197</v>
      </c>
      <c r="B101" s="49">
        <v>0</v>
      </c>
      <c r="C101" s="49">
        <v>0</v>
      </c>
      <c r="D101" s="49">
        <v>0</v>
      </c>
      <c r="E101" s="49">
        <v>3</v>
      </c>
      <c r="F101" s="49">
        <v>5</v>
      </c>
      <c r="G101" s="73">
        <v>2</v>
      </c>
      <c r="H101" s="18" t="s">
        <v>231</v>
      </c>
    </row>
    <row r="102" ht="15" customHeight="1">
      <c r="A102" s="29" t="s">
        <v>199</v>
      </c>
      <c r="B102" s="74">
        <v>252</v>
      </c>
      <c r="C102" s="74">
        <v>263</v>
      </c>
      <c r="D102" s="62">
        <f t="shared" si="57"/>
        <v>971</v>
      </c>
      <c r="E102" s="74">
        <v>273</v>
      </c>
      <c r="F102" s="74">
        <v>307</v>
      </c>
      <c r="G102" s="63">
        <f>G91-G100-G101</f>
        <v>290.01206</v>
      </c>
      <c r="H102" s="3"/>
    </row>
    <row r="103" ht="15" customHeight="1">
      <c r="A103" s="58" t="s">
        <v>69</v>
      </c>
      <c r="B103" s="49">
        <v>207</v>
      </c>
      <c r="C103" s="49">
        <v>241</v>
      </c>
      <c r="D103" s="49">
        <v>843</v>
      </c>
      <c r="E103" s="49">
        <v>215</v>
      </c>
      <c r="F103" s="49">
        <v>241</v>
      </c>
      <c r="G103" s="60">
        <f t="shared" si="50"/>
        <v>252</v>
      </c>
      <c r="H103" s="3"/>
    </row>
    <row r="104" ht="15" customHeight="1">
      <c r="A104" s="58" t="s">
        <v>71</v>
      </c>
      <c r="B104" s="27">
        <f t="shared" si="58" ref="B104:G104">B102-B103</f>
        <v>45</v>
      </c>
      <c r="C104" s="27">
        <f t="shared" si="58"/>
        <v>22</v>
      </c>
      <c r="D104" s="27">
        <f t="shared" si="58"/>
        <v>128</v>
      </c>
      <c r="E104" s="27">
        <f t="shared" si="58"/>
        <v>58</v>
      </c>
      <c r="F104" s="27">
        <f t="shared" si="58"/>
        <v>66</v>
      </c>
      <c r="G104" s="60">
        <f t="shared" si="58"/>
        <v>38.01206000000002</v>
      </c>
      <c r="H104" s="3"/>
    </row>
    <row r="105" ht="15" customHeight="1">
      <c r="A105" s="58" t="s">
        <v>73</v>
      </c>
      <c r="B105" s="27">
        <f>B102-F103</f>
        <v>11</v>
      </c>
      <c r="C105" s="27">
        <f t="shared" si="59" ref="C105:G105">C102-B102</f>
        <v>11</v>
      </c>
      <c r="D105" s="27"/>
      <c r="E105" s="27">
        <f>E102-C102</f>
        <v>10</v>
      </c>
      <c r="F105" s="27">
        <f t="shared" si="59"/>
        <v>34</v>
      </c>
      <c r="G105" s="60">
        <f t="shared" si="59"/>
        <v>-16.98793999999998</v>
      </c>
      <c r="H105" s="3"/>
    </row>
    <row r="106" ht="15" customHeight="1">
      <c r="A106" s="45" t="s">
        <v>200</v>
      </c>
      <c r="B106" s="37">
        <f t="shared" si="60" ref="B106:G106">B102/B41</f>
        <v>0.31778058007566207</v>
      </c>
      <c r="C106" s="37">
        <f t="shared" si="60"/>
        <v>0.31235154394299286</v>
      </c>
      <c r="D106" s="37">
        <f t="shared" si="60"/>
        <v>0.3101245608431811</v>
      </c>
      <c r="E106" s="37">
        <f t="shared" si="60"/>
        <v>0.3269461077844311</v>
      </c>
      <c r="F106" s="37">
        <f t="shared" si="60"/>
        <v>0.327991452991453</v>
      </c>
      <c r="G106" s="59">
        <f t="shared" si="60"/>
        <v>0.32266225342397176</v>
      </c>
      <c r="H106" s="3"/>
    </row>
    <row r="107" ht="15" customHeight="1">
      <c r="A107" s="45" t="s">
        <v>100</v>
      </c>
      <c r="B107" s="36">
        <f t="shared" si="61" ref="B107:G107">(B102/B41-B103/B42)*10000</f>
        <v>353.7948867047791</v>
      </c>
      <c r="C107" s="36">
        <f t="shared" si="61"/>
        <v>69.01607314349023</v>
      </c>
      <c r="D107" s="36">
        <f t="shared" si="61"/>
        <v>213.27027441331137</v>
      </c>
      <c r="E107" s="36">
        <f t="shared" si="61"/>
        <v>237.02102142682202</v>
      </c>
      <c r="F107" s="36">
        <f t="shared" si="61"/>
        <v>217.65277642024793</v>
      </c>
      <c r="G107" s="67">
        <f t="shared" si="61"/>
        <v>48.8167334830969</v>
      </c>
      <c r="H107" s="3"/>
    </row>
    <row r="108" ht="15" customHeight="1">
      <c r="A108" s="45" t="s">
        <v>101</v>
      </c>
      <c r="B108" s="36">
        <f>(B102/B41-F103/F42)*10000</f>
        <v>115.5440472623387</v>
      </c>
      <c r="C108" s="36">
        <f t="shared" si="62" ref="C108:G108">(C102/C41-B102/B41)*10000</f>
        <v>-54.29036132669207</v>
      </c>
      <c r="D108" s="36"/>
      <c r="E108" s="36">
        <f>(E102/E41-C102/C41)*10000</f>
        <v>145.94563841438259</v>
      </c>
      <c r="F108" s="36">
        <f t="shared" si="62"/>
        <v>10.453452070218749</v>
      </c>
      <c r="G108" s="67">
        <f t="shared" si="62"/>
        <v>-53.291995674812355</v>
      </c>
      <c r="H108" s="3"/>
    </row>
    <row r="109" ht="23.25" customHeight="1">
      <c r="A109" s="45" t="s">
        <v>201</v>
      </c>
      <c r="B109" s="47">
        <f t="shared" si="63" ref="B109:F109">B102+B100+B101-B91</f>
        <v>0</v>
      </c>
      <c r="C109" s="47">
        <f t="shared" si="63"/>
        <v>0</v>
      </c>
      <c r="D109" s="47">
        <f t="shared" si="63"/>
        <v>0</v>
      </c>
      <c r="E109" s="47">
        <f t="shared" si="63"/>
        <v>0</v>
      </c>
      <c r="F109" s="47">
        <f t="shared" si="63"/>
        <v>0</v>
      </c>
      <c r="G109" s="64"/>
      <c r="H109" s="3"/>
    </row>
    <row r="110" ht="15" customHeight="1">
      <c r="A110" s="29" t="s">
        <v>202</v>
      </c>
      <c r="B110" s="74">
        <v>123</v>
      </c>
      <c r="C110" s="74">
        <v>118</v>
      </c>
      <c r="D110" s="62">
        <f t="shared" si="57"/>
        <v>464</v>
      </c>
      <c r="E110" s="74">
        <v>138</v>
      </c>
      <c r="F110" s="74">
        <v>166</v>
      </c>
      <c r="G110" s="63">
        <f>G41*G116</f>
        <v>155.49412999999998</v>
      </c>
      <c r="H110" s="3"/>
    </row>
    <row r="111" ht="15" customHeight="1">
      <c r="A111" s="58" t="s">
        <v>69</v>
      </c>
      <c r="B111" s="49">
        <v>93</v>
      </c>
      <c r="C111" s="49">
        <v>130</v>
      </c>
      <c r="D111" s="49">
        <v>400</v>
      </c>
      <c r="E111" s="49">
        <v>103</v>
      </c>
      <c r="F111" s="49">
        <v>120</v>
      </c>
      <c r="G111" s="60">
        <f t="shared" si="50"/>
        <v>123</v>
      </c>
      <c r="H111" s="3"/>
    </row>
    <row r="112" ht="15" customHeight="1">
      <c r="A112" s="45" t="s">
        <v>70</v>
      </c>
      <c r="B112" s="37">
        <f t="shared" si="51"/>
        <v>0.32258064516129026</v>
      </c>
      <c r="C112" s="37">
        <f t="shared" si="51"/>
        <v>-0.09230769230769231</v>
      </c>
      <c r="D112" s="37">
        <f t="shared" si="51"/>
        <v>0.15999999999999992</v>
      </c>
      <c r="E112" s="37">
        <f t="shared" si="51"/>
        <v>0.3398058252427185</v>
      </c>
      <c r="F112" s="37">
        <f t="shared" si="51"/>
        <v>0.3833333333333333</v>
      </c>
      <c r="G112" s="59">
        <f t="shared" si="51"/>
        <v>0.2641799186991869</v>
      </c>
      <c r="H112" s="3"/>
    </row>
    <row r="113" ht="15" customHeight="1">
      <c r="A113" s="58" t="s">
        <v>71</v>
      </c>
      <c r="B113" s="27">
        <f t="shared" si="52"/>
        <v>30</v>
      </c>
      <c r="C113" s="27">
        <f t="shared" si="52"/>
        <v>-12</v>
      </c>
      <c r="D113" s="27">
        <f t="shared" si="52"/>
        <v>64</v>
      </c>
      <c r="E113" s="27">
        <f t="shared" si="52"/>
        <v>35</v>
      </c>
      <c r="F113" s="27">
        <f t="shared" si="52"/>
        <v>46</v>
      </c>
      <c r="G113" s="60">
        <f t="shared" si="52"/>
        <v>32.494129999999984</v>
      </c>
      <c r="H113" s="3"/>
    </row>
    <row r="114" ht="15" customHeight="1">
      <c r="A114" s="58" t="s">
        <v>73</v>
      </c>
      <c r="B114" s="27">
        <f t="shared" si="64"/>
        <v>3</v>
      </c>
      <c r="C114" s="27">
        <f t="shared" si="53"/>
        <v>-5</v>
      </c>
      <c r="D114" s="27"/>
      <c r="E114" s="27">
        <f t="shared" si="65"/>
        <v>20</v>
      </c>
      <c r="F114" s="27">
        <f t="shared" si="53"/>
        <v>28</v>
      </c>
      <c r="G114" s="60">
        <f t="shared" si="53"/>
        <v>-10.505870000000016</v>
      </c>
      <c r="H114" s="3"/>
    </row>
    <row r="115" ht="15" customHeight="1">
      <c r="A115" s="45" t="s">
        <v>48</v>
      </c>
      <c r="B115" s="37">
        <f t="shared" si="66" ref="B115:G115">B110/B41</f>
        <v>0.15510718789407313</v>
      </c>
      <c r="C115" s="37">
        <f t="shared" si="66"/>
        <v>0.14014251781472684</v>
      </c>
      <c r="D115" s="37">
        <f t="shared" si="66"/>
        <v>0.1481954647077611</v>
      </c>
      <c r="E115" s="37">
        <f t="shared" si="66"/>
        <v>0.16526946107784432</v>
      </c>
      <c r="F115" s="37">
        <f t="shared" si="66"/>
        <v>0.17735042735042736</v>
      </c>
      <c r="G115" s="59">
        <f t="shared" si="66"/>
        <v>0.173</v>
      </c>
      <c r="H115" s="3"/>
    </row>
    <row r="116" ht="15" customHeight="1">
      <c r="A116" s="68" t="s">
        <v>203</v>
      </c>
      <c r="B116" s="37"/>
      <c r="C116" s="37"/>
      <c r="D116" s="37"/>
      <c r="E116" s="37"/>
      <c r="F116" s="37"/>
      <c r="G116" s="69">
        <v>0.173</v>
      </c>
      <c r="H116" s="18" t="s">
        <v>232</v>
      </c>
    </row>
    <row r="117" ht="15" customHeight="1">
      <c r="A117" s="45" t="s">
        <v>100</v>
      </c>
      <c r="B117" s="36">
        <f t="shared" si="67" ref="B117:G117">(B110/B41-B111/B42)*10000</f>
        <v>282.31335233772995</v>
      </c>
      <c r="C117" s="36">
        <f t="shared" si="67"/>
        <v>-246.23008167529187</v>
      </c>
      <c r="D117" s="36">
        <f t="shared" si="67"/>
        <v>111.62234149350692</v>
      </c>
      <c r="E117" s="36">
        <f t="shared" si="67"/>
        <v>199.94425816913437</v>
      </c>
      <c r="F117" s="36">
        <f t="shared" si="67"/>
        <v>248.72663690961028</v>
      </c>
      <c r="G117" s="67">
        <f t="shared" si="67"/>
        <v>178.9281210592686</v>
      </c>
      <c r="H117" s="3"/>
    </row>
    <row r="118" ht="15" customHeight="1">
      <c r="A118" s="45" t="s">
        <v>101</v>
      </c>
      <c r="B118" s="36">
        <f>(B110/B41-F111/F42)*10000</f>
        <v>26.294242346067975</v>
      </c>
      <c r="C118" s="36">
        <f t="shared" si="68" ref="C118:G118">(C110/C41-B110/B41)*10000</f>
        <v>-149.64670079346294</v>
      </c>
      <c r="D118" s="36"/>
      <c r="E118" s="36">
        <f>(E110/E41-C110/C41)*10000</f>
        <v>251.26943263117485</v>
      </c>
      <c r="F118" s="36">
        <f t="shared" si="68"/>
        <v>120.80966272583038</v>
      </c>
      <c r="G118" s="67">
        <f t="shared" si="68"/>
        <v>-43.50427350427372</v>
      </c>
      <c r="H118" s="3"/>
    </row>
    <row r="119" ht="15" customHeight="1">
      <c r="A119" s="58" t="s">
        <v>205</v>
      </c>
      <c r="B119" s="27">
        <f t="shared" si="69" ref="B119:G119">B110-B91</f>
        <v>-130</v>
      </c>
      <c r="C119" s="27">
        <f t="shared" si="69"/>
        <v>-148</v>
      </c>
      <c r="D119" s="27">
        <f t="shared" si="69"/>
        <v>-513</v>
      </c>
      <c r="E119" s="27">
        <f t="shared" si="69"/>
        <v>-139</v>
      </c>
      <c r="F119" s="27">
        <f t="shared" si="69"/>
        <v>-146</v>
      </c>
      <c r="G119" s="60">
        <f t="shared" si="69"/>
        <v>-137.51793000000004</v>
      </c>
      <c r="H119" s="3"/>
    </row>
    <row r="120" ht="15" customHeight="1">
      <c r="A120" s="45" t="s">
        <v>206</v>
      </c>
      <c r="B120" s="37">
        <f t="shared" si="70" ref="B120:G120">-B119/B41</f>
        <v>0.16393442622950818</v>
      </c>
      <c r="C120" s="37">
        <f t="shared" si="70"/>
        <v>0.17577197149643706</v>
      </c>
      <c r="D120" s="37">
        <f t="shared" si="70"/>
        <v>0.1638454167997445</v>
      </c>
      <c r="E120" s="37">
        <f t="shared" si="70"/>
        <v>0.1664670658682635</v>
      </c>
      <c r="F120" s="37">
        <f t="shared" si="70"/>
        <v>0.15598290598290598</v>
      </c>
      <c r="G120" s="59">
        <f t="shared" si="70"/>
        <v>0.15300000000000005</v>
      </c>
      <c r="H120" s="3"/>
    </row>
    <row r="121" ht="15" customHeight="1">
      <c r="A121" s="45" t="s">
        <v>100</v>
      </c>
      <c r="B121" s="36">
        <f t="shared" si="71" ref="B121:G121">(B120-(B92-B111)/B42)*10000</f>
        <v>15.87905083532737</v>
      </c>
      <c r="C121" s="36">
        <f t="shared" si="71"/>
        <v>224.13289620644926</v>
      </c>
      <c r="D121" s="36">
        <f t="shared" si="71"/>
        <v>55.7203550478047</v>
      </c>
      <c r="E121" s="36">
        <f t="shared" si="71"/>
        <v>70.87658251902413</v>
      </c>
      <c r="F121" s="36">
        <f t="shared" si="71"/>
        <v>9.638462624485534</v>
      </c>
      <c r="G121" s="67">
        <f t="shared" si="71"/>
        <v>-109.34426229508132</v>
      </c>
      <c r="H121" s="3"/>
    </row>
    <row r="122" ht="15" customHeight="1">
      <c r="A122" s="45" t="s">
        <v>101</v>
      </c>
      <c r="B122" s="36">
        <f>(B120-(F92-F111)/F42)*10000</f>
        <v>89.15366509050754</v>
      </c>
      <c r="C122" s="36">
        <f t="shared" si="46"/>
        <v>118.37545266928873</v>
      </c>
      <c r="D122" s="36"/>
      <c r="E122" s="36">
        <f t="shared" si="72"/>
        <v>-93.04905628173572</v>
      </c>
      <c r="F122" s="36">
        <f t="shared" si="46"/>
        <v>-104.84159885357502</v>
      </c>
      <c r="G122" s="67">
        <f t="shared" si="46"/>
        <v>-29.82905982905931</v>
      </c>
      <c r="H122" s="3"/>
    </row>
    <row r="123" ht="27" customHeight="1">
      <c r="A123" s="58" t="s">
        <v>207</v>
      </c>
      <c r="B123" s="49">
        <v>3</v>
      </c>
      <c r="C123" s="49">
        <v>4</v>
      </c>
      <c r="D123" s="49">
        <v>18</v>
      </c>
      <c r="E123" s="49">
        <v>3</v>
      </c>
      <c r="F123" s="49">
        <v>0</v>
      </c>
      <c r="G123" s="73">
        <v>2</v>
      </c>
      <c r="H123" s="18" t="s">
        <v>208</v>
      </c>
    </row>
    <row r="124" ht="27" customHeight="1">
      <c r="A124" s="58" t="s">
        <v>209</v>
      </c>
      <c r="B124" s="27">
        <f t="shared" si="73" ref="B124:G124">B101</f>
        <v>0</v>
      </c>
      <c r="C124" s="27">
        <f t="shared" si="73"/>
        <v>0</v>
      </c>
      <c r="D124" s="27">
        <f t="shared" si="73"/>
        <v>0</v>
      </c>
      <c r="E124" s="27">
        <f t="shared" si="73"/>
        <v>3</v>
      </c>
      <c r="F124" s="27">
        <f t="shared" si="73"/>
        <v>5</v>
      </c>
      <c r="G124" s="60">
        <f t="shared" si="73"/>
        <v>2</v>
      </c>
      <c r="H124" s="3"/>
    </row>
    <row r="125" ht="15" customHeight="1">
      <c r="A125" s="58" t="s">
        <v>210</v>
      </c>
      <c r="B125" s="49">
        <v>0</v>
      </c>
      <c r="C125" s="49">
        <v>0</v>
      </c>
      <c r="D125" s="49">
        <v>0</v>
      </c>
      <c r="E125" s="49">
        <v>0</v>
      </c>
      <c r="F125" s="49">
        <v>0</v>
      </c>
      <c r="G125" s="73">
        <v>0</v>
      </c>
      <c r="H125" s="3"/>
    </row>
    <row r="126" ht="15" customHeight="1">
      <c r="A126" s="58" t="s">
        <v>211</v>
      </c>
      <c r="B126" s="49">
        <v>5</v>
      </c>
      <c r="C126" s="49">
        <v>6</v>
      </c>
      <c r="D126" s="49">
        <v>24</v>
      </c>
      <c r="E126" s="49">
        <v>11</v>
      </c>
      <c r="F126" s="49">
        <v>15</v>
      </c>
      <c r="G126" s="73">
        <v>16</v>
      </c>
      <c r="H126" s="18" t="s">
        <v>233</v>
      </c>
    </row>
    <row r="127" ht="15" customHeight="1">
      <c r="A127" s="78" t="s">
        <v>213</v>
      </c>
      <c r="B127" s="62">
        <f t="shared" si="74" ref="B127:G127">B123+B124+B125+B126</f>
        <v>8</v>
      </c>
      <c r="C127" s="62">
        <f t="shared" si="74"/>
        <v>10</v>
      </c>
      <c r="D127" s="62">
        <f t="shared" si="74"/>
        <v>42</v>
      </c>
      <c r="E127" s="62">
        <f t="shared" si="74"/>
        <v>17</v>
      </c>
      <c r="F127" s="62">
        <f t="shared" si="74"/>
        <v>20</v>
      </c>
      <c r="G127" s="63">
        <f t="shared" si="74"/>
        <v>20</v>
      </c>
      <c r="H127" s="3"/>
    </row>
    <row r="128" ht="15" customHeight="1">
      <c r="A128" s="29" t="s">
        <v>214</v>
      </c>
      <c r="B128" s="74">
        <v>115</v>
      </c>
      <c r="C128" s="74">
        <v>108</v>
      </c>
      <c r="D128" s="62">
        <f t="shared" si="57"/>
        <v>422</v>
      </c>
      <c r="E128" s="74">
        <v>121</v>
      </c>
      <c r="F128" s="74">
        <v>146</v>
      </c>
      <c r="G128" s="63">
        <f>G110-G127</f>
        <v>135.49412999999998</v>
      </c>
      <c r="H128" s="3"/>
    </row>
    <row r="129" ht="15" customHeight="1">
      <c r="A129" s="58" t="s">
        <v>69</v>
      </c>
      <c r="B129" s="49">
        <v>79</v>
      </c>
      <c r="C129" s="49">
        <v>103</v>
      </c>
      <c r="D129" s="49">
        <v>338</v>
      </c>
      <c r="E129" s="49">
        <v>90</v>
      </c>
      <c r="F129" s="49">
        <v>109</v>
      </c>
      <c r="G129" s="60">
        <f t="shared" si="50"/>
        <v>115</v>
      </c>
      <c r="H129" s="3"/>
    </row>
    <row r="130" ht="15" customHeight="1">
      <c r="A130" s="45" t="s">
        <v>70</v>
      </c>
      <c r="B130" s="37">
        <f t="shared" si="51"/>
        <v>0.45569620253164556</v>
      </c>
      <c r="C130" s="37">
        <f t="shared" si="51"/>
        <v>0.04854368932038833</v>
      </c>
      <c r="D130" s="37">
        <f t="shared" si="51"/>
        <v>0.24852071005917153</v>
      </c>
      <c r="E130" s="37">
        <f t="shared" si="51"/>
        <v>0.34444444444444455</v>
      </c>
      <c r="F130" s="37">
        <f t="shared" si="51"/>
        <v>0.33944954128440363</v>
      </c>
      <c r="G130" s="59">
        <f t="shared" si="51"/>
        <v>0.17820982608695646</v>
      </c>
      <c r="H130" s="3"/>
    </row>
    <row r="131" ht="15" customHeight="1">
      <c r="A131" s="58" t="s">
        <v>71</v>
      </c>
      <c r="B131" s="27">
        <f t="shared" si="52"/>
        <v>36</v>
      </c>
      <c r="C131" s="27">
        <f t="shared" si="52"/>
        <v>5</v>
      </c>
      <c r="D131" s="27">
        <f t="shared" si="52"/>
        <v>84</v>
      </c>
      <c r="E131" s="27">
        <f t="shared" si="52"/>
        <v>31</v>
      </c>
      <c r="F131" s="27">
        <f t="shared" si="52"/>
        <v>37</v>
      </c>
      <c r="G131" s="60">
        <f t="shared" si="52"/>
        <v>20.494129999999984</v>
      </c>
      <c r="H131" s="3"/>
    </row>
    <row r="132" ht="15" customHeight="1">
      <c r="A132" s="58" t="s">
        <v>73</v>
      </c>
      <c r="B132" s="27">
        <f t="shared" si="64"/>
        <v>6</v>
      </c>
      <c r="C132" s="27">
        <f t="shared" si="53"/>
        <v>-7</v>
      </c>
      <c r="D132" s="27"/>
      <c r="E132" s="27">
        <f t="shared" si="65"/>
        <v>13</v>
      </c>
      <c r="F132" s="27">
        <f t="shared" si="53"/>
        <v>25</v>
      </c>
      <c r="G132" s="60">
        <f t="shared" si="53"/>
        <v>-10.505870000000016</v>
      </c>
      <c r="H132" s="3"/>
    </row>
    <row r="133" ht="15" customHeight="1">
      <c r="A133" s="45" t="s">
        <v>215</v>
      </c>
      <c r="B133" s="37">
        <f t="shared" si="75" ref="B133:G133">B128/B41</f>
        <v>0.1450189155107188</v>
      </c>
      <c r="C133" s="37">
        <f t="shared" si="75"/>
        <v>0.12826603325415678</v>
      </c>
      <c r="D133" s="37">
        <f t="shared" si="75"/>
        <v>0.13478122005748963</v>
      </c>
      <c r="E133" s="37">
        <f t="shared" si="75"/>
        <v>0.14491017964071856</v>
      </c>
      <c r="F133" s="37">
        <f t="shared" si="75"/>
        <v>0.15598290598290598</v>
      </c>
      <c r="G133" s="59">
        <f t="shared" si="75"/>
        <v>0.1507483561598113</v>
      </c>
      <c r="H133" s="3"/>
    </row>
    <row r="134" ht="15" customHeight="1">
      <c r="A134" s="45" t="s">
        <v>100</v>
      </c>
      <c r="B134" s="36">
        <f t="shared" si="76" ref="B134:G134">(B128/B41-B129/B42)*10000</f>
        <v>372.42653573474604</v>
      </c>
      <c r="C134" s="36">
        <f t="shared" si="76"/>
        <v>-22.789604087075922</v>
      </c>
      <c r="D134" s="36">
        <f t="shared" si="76"/>
        <v>189.88140235632832</v>
      </c>
      <c r="E134" s="36">
        <f t="shared" si="76"/>
        <v>179.70828441846913</v>
      </c>
      <c r="F134" s="36">
        <f t="shared" si="76"/>
        <v>174.8227065889074</v>
      </c>
      <c r="G134" s="67">
        <f t="shared" si="76"/>
        <v>57.29440649092504</v>
      </c>
      <c r="H134" s="3"/>
    </row>
    <row r="135" ht="15" customHeight="1">
      <c r="A135" s="45" t="s">
        <v>101</v>
      </c>
      <c r="B135" s="36">
        <f>(B128/B41-F129/F42)*10000</f>
        <v>65.18280186703556</v>
      </c>
      <c r="C135" s="36">
        <f t="shared" si="77" ref="C135:G135">(C128/C41-B128/B41)*10000</f>
        <v>-167.52882256562017</v>
      </c>
      <c r="D135" s="36"/>
      <c r="E135" s="36">
        <f>(E128/E41-C128/C41)*10000</f>
        <v>166.4414638656178</v>
      </c>
      <c r="F135" s="36">
        <f t="shared" si="77"/>
        <v>110.72726342187423</v>
      </c>
      <c r="G135" s="67">
        <f t="shared" si="77"/>
        <v>-52.34549823094681</v>
      </c>
      <c r="H135" s="3"/>
    </row>
    <row r="136" ht="15" customHeight="1">
      <c r="A136" s="58" t="s">
        <v>216</v>
      </c>
      <c r="B136" s="27">
        <f t="shared" si="78" ref="B136:G136">B128-B102</f>
        <v>-137</v>
      </c>
      <c r="C136" s="27">
        <f t="shared" si="78"/>
        <v>-155</v>
      </c>
      <c r="D136" s="27">
        <f t="shared" si="78"/>
        <v>-549</v>
      </c>
      <c r="E136" s="27">
        <f t="shared" si="78"/>
        <v>-152</v>
      </c>
      <c r="F136" s="27">
        <f t="shared" si="78"/>
        <v>-161</v>
      </c>
      <c r="G136" s="60">
        <f t="shared" si="78"/>
        <v>-154.51793000000004</v>
      </c>
      <c r="H136" s="3"/>
    </row>
    <row r="137" ht="15" customHeight="1">
      <c r="A137" s="45" t="s">
        <v>206</v>
      </c>
      <c r="B137" s="37">
        <f t="shared" si="79" ref="B137:G137">-B136/B41</f>
        <v>0.17276166456494324</v>
      </c>
      <c r="C137" s="37">
        <f t="shared" si="79"/>
        <v>0.1840855106888361</v>
      </c>
      <c r="D137" s="37">
        <f t="shared" si="79"/>
        <v>0.17534334078569147</v>
      </c>
      <c r="E137" s="37">
        <f t="shared" si="79"/>
        <v>0.18203592814371258</v>
      </c>
      <c r="F137" s="37">
        <f t="shared" si="79"/>
        <v>0.172008547008547</v>
      </c>
      <c r="G137" s="59">
        <f t="shared" si="79"/>
        <v>0.17191389726416043</v>
      </c>
      <c r="H137" s="3"/>
    </row>
    <row r="138" ht="15" customHeight="1">
      <c r="A138" s="45" t="s">
        <v>100</v>
      </c>
      <c r="B138" s="36">
        <f t="shared" si="80" ref="B138:G138">(B137-(B103-B129)/B42)*10000</f>
        <v>-18.631649029967335</v>
      </c>
      <c r="C138" s="36">
        <f t="shared" si="80"/>
        <v>91.80567723056643</v>
      </c>
      <c r="D138" s="36">
        <f t="shared" si="80"/>
        <v>23.388872056983313</v>
      </c>
      <c r="E138" s="36">
        <f t="shared" si="80"/>
        <v>57.312737008352876</v>
      </c>
      <c r="F138" s="36">
        <f t="shared" si="80"/>
        <v>42.83006983134052</v>
      </c>
      <c r="G138" s="67">
        <f t="shared" si="80"/>
        <v>-8.477673007828146</v>
      </c>
      <c r="H138" s="3"/>
    </row>
    <row r="139" ht="15" customHeight="1">
      <c r="A139" s="45" t="s">
        <v>101</v>
      </c>
      <c r="B139" s="36">
        <f>(B137-(F103-F129)/F42)*10000</f>
        <v>50.361245395302845</v>
      </c>
      <c r="C139" s="36">
        <f t="shared" si="46"/>
        <v>113.23846123892866</v>
      </c>
      <c r="D139" s="36"/>
      <c r="E139" s="36">
        <f t="shared" si="72"/>
        <v>-20.495825451235238</v>
      </c>
      <c r="F139" s="36">
        <f t="shared" si="46"/>
        <v>-100.27381135165575</v>
      </c>
      <c r="G139" s="67">
        <f t="shared" si="46"/>
        <v>-0.9464974438658236</v>
      </c>
      <c r="H139" s="3"/>
    </row>
    <row r="140" ht="15" customHeight="1">
      <c r="A140" s="45" t="s">
        <v>217</v>
      </c>
      <c r="B140" s="47">
        <f t="shared" si="81" ref="B140:F140">B128+B127-B110</f>
        <v>0</v>
      </c>
      <c r="C140" s="47">
        <f t="shared" si="81"/>
        <v>0</v>
      </c>
      <c r="D140" s="47">
        <f t="shared" si="81"/>
        <v>0</v>
      </c>
      <c r="E140" s="47">
        <f t="shared" si="81"/>
        <v>0</v>
      </c>
      <c r="F140" s="47">
        <f t="shared" si="81"/>
        <v>0</v>
      </c>
      <c r="G140" s="64"/>
      <c r="H140" s="3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D853A3C-332C-B022-BFE5-6394E67853F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234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235</v>
      </c>
      <c r="B8" s="20"/>
      <c r="C8" s="20"/>
      <c r="D8" s="20"/>
      <c r="E8" s="20"/>
      <c r="F8" s="20"/>
      <c r="G8" s="56"/>
      <c r="H8" s="3"/>
    </row>
    <row r="9" ht="15" customHeight="1">
      <c r="A9" s="29" t="s">
        <v>39</v>
      </c>
      <c r="B9" s="70">
        <f>'Revenue summary'!B33</f>
        <v>2886</v>
      </c>
      <c r="C9" s="70">
        <f>'Revenue summary'!C33</f>
        <v>2965</v>
      </c>
      <c r="D9" s="70">
        <f>'Revenue summary'!D33</f>
        <v>11167</v>
      </c>
      <c r="E9" s="70">
        <f>'Revenue summary'!E33</f>
        <v>2950</v>
      </c>
      <c r="F9" s="70">
        <f>'Revenue summary'!F33</f>
        <v>3179</v>
      </c>
      <c r="G9" s="71">
        <f>'Revenue summary'!G33</f>
        <v>3160.465</v>
      </c>
      <c r="H9" s="18" t="s">
        <v>236</v>
      </c>
    </row>
    <row r="10" ht="15" customHeight="1">
      <c r="A10" s="58" t="s">
        <v>69</v>
      </c>
      <c r="B10" s="26">
        <f>'Revenue summary'!B34</f>
        <v>2663</v>
      </c>
      <c r="C10" s="26">
        <f>'Revenue summary'!C34</f>
        <v>2583</v>
      </c>
      <c r="D10" s="26">
        <f>'Revenue summary'!D34</f>
        <v>10387</v>
      </c>
      <c r="E10" s="26">
        <f>'Revenue summary'!E34</f>
        <v>2610</v>
      </c>
      <c r="F10" s="26">
        <f>'Revenue summary'!F34</f>
        <v>2706</v>
      </c>
      <c r="G10" s="57">
        <f>'Revenue summary'!G34</f>
        <v>2886</v>
      </c>
      <c r="H10" s="3"/>
    </row>
    <row r="11" ht="15" customHeight="1">
      <c r="A11" s="45" t="s">
        <v>70</v>
      </c>
      <c r="B11" s="37">
        <f t="shared" si="0" ref="B11:G165">B9/B10-1</f>
        <v>0.08374014269620722</v>
      </c>
      <c r="C11" s="37">
        <f t="shared" si="0"/>
        <v>0.14789005032907476</v>
      </c>
      <c r="D11" s="37">
        <f t="shared" si="0"/>
        <v>0.07509386733416767</v>
      </c>
      <c r="E11" s="37">
        <f t="shared" si="0"/>
        <v>0.13026819923371646</v>
      </c>
      <c r="F11" s="37">
        <f t="shared" si="0"/>
        <v>0.17479674796747968</v>
      </c>
      <c r="G11" s="59">
        <f t="shared" si="0"/>
        <v>0.0951022176022176</v>
      </c>
      <c r="H11" s="3"/>
    </row>
    <row r="12" ht="15" customHeight="1">
      <c r="A12" s="58" t="s">
        <v>71</v>
      </c>
      <c r="B12" s="27">
        <f t="shared" si="1" ref="B12:G166">B9-B10</f>
        <v>223</v>
      </c>
      <c r="C12" s="27">
        <f t="shared" si="1"/>
        <v>382</v>
      </c>
      <c r="D12" s="27">
        <f t="shared" si="1"/>
        <v>780</v>
      </c>
      <c r="E12" s="27">
        <f t="shared" si="1"/>
        <v>340</v>
      </c>
      <c r="F12" s="27">
        <f t="shared" si="1"/>
        <v>473</v>
      </c>
      <c r="G12" s="60">
        <f t="shared" si="1"/>
        <v>274.46500000000015</v>
      </c>
      <c r="H12" s="3"/>
    </row>
    <row r="13" ht="15" customHeight="1">
      <c r="A13" s="45" t="s">
        <v>72</v>
      </c>
      <c r="B13" s="37">
        <f t="shared" si="34" ref="B13:B103">B9/F10-1</f>
        <v>0.06651884700665178</v>
      </c>
      <c r="C13" s="37">
        <f t="shared" si="2" ref="C13:G103">C9/B9-1</f>
        <v>0.027373527373527384</v>
      </c>
      <c r="D13" s="37"/>
      <c r="E13" s="37">
        <f t="shared" si="35" ref="E13:E103">E9/C9-1</f>
        <v>-0.005059021922428353</v>
      </c>
      <c r="F13" s="37">
        <f t="shared" si="2"/>
        <v>0.0776271186440678</v>
      </c>
      <c r="G13" s="59">
        <f t="shared" si="2"/>
        <v>-0.005830449826989548</v>
      </c>
      <c r="H13" s="3"/>
    </row>
    <row r="14" ht="15" customHeight="1">
      <c r="A14" s="58" t="s">
        <v>73</v>
      </c>
      <c r="B14" s="27">
        <f t="shared" si="36" ref="B14:B104">B9-F10</f>
        <v>180</v>
      </c>
      <c r="C14" s="27">
        <f t="shared" si="3" ref="C14:G104">C9-B9</f>
        <v>79</v>
      </c>
      <c r="D14" s="27"/>
      <c r="E14" s="27">
        <f t="shared" si="37" ref="E14:E104">E9-C9</f>
        <v>-15</v>
      </c>
      <c r="F14" s="27">
        <f t="shared" si="3"/>
        <v>229</v>
      </c>
      <c r="G14" s="60">
        <f t="shared" si="3"/>
        <v>-18.534999999999854</v>
      </c>
      <c r="H14" s="3"/>
    </row>
    <row r="15" ht="15" customHeight="1">
      <c r="A15" s="22" t="s">
        <v>237</v>
      </c>
      <c r="B15" s="49">
        <v>-1884</v>
      </c>
      <c r="C15" s="49">
        <v>-1999</v>
      </c>
      <c r="D15" s="27">
        <f>D175+B15+C15</f>
        <v>-7361</v>
      </c>
      <c r="E15" s="49">
        <v>-1889</v>
      </c>
      <c r="F15" s="49">
        <v>-2018</v>
      </c>
      <c r="G15" s="60">
        <f>G16-G9</f>
        <v>-2016.54735</v>
      </c>
      <c r="H15" s="3"/>
    </row>
    <row r="16" ht="15" customHeight="1">
      <c r="A16" s="29" t="s">
        <v>238</v>
      </c>
      <c r="B16" s="70">
        <f>'Segment - Freight'!B134+'Segment - Transit'!B102</f>
        <v>1002</v>
      </c>
      <c r="C16" s="70">
        <f>'Segment - Freight'!C134+'Segment - Transit'!C102</f>
        <v>966</v>
      </c>
      <c r="D16" s="70">
        <f>'Segment - Freight'!D134+'Segment - Transit'!D102</f>
        <v>3806</v>
      </c>
      <c r="E16" s="70">
        <f>'Segment - Freight'!E134+'Segment - Transit'!E102</f>
        <v>1061</v>
      </c>
      <c r="F16" s="70">
        <f>'Segment - Freight'!F134+'Segment - Transit'!F102</f>
        <v>1161</v>
      </c>
      <c r="G16" s="71">
        <f>'Segment - Freight'!G134+'Segment - Transit'!G102</f>
        <v>1143.91765</v>
      </c>
      <c r="H16" s="18" t="s">
        <v>239</v>
      </c>
    </row>
    <row r="17" ht="15" customHeight="1">
      <c r="A17" s="58" t="s">
        <v>69</v>
      </c>
      <c r="B17" s="26">
        <f>'Segment - Freight'!B135+'Segment - Transit'!B103</f>
        <v>880</v>
      </c>
      <c r="C17" s="26">
        <f>'Segment - Freight'!C135+'Segment - Transit'!C103</f>
        <v>797</v>
      </c>
      <c r="D17" s="26">
        <f>'Segment - Freight'!D135+'Segment - Transit'!D103</f>
        <v>3366</v>
      </c>
      <c r="E17" s="26">
        <f>'Segment - Freight'!E135+'Segment - Transit'!E103</f>
        <v>900</v>
      </c>
      <c r="F17" s="26">
        <f>'Segment - Freight'!F135+'Segment - Transit'!F103</f>
        <v>938</v>
      </c>
      <c r="G17" s="57">
        <f>'Segment - Freight'!G135+'Segment - Transit'!G103</f>
        <v>1002</v>
      </c>
      <c r="H17" s="3"/>
    </row>
    <row r="18" ht="15" customHeight="1">
      <c r="A18" s="45" t="s">
        <v>70</v>
      </c>
      <c r="B18" s="37">
        <f t="shared" si="0"/>
        <v>0.13863636363636367</v>
      </c>
      <c r="C18" s="37">
        <f t="shared" si="0"/>
        <v>0.21204516938519458</v>
      </c>
      <c r="D18" s="37">
        <f t="shared" si="0"/>
        <v>0.130718954248366</v>
      </c>
      <c r="E18" s="37">
        <f t="shared" si="0"/>
        <v>0.17888888888888888</v>
      </c>
      <c r="F18" s="37">
        <f t="shared" si="0"/>
        <v>0.23773987206823022</v>
      </c>
      <c r="G18" s="59">
        <f t="shared" si="0"/>
        <v>0.14163438123752514</v>
      </c>
      <c r="H18" s="3"/>
    </row>
    <row r="19" ht="15" customHeight="1">
      <c r="A19" s="58" t="s">
        <v>71</v>
      </c>
      <c r="B19" s="27">
        <f t="shared" si="1"/>
        <v>122</v>
      </c>
      <c r="C19" s="27">
        <f t="shared" si="1"/>
        <v>169</v>
      </c>
      <c r="D19" s="27">
        <f t="shared" si="1"/>
        <v>440</v>
      </c>
      <c r="E19" s="27">
        <f t="shared" si="1"/>
        <v>161</v>
      </c>
      <c r="F19" s="27">
        <f t="shared" si="1"/>
        <v>223</v>
      </c>
      <c r="G19" s="60">
        <f t="shared" si="1"/>
        <v>141.9176500000001</v>
      </c>
      <c r="H19" s="3"/>
    </row>
    <row r="20" ht="15" customHeight="1">
      <c r="A20" s="58" t="s">
        <v>73</v>
      </c>
      <c r="B20" s="27">
        <f t="shared" si="15" ref="B20:B167">B16-F17</f>
        <v>64</v>
      </c>
      <c r="C20" s="27">
        <f t="shared" si="4" ref="C20:G167">C16-B16</f>
        <v>-36</v>
      </c>
      <c r="D20" s="27"/>
      <c r="E20" s="27">
        <f t="shared" si="16" ref="E20:E167">E16-C16</f>
        <v>95</v>
      </c>
      <c r="F20" s="27">
        <f t="shared" si="4"/>
        <v>100</v>
      </c>
      <c r="G20" s="60">
        <f t="shared" si="4"/>
        <v>-17.082349999999906</v>
      </c>
      <c r="H20" s="3"/>
    </row>
    <row r="21" ht="15" customHeight="1">
      <c r="A21" s="45" t="s">
        <v>240</v>
      </c>
      <c r="B21" s="37">
        <f t="shared" si="5" ref="B21:G21">B16/B9</f>
        <v>0.3471933471933472</v>
      </c>
      <c r="C21" s="37">
        <f t="shared" si="5"/>
        <v>0.3258010118043845</v>
      </c>
      <c r="D21" s="37">
        <f t="shared" si="5"/>
        <v>0.3408256469956121</v>
      </c>
      <c r="E21" s="37">
        <f t="shared" si="5"/>
        <v>0.35966101694915253</v>
      </c>
      <c r="F21" s="37">
        <f t="shared" si="5"/>
        <v>0.3652091852783894</v>
      </c>
      <c r="G21" s="59">
        <f t="shared" si="5"/>
        <v>0.361945995288668</v>
      </c>
      <c r="H21" s="3"/>
    </row>
    <row r="22" ht="15" customHeight="1">
      <c r="A22" s="45" t="s">
        <v>100</v>
      </c>
      <c r="B22" s="36">
        <f t="shared" si="6" ref="B22:G22">(B16/B9-B17/B10)*10000</f>
        <v>167.38972428044895</v>
      </c>
      <c r="C22" s="36">
        <f t="shared" si="6"/>
        <v>172.4506910210033</v>
      </c>
      <c r="D22" s="36">
        <f t="shared" si="6"/>
        <v>167.66727192011444</v>
      </c>
      <c r="E22" s="36">
        <f t="shared" si="6"/>
        <v>148.3343074225596</v>
      </c>
      <c r="F22" s="36">
        <f t="shared" si="6"/>
        <v>185.72082543725722</v>
      </c>
      <c r="G22" s="67">
        <f t="shared" si="6"/>
        <v>147.52648095320785</v>
      </c>
      <c r="H22" s="3"/>
    </row>
    <row r="23" ht="15" customHeight="1">
      <c r="A23" s="45" t="s">
        <v>101</v>
      </c>
      <c r="B23" s="36">
        <f>(B16/B9-F17/F10)*10000</f>
        <v>5.562444586835191</v>
      </c>
      <c r="C23" s="36">
        <f t="shared" si="7" ref="C23:G23">(C16/C9-B16/B9)*10000</f>
        <v>-213.92335388962735</v>
      </c>
      <c r="D23" s="36"/>
      <c r="E23" s="36">
        <f>(E16/E9-C16/C9)*10000</f>
        <v>338.6000514476806</v>
      </c>
      <c r="F23" s="36">
        <f t="shared" si="7"/>
        <v>55.4816832923688</v>
      </c>
      <c r="G23" s="67">
        <f t="shared" si="7"/>
        <v>-32.631899897214154</v>
      </c>
      <c r="H23" s="3"/>
    </row>
    <row r="24" ht="15" customHeight="1">
      <c r="A24" s="45" t="s">
        <v>241</v>
      </c>
      <c r="B24" s="47">
        <f t="shared" si="8" ref="B24:G24">B9+B15-B16</f>
        <v>0</v>
      </c>
      <c r="C24" s="47">
        <f t="shared" si="8"/>
        <v>0</v>
      </c>
      <c r="D24" s="47">
        <f t="shared" si="8"/>
        <v>0</v>
      </c>
      <c r="E24" s="47">
        <f t="shared" si="8"/>
        <v>0</v>
      </c>
      <c r="F24" s="47">
        <f t="shared" si="8"/>
        <v>0</v>
      </c>
      <c r="G24" s="64">
        <f t="shared" si="8"/>
        <v>0</v>
      </c>
      <c r="H24" s="3"/>
    </row>
    <row r="25" ht="15" customHeight="1">
      <c r="A25" s="22" t="s">
        <v>242</v>
      </c>
      <c r="B25" s="49">
        <v>-375</v>
      </c>
      <c r="C25" s="49">
        <v>-461</v>
      </c>
      <c r="D25" s="27">
        <f t="shared" si="9" ref="D25:D27">D176+B25+C25</f>
        <v>-1490</v>
      </c>
      <c r="E25" s="49">
        <v>-401</v>
      </c>
      <c r="F25" s="49">
        <v>-400</v>
      </c>
      <c r="G25" s="60">
        <f>G32-G16-G26-G27</f>
        <v>-399.701495</v>
      </c>
      <c r="H25" s="18" t="s">
        <v>243</v>
      </c>
    </row>
    <row r="26" ht="15" customHeight="1">
      <c r="A26" s="22" t="s">
        <v>244</v>
      </c>
      <c r="B26" s="49">
        <v>-59</v>
      </c>
      <c r="C26" s="49">
        <v>-68</v>
      </c>
      <c r="D26" s="27">
        <f t="shared" si="9"/>
        <v>-223</v>
      </c>
      <c r="E26" s="49">
        <v>-56</v>
      </c>
      <c r="F26" s="49">
        <v>-70</v>
      </c>
      <c r="G26" s="73">
        <v>-65</v>
      </c>
      <c r="H26" s="18" t="s">
        <v>245</v>
      </c>
    </row>
    <row r="27" ht="15" customHeight="1">
      <c r="A27" s="22" t="s">
        <v>246</v>
      </c>
      <c r="B27" s="49">
        <v>-77</v>
      </c>
      <c r="C27" s="49">
        <v>-81</v>
      </c>
      <c r="D27" s="27">
        <f t="shared" si="9"/>
        <v>-300</v>
      </c>
      <c r="E27" s="49">
        <v>-87</v>
      </c>
      <c r="F27" s="49">
        <v>-91</v>
      </c>
      <c r="G27" s="57">
        <f>-'Segment - Freight'!G158-'Segment - Transit'!G126</f>
        <v>-92</v>
      </c>
      <c r="H27" s="3"/>
    </row>
    <row r="28" ht="15" customHeight="1">
      <c r="A28" s="29" t="s">
        <v>247</v>
      </c>
      <c r="B28" s="62">
        <f t="shared" si="10" ref="B28:G28">B25+B26+B27</f>
        <v>-511</v>
      </c>
      <c r="C28" s="62">
        <f t="shared" si="10"/>
        <v>-610</v>
      </c>
      <c r="D28" s="62">
        <f t="shared" si="10"/>
        <v>-2013</v>
      </c>
      <c r="E28" s="62">
        <f t="shared" si="10"/>
        <v>-544</v>
      </c>
      <c r="F28" s="62">
        <f t="shared" si="10"/>
        <v>-561</v>
      </c>
      <c r="G28" s="63">
        <f t="shared" si="10"/>
        <v>-556.701495</v>
      </c>
      <c r="H28" s="3"/>
    </row>
    <row r="29" ht="15" customHeight="1">
      <c r="A29" s="45" t="s">
        <v>206</v>
      </c>
      <c r="B29" s="37">
        <f t="shared" si="11" ref="B29:G29">-B28/B9</f>
        <v>0.17706167706167705</v>
      </c>
      <c r="C29" s="37">
        <f t="shared" si="11"/>
        <v>0.2057335581787521</v>
      </c>
      <c r="D29" s="37">
        <f t="shared" si="11"/>
        <v>0.18026327572311274</v>
      </c>
      <c r="E29" s="37">
        <f t="shared" si="11"/>
        <v>0.18440677966101696</v>
      </c>
      <c r="F29" s="37">
        <f t="shared" si="11"/>
        <v>0.17647058823529413</v>
      </c>
      <c r="G29" s="59">
        <f t="shared" si="11"/>
        <v>0.1761454390414069</v>
      </c>
      <c r="H29" s="3"/>
    </row>
    <row r="30" ht="15" customHeight="1">
      <c r="A30" s="45" t="s">
        <v>100</v>
      </c>
      <c r="B30" s="36">
        <f t="shared" si="12" ref="B30:G30">(B29-(B17-B33)/B10)*10000</f>
        <v>92.05875334301922</v>
      </c>
      <c r="C30" s="36">
        <f t="shared" si="12"/>
        <v>264.84622832255775</v>
      </c>
      <c r="D30" s="36">
        <f t="shared" si="12"/>
        <v>111.09525843455481</v>
      </c>
      <c r="E30" s="36">
        <f t="shared" si="12"/>
        <v>211.88388856419243</v>
      </c>
      <c r="F30" s="36">
        <f t="shared" si="12"/>
        <v>42.60684318073138</v>
      </c>
      <c r="G30" s="67">
        <f t="shared" si="12"/>
        <v>-9.162380202701604</v>
      </c>
      <c r="H30" s="3"/>
    </row>
    <row r="31" ht="15" customHeight="1">
      <c r="A31" s="45" t="s">
        <v>101</v>
      </c>
      <c r="B31" s="36">
        <f>(B29-(F17-F33)/F10)*10000</f>
        <v>48.51773144456062</v>
      </c>
      <c r="C31" s="36">
        <f t="shared" si="13" ref="C31:G132">(C29-B29)*10000</f>
        <v>286.71881117075054</v>
      </c>
      <c r="D31" s="36"/>
      <c r="E31" s="36">
        <f t="shared" si="42" ref="E31:E132">(E29-C29)*10000</f>
        <v>-213.2677851773515</v>
      </c>
      <c r="F31" s="36">
        <f t="shared" si="13"/>
        <v>-79.36191425722828</v>
      </c>
      <c r="G31" s="67">
        <f t="shared" si="13"/>
        <v>-3.251491938872364</v>
      </c>
      <c r="H31" s="3"/>
    </row>
    <row r="32" ht="15" customHeight="1">
      <c r="A32" s="29" t="s">
        <v>248</v>
      </c>
      <c r="B32" s="62">
        <f t="shared" si="14" ref="B32:F32">B16+B28</f>
        <v>491</v>
      </c>
      <c r="C32" s="62">
        <f t="shared" si="14"/>
        <v>356</v>
      </c>
      <c r="D32" s="62">
        <f t="shared" si="14"/>
        <v>1793</v>
      </c>
      <c r="E32" s="62">
        <f t="shared" si="14"/>
        <v>517</v>
      </c>
      <c r="F32" s="62">
        <f t="shared" si="14"/>
        <v>600</v>
      </c>
      <c r="G32" s="71">
        <f>'Segment - Freight'!G160+'Segment - Transit'!G128+G149</f>
        <v>587.2161550000001</v>
      </c>
      <c r="H32" s="3"/>
    </row>
    <row r="33" ht="15" customHeight="1">
      <c r="A33" s="58" t="s">
        <v>69</v>
      </c>
      <c r="B33" s="49">
        <v>433</v>
      </c>
      <c r="C33" s="49">
        <v>334</v>
      </c>
      <c r="D33" s="49">
        <v>1609</v>
      </c>
      <c r="E33" s="49">
        <v>474</v>
      </c>
      <c r="F33" s="49">
        <v>472</v>
      </c>
      <c r="G33" s="60">
        <f t="shared" si="28" ref="G33:G164">B32</f>
        <v>491</v>
      </c>
      <c r="H33" s="3"/>
    </row>
    <row r="34" ht="15" customHeight="1">
      <c r="A34" s="45" t="s">
        <v>70</v>
      </c>
      <c r="B34" s="37">
        <f t="shared" si="0"/>
        <v>0.13394919168591235</v>
      </c>
      <c r="C34" s="37">
        <f t="shared" si="0"/>
        <v>0.06586826347305386</v>
      </c>
      <c r="D34" s="37">
        <f t="shared" si="0"/>
        <v>0.1143567433188315</v>
      </c>
      <c r="E34" s="37">
        <f t="shared" si="0"/>
        <v>0.09071729957805896</v>
      </c>
      <c r="F34" s="37">
        <f t="shared" si="0"/>
        <v>0.27118644067796605</v>
      </c>
      <c r="G34" s="59">
        <f t="shared" si="0"/>
        <v>0.19595958248472511</v>
      </c>
      <c r="H34" s="3"/>
    </row>
    <row r="35" ht="15" customHeight="1">
      <c r="A35" s="58" t="s">
        <v>71</v>
      </c>
      <c r="B35" s="27">
        <f t="shared" si="1"/>
        <v>58</v>
      </c>
      <c r="C35" s="27">
        <f t="shared" si="1"/>
        <v>22</v>
      </c>
      <c r="D35" s="27">
        <f t="shared" si="1"/>
        <v>184</v>
      </c>
      <c r="E35" s="27">
        <f t="shared" si="1"/>
        <v>43</v>
      </c>
      <c r="F35" s="27">
        <f t="shared" si="1"/>
        <v>128</v>
      </c>
      <c r="G35" s="60">
        <f t="shared" si="1"/>
        <v>96.21615500000007</v>
      </c>
      <c r="H35" s="3"/>
    </row>
    <row r="36" ht="15" customHeight="1">
      <c r="A36" s="58" t="s">
        <v>73</v>
      </c>
      <c r="B36" s="27">
        <f t="shared" si="15"/>
        <v>19</v>
      </c>
      <c r="C36" s="27">
        <f t="shared" si="4"/>
        <v>-135</v>
      </c>
      <c r="D36" s="27"/>
      <c r="E36" s="27">
        <f t="shared" si="16"/>
        <v>161</v>
      </c>
      <c r="F36" s="27">
        <f t="shared" si="4"/>
        <v>83</v>
      </c>
      <c r="G36" s="60">
        <f t="shared" si="4"/>
        <v>-12.783844999999928</v>
      </c>
      <c r="H36" s="3"/>
    </row>
    <row r="37" ht="15" customHeight="1">
      <c r="A37" s="45" t="s">
        <v>249</v>
      </c>
      <c r="B37" s="37">
        <f t="shared" si="17" ref="B37:G37">B32/B9</f>
        <v>0.17013167013167013</v>
      </c>
      <c r="C37" s="37">
        <f t="shared" si="17"/>
        <v>0.12006745362563238</v>
      </c>
      <c r="D37" s="37">
        <f t="shared" si="17"/>
        <v>0.16056237127249934</v>
      </c>
      <c r="E37" s="37">
        <f t="shared" si="17"/>
        <v>0.1752542372881356</v>
      </c>
      <c r="F37" s="37">
        <f t="shared" si="17"/>
        <v>0.1887385970430953</v>
      </c>
      <c r="G37" s="59">
        <f t="shared" si="17"/>
        <v>0.1858005562472611</v>
      </c>
      <c r="H37" s="3"/>
    </row>
    <row r="38" ht="15" customHeight="1">
      <c r="A38" s="45" t="s">
        <v>100</v>
      </c>
      <c r="B38" s="36">
        <f t="shared" si="18" ref="B38:G38">(B32/B9-B33/B10)*10000</f>
        <v>75.33097093742974</v>
      </c>
      <c r="C38" s="36">
        <f t="shared" si="18"/>
        <v>-92.39553730155461</v>
      </c>
      <c r="D38" s="36">
        <f t="shared" si="18"/>
        <v>56.572013485559346</v>
      </c>
      <c r="E38" s="36">
        <f t="shared" si="18"/>
        <v>-63.54958114163256</v>
      </c>
      <c r="F38" s="36">
        <f t="shared" si="18"/>
        <v>143.11398225652582</v>
      </c>
      <c r="G38" s="67">
        <f t="shared" si="18"/>
        <v>156.68886115590973</v>
      </c>
      <c r="H38" s="3"/>
    </row>
    <row r="39" ht="15" customHeight="1">
      <c r="A39" s="45" t="s">
        <v>101</v>
      </c>
      <c r="B39" s="36">
        <f>(B32/B9-F33/F10)*10000</f>
        <v>-42.95528685772598</v>
      </c>
      <c r="C39" s="36">
        <f t="shared" si="19" ref="C39:G39">(C32/C9-B32/B9)*10000</f>
        <v>-500.64216506037747</v>
      </c>
      <c r="D39" s="36"/>
      <c r="E39" s="36">
        <f>(E32/E9-C32/C9)*10000</f>
        <v>551.8678366250322</v>
      </c>
      <c r="F39" s="36">
        <f t="shared" si="19"/>
        <v>134.84359754959706</v>
      </c>
      <c r="G39" s="67">
        <f t="shared" si="19"/>
        <v>-29.38040795834207</v>
      </c>
      <c r="H39" s="3"/>
    </row>
    <row r="40" ht="15" customHeight="1">
      <c r="A40" s="58" t="s">
        <v>250</v>
      </c>
      <c r="B40" s="49">
        <v>491</v>
      </c>
      <c r="C40" s="49">
        <v>356</v>
      </c>
      <c r="D40" s="49">
        <v>1793</v>
      </c>
      <c r="E40" s="49">
        <v>517</v>
      </c>
      <c r="F40" s="49">
        <v>600</v>
      </c>
      <c r="G40" s="60"/>
      <c r="H40" s="3"/>
    </row>
    <row r="41" ht="15" customHeight="1">
      <c r="A41" s="45" t="s">
        <v>251</v>
      </c>
      <c r="B41" s="47">
        <f t="shared" si="20" ref="B41:F172">B32-B40</f>
        <v>0</v>
      </c>
      <c r="C41" s="47">
        <f t="shared" si="20"/>
        <v>0</v>
      </c>
      <c r="D41" s="47">
        <f t="shared" si="20"/>
        <v>0</v>
      </c>
      <c r="E41" s="47">
        <f t="shared" si="20"/>
        <v>0</v>
      </c>
      <c r="F41" s="47">
        <f t="shared" si="20"/>
        <v>0</v>
      </c>
      <c r="G41" s="64"/>
      <c r="H41" s="3"/>
    </row>
    <row r="42" ht="15" customHeight="1">
      <c r="A42" s="22" t="s">
        <v>252</v>
      </c>
      <c r="B42" s="49">
        <v>-65</v>
      </c>
      <c r="C42" s="49">
        <v>-68</v>
      </c>
      <c r="D42" s="27">
        <f t="shared" si="21" ref="D42:D43">D179+B42+C42</f>
        <v>-225</v>
      </c>
      <c r="E42" s="49">
        <v>-71</v>
      </c>
      <c r="F42" s="49">
        <v>-80</v>
      </c>
      <c r="G42" s="73">
        <v>-79</v>
      </c>
      <c r="H42" s="18" t="s">
        <v>253</v>
      </c>
    </row>
    <row r="43" ht="15" customHeight="1">
      <c r="A43" s="22" t="s">
        <v>254</v>
      </c>
      <c r="B43" s="49">
        <v>-1</v>
      </c>
      <c r="C43" s="49">
        <v>3</v>
      </c>
      <c r="D43" s="27">
        <f t="shared" si="21"/>
        <v>24</v>
      </c>
      <c r="E43" s="49">
        <v>23</v>
      </c>
      <c r="F43" s="49">
        <v>-2</v>
      </c>
      <c r="G43" s="73">
        <v>3</v>
      </c>
      <c r="H43" s="18" t="s">
        <v>255</v>
      </c>
    </row>
    <row r="44" ht="15" customHeight="1">
      <c r="A44" s="29" t="s">
        <v>256</v>
      </c>
      <c r="B44" s="62">
        <f t="shared" si="22" ref="B44:G44">B32+B42+B43</f>
        <v>425</v>
      </c>
      <c r="C44" s="62">
        <f t="shared" si="22"/>
        <v>291</v>
      </c>
      <c r="D44" s="62">
        <f t="shared" si="22"/>
        <v>1592</v>
      </c>
      <c r="E44" s="62">
        <f t="shared" si="22"/>
        <v>469</v>
      </c>
      <c r="F44" s="62">
        <f t="shared" si="22"/>
        <v>518</v>
      </c>
      <c r="G44" s="63">
        <f t="shared" si="22"/>
        <v>511.2161550000001</v>
      </c>
      <c r="H44" s="3"/>
    </row>
    <row r="45" ht="15" customHeight="1">
      <c r="A45" s="22" t="s">
        <v>257</v>
      </c>
      <c r="B45" s="49">
        <v>-112</v>
      </c>
      <c r="C45" s="49">
        <v>-87</v>
      </c>
      <c r="D45" s="27">
        <f>D181+B45+C45</f>
        <v>-409</v>
      </c>
      <c r="E45" s="49">
        <v>-106</v>
      </c>
      <c r="F45" s="49">
        <v>-122</v>
      </c>
      <c r="G45" s="60">
        <f>G135-G87</f>
        <v>-126.24795797500002</v>
      </c>
      <c r="H45" s="18" t="s">
        <v>258</v>
      </c>
    </row>
    <row r="46" ht="15" customHeight="1">
      <c r="A46" s="45" t="s">
        <v>259</v>
      </c>
      <c r="B46" s="37">
        <f t="shared" si="23" ref="B46:G136">-B45/B44</f>
        <v>0.2635294117647059</v>
      </c>
      <c r="C46" s="37">
        <f t="shared" si="23"/>
        <v>0.29896907216494845</v>
      </c>
      <c r="D46" s="37">
        <f t="shared" si="23"/>
        <v>0.25690954773869346</v>
      </c>
      <c r="E46" s="37">
        <f t="shared" si="23"/>
        <v>0.2260127931769723</v>
      </c>
      <c r="F46" s="37">
        <f t="shared" si="23"/>
        <v>0.23552123552123552</v>
      </c>
      <c r="G46" s="59">
        <f t="shared" si="23"/>
        <v>0.24695611971613066</v>
      </c>
      <c r="H46" s="3"/>
    </row>
    <row r="47" ht="15" customHeight="1">
      <c r="A47" s="66" t="s">
        <v>260</v>
      </c>
      <c r="B47" s="49">
        <v>-92</v>
      </c>
      <c r="C47" s="49">
        <v>-71</v>
      </c>
      <c r="D47" s="49">
        <v>-343</v>
      </c>
      <c r="E47" s="49">
        <v>-99</v>
      </c>
      <c r="F47" s="49">
        <v>-111</v>
      </c>
      <c r="G47" s="60">
        <f>B45</f>
        <v>-112</v>
      </c>
      <c r="H47" s="3"/>
    </row>
    <row r="48" ht="15" customHeight="1">
      <c r="A48" s="66" t="s">
        <v>261</v>
      </c>
      <c r="B48" s="49">
        <v>378</v>
      </c>
      <c r="C48" s="49">
        <v>284</v>
      </c>
      <c r="D48" s="49">
        <v>1410</v>
      </c>
      <c r="E48" s="49">
        <v>426</v>
      </c>
      <c r="F48" s="49">
        <v>450</v>
      </c>
      <c r="G48" s="60">
        <f>B44</f>
        <v>425</v>
      </c>
      <c r="H48" s="3"/>
    </row>
    <row r="49" ht="15" customHeight="1">
      <c r="A49" s="45" t="s">
        <v>100</v>
      </c>
      <c r="B49" s="36">
        <f t="shared" si="24" ref="B49:G49">(B46+B47/B48)*10000</f>
        <v>201.43168378462528</v>
      </c>
      <c r="C49" s="36">
        <f t="shared" si="24"/>
        <v>489.6907216494845</v>
      </c>
      <c r="D49" s="36">
        <f t="shared" si="24"/>
        <v>136.47136391175735</v>
      </c>
      <c r="E49" s="36">
        <f t="shared" si="24"/>
        <v>-63.81573020210807</v>
      </c>
      <c r="F49" s="36">
        <f t="shared" si="24"/>
        <v>-111.45431145431151</v>
      </c>
      <c r="G49" s="67">
        <f t="shared" si="24"/>
        <v>-165.73292048575243</v>
      </c>
      <c r="H49" s="3"/>
    </row>
    <row r="50" ht="15" customHeight="1">
      <c r="A50" s="45" t="s">
        <v>101</v>
      </c>
      <c r="B50" s="36">
        <f>(B46+F47/F48)*10000</f>
        <v>168.62745098039227</v>
      </c>
      <c r="C50" s="36">
        <f t="shared" si="25" ref="C50:G50">(C46-B46)*10000</f>
        <v>354.3966040024255</v>
      </c>
      <c r="D50" s="36"/>
      <c r="E50" s="36">
        <f>(E46-C46)*10000</f>
        <v>-729.5627898797616</v>
      </c>
      <c r="F50" s="36">
        <f t="shared" si="25"/>
        <v>95.08442344263234</v>
      </c>
      <c r="G50" s="67">
        <f t="shared" si="25"/>
        <v>114.34884194895135</v>
      </c>
      <c r="H50" s="3"/>
    </row>
    <row r="51" ht="15" customHeight="1">
      <c r="A51" s="29" t="s">
        <v>262</v>
      </c>
      <c r="B51" s="62">
        <f t="shared" si="26" ref="B51:G51">B44+B45</f>
        <v>313</v>
      </c>
      <c r="C51" s="62">
        <f t="shared" si="26"/>
        <v>204</v>
      </c>
      <c r="D51" s="62">
        <f t="shared" si="26"/>
        <v>1183</v>
      </c>
      <c r="E51" s="62">
        <f t="shared" si="26"/>
        <v>363</v>
      </c>
      <c r="F51" s="62">
        <f t="shared" si="26"/>
        <v>396</v>
      </c>
      <c r="G51" s="63">
        <f t="shared" si="26"/>
        <v>384.96819702500005</v>
      </c>
      <c r="H51" s="3"/>
    </row>
    <row r="52" ht="23.25" customHeight="1">
      <c r="A52" s="22" t="s">
        <v>263</v>
      </c>
      <c r="B52" s="49">
        <v>-3</v>
      </c>
      <c r="C52" s="49">
        <v>-2</v>
      </c>
      <c r="D52" s="27">
        <f>D182+B52+C52</f>
        <v>-13</v>
      </c>
      <c r="E52" s="49">
        <v>-1</v>
      </c>
      <c r="F52" s="49">
        <v>-1</v>
      </c>
      <c r="G52" s="73">
        <v>-2</v>
      </c>
      <c r="H52" s="18" t="s">
        <v>264</v>
      </c>
    </row>
    <row r="53" ht="23.25" customHeight="1">
      <c r="A53" s="29" t="s">
        <v>265</v>
      </c>
      <c r="B53" s="62">
        <f t="shared" si="27" ref="B53:G86">B51+B52</f>
        <v>310</v>
      </c>
      <c r="C53" s="62">
        <f t="shared" si="27"/>
        <v>202</v>
      </c>
      <c r="D53" s="62">
        <f t="shared" si="27"/>
        <v>1170</v>
      </c>
      <c r="E53" s="62">
        <f t="shared" si="27"/>
        <v>362</v>
      </c>
      <c r="F53" s="62">
        <f t="shared" si="27"/>
        <v>395</v>
      </c>
      <c r="G53" s="63">
        <f t="shared" si="27"/>
        <v>382.96819702500005</v>
      </c>
      <c r="H53" s="3"/>
    </row>
    <row r="54" ht="15" customHeight="1">
      <c r="A54" s="58" t="s">
        <v>69</v>
      </c>
      <c r="B54" s="49">
        <v>283</v>
      </c>
      <c r="C54" s="49">
        <v>212</v>
      </c>
      <c r="D54" s="49">
        <v>1056</v>
      </c>
      <c r="E54" s="49">
        <v>322</v>
      </c>
      <c r="F54" s="49">
        <v>336</v>
      </c>
      <c r="G54" s="60">
        <f t="shared" si="28"/>
        <v>310</v>
      </c>
      <c r="H54" s="3"/>
    </row>
    <row r="55" ht="15" customHeight="1">
      <c r="A55" s="45" t="s">
        <v>70</v>
      </c>
      <c r="B55" s="37">
        <f t="shared" si="0"/>
        <v>0.09540636042402828</v>
      </c>
      <c r="C55" s="37">
        <f t="shared" si="0"/>
        <v>-0.047169811320754707</v>
      </c>
      <c r="D55" s="37">
        <f t="shared" si="0"/>
        <v>0.10795454545454541</v>
      </c>
      <c r="E55" s="37">
        <f t="shared" si="0"/>
        <v>0.12422360248447206</v>
      </c>
      <c r="F55" s="37">
        <f t="shared" si="0"/>
        <v>0.17559523809523814</v>
      </c>
      <c r="G55" s="59">
        <f t="shared" si="0"/>
        <v>0.23538128072580666</v>
      </c>
      <c r="H55" s="3"/>
    </row>
    <row r="56" ht="15" customHeight="1">
      <c r="A56" s="58" t="s">
        <v>71</v>
      </c>
      <c r="B56" s="27">
        <f t="shared" si="1"/>
        <v>27</v>
      </c>
      <c r="C56" s="27">
        <f t="shared" si="1"/>
        <v>-10</v>
      </c>
      <c r="D56" s="27">
        <f t="shared" si="1"/>
        <v>114</v>
      </c>
      <c r="E56" s="27">
        <f t="shared" si="1"/>
        <v>40</v>
      </c>
      <c r="F56" s="27">
        <f t="shared" si="1"/>
        <v>59</v>
      </c>
      <c r="G56" s="60">
        <f t="shared" si="1"/>
        <v>72.96819702500005</v>
      </c>
      <c r="H56" s="3"/>
    </row>
    <row r="57" ht="15" customHeight="1">
      <c r="A57" s="58" t="s">
        <v>73</v>
      </c>
      <c r="B57" s="27">
        <f t="shared" si="15"/>
        <v>-26</v>
      </c>
      <c r="C57" s="27">
        <f t="shared" si="4"/>
        <v>-108</v>
      </c>
      <c r="D57" s="27"/>
      <c r="E57" s="27">
        <f t="shared" si="16"/>
        <v>160</v>
      </c>
      <c r="F57" s="27">
        <f t="shared" si="4"/>
        <v>33</v>
      </c>
      <c r="G57" s="60">
        <f t="shared" si="4"/>
        <v>-12.031802974999948</v>
      </c>
      <c r="H57" s="3"/>
    </row>
    <row r="58" ht="15" customHeight="1">
      <c r="A58" s="45" t="s">
        <v>266</v>
      </c>
      <c r="B58" s="37">
        <f t="shared" si="29" ref="B58:G58">B53/B9</f>
        <v>0.10741510741510742</v>
      </c>
      <c r="C58" s="37">
        <f t="shared" si="29"/>
        <v>0.06812816188870152</v>
      </c>
      <c r="D58" s="37">
        <f t="shared" si="29"/>
        <v>0.10477299185098952</v>
      </c>
      <c r="E58" s="37">
        <f t="shared" si="29"/>
        <v>0.12271186440677966</v>
      </c>
      <c r="F58" s="37">
        <f t="shared" si="29"/>
        <v>0.12425290972003775</v>
      </c>
      <c r="G58" s="59">
        <f t="shared" si="29"/>
        <v>0.12117463633515956</v>
      </c>
      <c r="H58" s="3"/>
    </row>
    <row r="59" ht="15" customHeight="1">
      <c r="A59" s="45" t="s">
        <v>100</v>
      </c>
      <c r="B59" s="36">
        <f t="shared" si="30" ref="B59:G59">(B53/B9-B54/B10)*10000</f>
        <v>11.439846212658866</v>
      </c>
      <c r="C59" s="36">
        <f t="shared" si="30"/>
        <v>-139.46944576648843</v>
      </c>
      <c r="D59" s="36">
        <f t="shared" si="30"/>
        <v>31.074483831932397</v>
      </c>
      <c r="E59" s="36">
        <f t="shared" si="30"/>
        <v>-6.597831027988915</v>
      </c>
      <c r="F59" s="36">
        <f t="shared" si="30"/>
        <v>0.8439530762088809</v>
      </c>
      <c r="G59" s="67">
        <f t="shared" si="30"/>
        <v>137.5952892005214</v>
      </c>
      <c r="H59" s="3"/>
    </row>
    <row r="60" ht="15" customHeight="1">
      <c r="A60" s="45" t="s">
        <v>101</v>
      </c>
      <c r="B60" s="36">
        <f>(B53/B9-F54/F10)*10000</f>
        <v>-167.53406997309443</v>
      </c>
      <c r="C60" s="36">
        <f t="shared" si="31" ref="C60:G60">(C53/C9-B53/B9)*10000</f>
        <v>-392.86945526405896</v>
      </c>
      <c r="D60" s="36"/>
      <c r="E60" s="36">
        <f>(E53/E9-C53/C9)*10000</f>
        <v>545.8370251807813</v>
      </c>
      <c r="F60" s="36">
        <f t="shared" si="31"/>
        <v>15.410453132580908</v>
      </c>
      <c r="G60" s="67">
        <f t="shared" si="31"/>
        <v>-30.782733848781913</v>
      </c>
      <c r="H60" s="3"/>
    </row>
    <row r="61" ht="15" customHeight="1">
      <c r="A61" s="58" t="s">
        <v>267</v>
      </c>
      <c r="B61" s="49">
        <v>310</v>
      </c>
      <c r="C61" s="49">
        <v>202</v>
      </c>
      <c r="D61" s="49">
        <v>1170</v>
      </c>
      <c r="E61" s="49">
        <v>362</v>
      </c>
      <c r="F61" s="49">
        <v>395</v>
      </c>
      <c r="G61" s="60"/>
      <c r="H61" s="3"/>
    </row>
    <row r="62" ht="23.25" customHeight="1">
      <c r="A62" s="45" t="s">
        <v>268</v>
      </c>
      <c r="B62" s="47">
        <f t="shared" si="20"/>
        <v>0</v>
      </c>
      <c r="C62" s="47">
        <f t="shared" si="20"/>
        <v>0</v>
      </c>
      <c r="D62" s="47">
        <f t="shared" si="20"/>
        <v>0</v>
      </c>
      <c r="E62" s="47">
        <f t="shared" si="20"/>
        <v>0</v>
      </c>
      <c r="F62" s="47">
        <f t="shared" si="20"/>
        <v>0</v>
      </c>
      <c r="G62" s="64"/>
      <c r="H62" s="3"/>
    </row>
    <row r="63" ht="15" customHeight="1">
      <c r="A63" s="22"/>
      <c r="B63" s="3"/>
      <c r="C63" s="3"/>
      <c r="D63" s="3"/>
      <c r="E63" s="3"/>
      <c r="F63" s="3"/>
      <c r="G63" s="65"/>
      <c r="H63" s="3"/>
    </row>
    <row r="64" ht="15" customHeight="1">
      <c r="A64" s="55" t="s">
        <v>269</v>
      </c>
      <c r="B64" s="20"/>
      <c r="C64" s="20"/>
      <c r="D64" s="20"/>
      <c r="E64" s="20"/>
      <c r="F64" s="20"/>
      <c r="G64" s="56"/>
      <c r="H64" s="3"/>
    </row>
    <row r="65" ht="15" customHeight="1">
      <c r="A65" s="22" t="s">
        <v>270</v>
      </c>
      <c r="B65" s="26">
        <f>'Share Count'!B20</f>
        <v>170.5</v>
      </c>
      <c r="C65" s="26">
        <f>'Share Count'!C20</f>
        <v>170.3</v>
      </c>
      <c r="D65" s="26">
        <f>'Share Count'!D20</f>
        <v>170.5</v>
      </c>
      <c r="E65" s="26">
        <f>'Share Count'!E20</f>
        <v>170</v>
      </c>
      <c r="F65" s="26">
        <f>'Share Count'!F20</f>
        <v>169.1</v>
      </c>
      <c r="G65" s="57">
        <f>'Share Count'!G20</f>
        <v>168.61156794425088</v>
      </c>
      <c r="H65" s="3"/>
    </row>
    <row r="66" ht="15" customHeight="1">
      <c r="A66" s="22" t="s">
        <v>271</v>
      </c>
      <c r="B66" s="26">
        <f>'Share Count'!B25</f>
        <v>171.1</v>
      </c>
      <c r="C66" s="26">
        <f>'Share Count'!C25</f>
        <v>171</v>
      </c>
      <c r="D66" s="26">
        <f>'Share Count'!D25</f>
        <v>171.1</v>
      </c>
      <c r="E66" s="26">
        <f>'Share Count'!E25</f>
        <v>170.7</v>
      </c>
      <c r="F66" s="26">
        <f>'Share Count'!F25</f>
        <v>169.6</v>
      </c>
      <c r="G66" s="57">
        <f>'Share Count'!G25</f>
        <v>169.11156794425088</v>
      </c>
      <c r="H66" s="3"/>
    </row>
    <row r="67" ht="15" customHeight="1">
      <c r="A67" s="22" t="s">
        <v>272</v>
      </c>
      <c r="B67" s="34">
        <f t="shared" si="32" ref="B67:G67">B53/B65</f>
        <v>1.8181818181818181</v>
      </c>
      <c r="C67" s="34">
        <f t="shared" si="32"/>
        <v>1.1861421021726364</v>
      </c>
      <c r="D67" s="34">
        <f t="shared" si="32"/>
        <v>6.86217008797654</v>
      </c>
      <c r="E67" s="34">
        <f t="shared" si="32"/>
        <v>2.1294117647058823</v>
      </c>
      <c r="F67" s="34">
        <f t="shared" si="32"/>
        <v>2.3358959195742166</v>
      </c>
      <c r="G67" s="79">
        <f t="shared" si="32"/>
        <v>2.271304405114264</v>
      </c>
      <c r="H67" s="3"/>
    </row>
    <row r="68" ht="15" customHeight="1">
      <c r="A68" s="29" t="s">
        <v>46</v>
      </c>
      <c r="B68" s="80">
        <f t="shared" si="33" ref="B68:G68">B53/B66</f>
        <v>1.8118059614260666</v>
      </c>
      <c r="C68" s="80">
        <f t="shared" si="33"/>
        <v>1.1812865497076024</v>
      </c>
      <c r="D68" s="80">
        <f t="shared" si="33"/>
        <v>6.838106370543542</v>
      </c>
      <c r="E68" s="80">
        <f t="shared" si="33"/>
        <v>2.1206795547744584</v>
      </c>
      <c r="F68" s="80">
        <f t="shared" si="33"/>
        <v>2.329009433962264</v>
      </c>
      <c r="G68" s="81">
        <f t="shared" si="33"/>
        <v>2.26458900287205</v>
      </c>
      <c r="H68" s="3"/>
    </row>
    <row r="69" ht="15" customHeight="1">
      <c r="A69" s="58" t="s">
        <v>69</v>
      </c>
      <c r="B69" s="48">
        <v>1.63</v>
      </c>
      <c r="C69" s="48">
        <v>1.23</v>
      </c>
      <c r="D69" s="48">
        <v>6.04</v>
      </c>
      <c r="E69" s="48">
        <v>1.88</v>
      </c>
      <c r="F69" s="48">
        <v>1.96</v>
      </c>
      <c r="G69" s="79">
        <f t="shared" si="46" ref="G69:G100">B74</f>
        <v>1.81</v>
      </c>
      <c r="H69" s="18" t="s">
        <v>273</v>
      </c>
    </row>
    <row r="70" ht="15" customHeight="1">
      <c r="A70" s="45" t="s">
        <v>70</v>
      </c>
      <c r="B70" s="37">
        <f t="shared" si="0"/>
        <v>0.11153739964789366</v>
      </c>
      <c r="C70" s="37">
        <f t="shared" si="0"/>
        <v>-0.039604431132030604</v>
      </c>
      <c r="D70" s="37">
        <f t="shared" si="0"/>
        <v>0.13213681631515595</v>
      </c>
      <c r="E70" s="37">
        <f t="shared" si="0"/>
        <v>0.1280210397736481</v>
      </c>
      <c r="F70" s="37">
        <f t="shared" si="0"/>
        <v>0.18827011936850213</v>
      </c>
      <c r="G70" s="59">
        <f t="shared" si="0"/>
        <v>0.2511541452331769</v>
      </c>
      <c r="H70" s="3"/>
    </row>
    <row r="71" ht="15" customHeight="1">
      <c r="A71" s="58" t="s">
        <v>274</v>
      </c>
      <c r="B71" s="34">
        <f t="shared" si="1"/>
        <v>0.18180596142606675</v>
      </c>
      <c r="C71" s="34">
        <f t="shared" si="1"/>
        <v>-0.0487134502923976</v>
      </c>
      <c r="D71" s="34">
        <f t="shared" si="1"/>
        <v>0.7981063705435423</v>
      </c>
      <c r="E71" s="34">
        <f t="shared" si="1"/>
        <v>0.24067955477445846</v>
      </c>
      <c r="F71" s="34">
        <f t="shared" si="1"/>
        <v>0.36900943396226404</v>
      </c>
      <c r="G71" s="79">
        <f t="shared" si="1"/>
        <v>0.45458900287205006</v>
      </c>
      <c r="H71" s="3"/>
    </row>
    <row r="72" ht="15" customHeight="1">
      <c r="A72" s="45" t="s">
        <v>72</v>
      </c>
      <c r="B72" s="37">
        <f t="shared" si="34"/>
        <v>-0.07560920335404764</v>
      </c>
      <c r="C72" s="37">
        <f t="shared" si="2"/>
        <v>-0.34800603659686846</v>
      </c>
      <c r="D72" s="37"/>
      <c r="E72" s="37">
        <f t="shared" si="35"/>
        <v>0.7952287320120415</v>
      </c>
      <c r="F72" s="37">
        <f t="shared" si="2"/>
        <v>0.09823732148441544</v>
      </c>
      <c r="G72" s="59">
        <f t="shared" si="2"/>
        <v>-0.027660012944051293</v>
      </c>
      <c r="H72" s="3"/>
    </row>
    <row r="73" ht="15" customHeight="1">
      <c r="A73" s="58" t="s">
        <v>275</v>
      </c>
      <c r="B73" s="34">
        <f t="shared" si="36"/>
        <v>-0.14819403857393332</v>
      </c>
      <c r="C73" s="34">
        <f t="shared" si="3"/>
        <v>-0.6305194117184643</v>
      </c>
      <c r="D73" s="34"/>
      <c r="E73" s="34">
        <f t="shared" si="37"/>
        <v>0.939393005066856</v>
      </c>
      <c r="F73" s="34">
        <f t="shared" si="3"/>
        <v>0.20832987918780566</v>
      </c>
      <c r="G73" s="79">
        <f t="shared" si="3"/>
        <v>-0.06442043109021389</v>
      </c>
      <c r="H73" s="3"/>
    </row>
    <row r="74" ht="15" customHeight="1">
      <c r="A74" s="58" t="s">
        <v>276</v>
      </c>
      <c r="B74" s="48">
        <v>1.81</v>
      </c>
      <c r="C74" s="48">
        <v>1.18</v>
      </c>
      <c r="D74" s="48">
        <v>6.83</v>
      </c>
      <c r="E74" s="48">
        <v>2.12</v>
      </c>
      <c r="F74" s="48">
        <v>2.33</v>
      </c>
      <c r="G74" s="79"/>
      <c r="H74" s="3"/>
    </row>
    <row r="75" ht="23.25" customHeight="1">
      <c r="A75" s="45" t="s">
        <v>277</v>
      </c>
      <c r="B75" s="82" t="b">
        <f t="shared" si="38" ref="B75:F106">ABS(B68-B74)&lt;0.015</f>
        <v>1</v>
      </c>
      <c r="C75" s="82" t="b">
        <f t="shared" si="38"/>
        <v>1</v>
      </c>
      <c r="D75" s="82" t="b">
        <f t="shared" si="38"/>
        <v>1</v>
      </c>
      <c r="E75" s="82" t="b">
        <f t="shared" si="38"/>
        <v>1</v>
      </c>
      <c r="F75" s="82" t="b">
        <f t="shared" si="38"/>
        <v>1</v>
      </c>
      <c r="G75" s="83"/>
      <c r="H75" s="3"/>
    </row>
    <row r="76" ht="23.25" customHeight="1">
      <c r="A76" s="58" t="s">
        <v>278</v>
      </c>
      <c r="B76" s="33">
        <f>Inputs!B121</f>
        <v>1.81</v>
      </c>
      <c r="C76" s="33">
        <f>Inputs!B125</f>
        <v>1.18</v>
      </c>
      <c r="D76" s="34"/>
      <c r="E76" s="33">
        <f>Inputs!B129</f>
        <v>2.12</v>
      </c>
      <c r="F76" s="33">
        <f>Inputs!B133</f>
        <v>2.33</v>
      </c>
      <c r="G76" s="84">
        <f>Inputs!B32</f>
        <v>2.52</v>
      </c>
      <c r="H76" s="3"/>
    </row>
    <row r="77" ht="23.25" customHeight="1">
      <c r="A77" s="45" t="s">
        <v>279</v>
      </c>
      <c r="B77" s="82" t="b">
        <f t="shared" si="39" ref="B77:F108">ABS(B74-B76)&lt;0.005</f>
        <v>1</v>
      </c>
      <c r="C77" s="82" t="b">
        <f t="shared" si="39"/>
        <v>1</v>
      </c>
      <c r="D77" s="82"/>
      <c r="E77" s="82" t="b">
        <f t="shared" si="39"/>
        <v>1</v>
      </c>
      <c r="F77" s="82" t="b">
        <f t="shared" si="39"/>
        <v>1</v>
      </c>
      <c r="G77" s="83"/>
      <c r="H77" s="3"/>
    </row>
    <row r="78" ht="15" customHeight="1">
      <c r="A78" s="22"/>
      <c r="B78" s="3"/>
      <c r="C78" s="3"/>
      <c r="D78" s="3"/>
      <c r="E78" s="3"/>
      <c r="F78" s="3"/>
      <c r="G78" s="65"/>
      <c r="H78" s="3"/>
    </row>
    <row r="79" ht="15" customHeight="1">
      <c r="A79" s="55" t="s">
        <v>280</v>
      </c>
      <c r="B79" s="20"/>
      <c r="C79" s="20"/>
      <c r="D79" s="20"/>
      <c r="E79" s="20"/>
      <c r="F79" s="20"/>
      <c r="G79" s="56"/>
      <c r="H79" s="3"/>
    </row>
    <row r="80" ht="15" customHeight="1">
      <c r="A80" s="58" t="s">
        <v>281</v>
      </c>
      <c r="B80" s="49">
        <v>6</v>
      </c>
      <c r="C80" s="49">
        <v>55</v>
      </c>
      <c r="D80" s="27">
        <f>D183+B80+C80</f>
        <v>76</v>
      </c>
      <c r="E80" s="49">
        <v>5</v>
      </c>
      <c r="F80" s="49">
        <v>0</v>
      </c>
      <c r="G80" s="57">
        <f>'Segment - Freight'!G155+'Segment - Transit'!G123+G153</f>
        <v>5</v>
      </c>
      <c r="H80" s="18" t="s">
        <v>282</v>
      </c>
    </row>
    <row r="81" ht="15" customHeight="1">
      <c r="A81" s="58" t="s">
        <v>197</v>
      </c>
      <c r="B81" s="26">
        <f>'Segment - Freight'!B156+'Segment - Transit'!B124</f>
        <v>24</v>
      </c>
      <c r="C81" s="26">
        <f>'Segment - Freight'!C156+'Segment - Transit'!C124</f>
        <v>29</v>
      </c>
      <c r="D81" s="26">
        <f>'Segment - Freight'!D156+'Segment - Transit'!D124</f>
        <v>53</v>
      </c>
      <c r="E81" s="26">
        <f>'Segment - Freight'!E156+'Segment - Transit'!E124</f>
        <v>23</v>
      </c>
      <c r="F81" s="26">
        <f>'Segment - Freight'!F156+'Segment - Transit'!F124</f>
        <v>5</v>
      </c>
      <c r="G81" s="57">
        <f>'Segment - Freight'!G156+'Segment - Transit'!G124</f>
        <v>2</v>
      </c>
      <c r="H81" s="18" t="s">
        <v>283</v>
      </c>
    </row>
    <row r="82" ht="15" customHeight="1">
      <c r="A82" s="58" t="s">
        <v>284</v>
      </c>
      <c r="B82" s="49">
        <v>9</v>
      </c>
      <c r="C82" s="49">
        <v>5</v>
      </c>
      <c r="D82" s="27">
        <f>D184+B82+C82</f>
        <v>49</v>
      </c>
      <c r="E82" s="49">
        <v>13</v>
      </c>
      <c r="F82" s="49">
        <v>1</v>
      </c>
      <c r="G82" s="57">
        <f>'Segment - Freight'!G157+'Segment - Transit'!G125+G154</f>
        <v>1</v>
      </c>
      <c r="H82" s="3"/>
    </row>
    <row r="83" ht="15" customHeight="1">
      <c r="A83" s="58" t="s">
        <v>211</v>
      </c>
      <c r="B83" s="26">
        <f>'Segment - Freight'!B158+'Segment - Transit'!B126</f>
        <v>77</v>
      </c>
      <c r="C83" s="26">
        <f>'Segment - Freight'!C158+'Segment - Transit'!C126</f>
        <v>78</v>
      </c>
      <c r="D83" s="26">
        <f>'Segment - Freight'!D158+'Segment - Transit'!D126</f>
        <v>296</v>
      </c>
      <c r="E83" s="26">
        <f>'Segment - Freight'!E158+'Segment - Transit'!E126</f>
        <v>87</v>
      </c>
      <c r="F83" s="26">
        <f>'Segment - Freight'!F158+'Segment - Transit'!F126</f>
        <v>91</v>
      </c>
      <c r="G83" s="57">
        <f>'Segment - Freight'!G158+'Segment - Transit'!G126</f>
        <v>92</v>
      </c>
      <c r="H83" s="18" t="s">
        <v>285</v>
      </c>
    </row>
    <row r="84" ht="15" customHeight="1">
      <c r="A84" s="29" t="s">
        <v>286</v>
      </c>
      <c r="B84" s="62">
        <f t="shared" si="40" ref="B84:G84">B80+B81+B82+B83</f>
        <v>116</v>
      </c>
      <c r="C84" s="62">
        <f t="shared" si="40"/>
        <v>167</v>
      </c>
      <c r="D84" s="62">
        <f t="shared" si="40"/>
        <v>474</v>
      </c>
      <c r="E84" s="62">
        <f t="shared" si="40"/>
        <v>128</v>
      </c>
      <c r="F84" s="62">
        <f t="shared" si="40"/>
        <v>97</v>
      </c>
      <c r="G84" s="63">
        <f t="shared" si="40"/>
        <v>100</v>
      </c>
      <c r="H84" s="3"/>
    </row>
    <row r="85" ht="15" customHeight="1">
      <c r="A85" s="58" t="s">
        <v>287</v>
      </c>
      <c r="B85" s="49">
        <v>2</v>
      </c>
      <c r="C85" s="49">
        <v>11</v>
      </c>
      <c r="D85" s="27">
        <f>D185+B85+C85</f>
        <v>-19</v>
      </c>
      <c r="E85" s="49">
        <v>-2</v>
      </c>
      <c r="F85" s="49">
        <v>0</v>
      </c>
      <c r="G85" s="73">
        <v>0</v>
      </c>
      <c r="H85" s="18" t="s">
        <v>288</v>
      </c>
    </row>
    <row r="86" ht="15" customHeight="1">
      <c r="A86" s="29" t="s">
        <v>289</v>
      </c>
      <c r="B86" s="62">
        <f t="shared" si="27"/>
        <v>118</v>
      </c>
      <c r="C86" s="62">
        <f t="shared" si="27"/>
        <v>178</v>
      </c>
      <c r="D86" s="62">
        <f t="shared" si="27"/>
        <v>455</v>
      </c>
      <c r="E86" s="62">
        <f t="shared" si="27"/>
        <v>126</v>
      </c>
      <c r="F86" s="62">
        <f t="shared" si="27"/>
        <v>97</v>
      </c>
      <c r="G86" s="63">
        <f t="shared" si="27"/>
        <v>100</v>
      </c>
      <c r="H86" s="3"/>
    </row>
    <row r="87" ht="15" customHeight="1">
      <c r="A87" s="58" t="s">
        <v>290</v>
      </c>
      <c r="B87" s="49">
        <v>-30</v>
      </c>
      <c r="C87" s="49">
        <v>-22</v>
      </c>
      <c r="D87" s="27">
        <f>D186+B87+C87</f>
        <v>-88</v>
      </c>
      <c r="E87" s="49">
        <v>-26</v>
      </c>
      <c r="F87" s="49">
        <v>-23</v>
      </c>
      <c r="G87" s="60">
        <f>-G86*G91</f>
        <v>-23.5</v>
      </c>
      <c r="H87" s="3"/>
    </row>
    <row r="88" ht="15" customHeight="1">
      <c r="A88" s="45" t="s">
        <v>291</v>
      </c>
      <c r="B88" s="37">
        <f t="shared" si="23"/>
        <v>0.2542372881355932</v>
      </c>
      <c r="C88" s="37">
        <f t="shared" si="23"/>
        <v>0.12359550561797752</v>
      </c>
      <c r="D88" s="37">
        <f t="shared" si="23"/>
        <v>0.1934065934065934</v>
      </c>
      <c r="E88" s="37">
        <f t="shared" si="23"/>
        <v>0.20634920634920634</v>
      </c>
      <c r="F88" s="37">
        <f t="shared" si="23"/>
        <v>0.23711340206185566</v>
      </c>
      <c r="G88" s="59">
        <f t="shared" si="23"/>
        <v>0.235</v>
      </c>
      <c r="H88" s="3"/>
    </row>
    <row r="89" ht="15" customHeight="1">
      <c r="A89" s="45" t="s">
        <v>100</v>
      </c>
      <c r="B89" s="36">
        <f t="shared" si="41" ref="B89:G89">(B88+(B138-B47)/(B139-B48))*10000</f>
        <v>14.900353883404716</v>
      </c>
      <c r="C89" s="36">
        <f t="shared" si="41"/>
        <v>-1167.8910976663788</v>
      </c>
      <c r="D89" s="36">
        <f t="shared" si="41"/>
        <v>-495.3125970075123</v>
      </c>
      <c r="E89" s="36">
        <f t="shared" si="41"/>
        <v>-244.20024420024444</v>
      </c>
      <c r="F89" s="36">
        <f t="shared" si="41"/>
        <v>165.2516676773802</v>
      </c>
      <c r="G89" s="67">
        <f t="shared" si="41"/>
        <v>-192.37288135593224</v>
      </c>
      <c r="H89" s="18" t="s">
        <v>292</v>
      </c>
    </row>
    <row r="90" ht="15" customHeight="1">
      <c r="A90" s="45" t="s">
        <v>101</v>
      </c>
      <c r="B90" s="36">
        <f>(B88+(F138-F47)/(F139-F48))*10000</f>
        <v>336.49052841475566</v>
      </c>
      <c r="C90" s="36">
        <f t="shared" si="13"/>
        <v>-1306.4178251761568</v>
      </c>
      <c r="D90" s="36"/>
      <c r="E90" s="36">
        <f t="shared" si="42"/>
        <v>827.5370073122881</v>
      </c>
      <c r="F90" s="36">
        <f t="shared" si="13"/>
        <v>307.64195712649325</v>
      </c>
      <c r="G90" s="67">
        <f t="shared" si="13"/>
        <v>-21.134020618556736</v>
      </c>
      <c r="H90" s="3"/>
    </row>
    <row r="91" ht="15" customHeight="1">
      <c r="A91" s="68" t="s">
        <v>293</v>
      </c>
      <c r="B91" s="37"/>
      <c r="C91" s="37"/>
      <c r="D91" s="37"/>
      <c r="E91" s="37"/>
      <c r="F91" s="37"/>
      <c r="G91" s="69">
        <v>0.235</v>
      </c>
      <c r="H91" s="18" t="s">
        <v>294</v>
      </c>
    </row>
    <row r="92" ht="23.25" customHeight="1">
      <c r="A92" s="29" t="s">
        <v>40</v>
      </c>
      <c r="B92" s="62">
        <f t="shared" si="43" ref="B92:G92">B53+B86+B87</f>
        <v>398</v>
      </c>
      <c r="C92" s="62">
        <f t="shared" si="43"/>
        <v>358</v>
      </c>
      <c r="D92" s="62">
        <f t="shared" si="43"/>
        <v>1537</v>
      </c>
      <c r="E92" s="62">
        <f t="shared" si="43"/>
        <v>462</v>
      </c>
      <c r="F92" s="62">
        <f t="shared" si="43"/>
        <v>469</v>
      </c>
      <c r="G92" s="63">
        <f t="shared" si="43"/>
        <v>459.46819702500005</v>
      </c>
      <c r="H92" s="3"/>
    </row>
    <row r="93" ht="15" customHeight="1">
      <c r="A93" s="58" t="s">
        <v>69</v>
      </c>
      <c r="B93" s="49">
        <v>351</v>
      </c>
      <c r="C93" s="49">
        <v>291</v>
      </c>
      <c r="D93" s="49">
        <v>1324</v>
      </c>
      <c r="E93" s="49">
        <v>392</v>
      </c>
      <c r="F93" s="49">
        <v>389</v>
      </c>
      <c r="G93" s="60">
        <f t="shared" si="28"/>
        <v>398</v>
      </c>
      <c r="H93" s="3"/>
    </row>
    <row r="94" ht="15" customHeight="1">
      <c r="A94" s="45" t="s">
        <v>70</v>
      </c>
      <c r="B94" s="37">
        <f t="shared" si="0"/>
        <v>0.1339031339031338</v>
      </c>
      <c r="C94" s="37">
        <f t="shared" si="0"/>
        <v>0.23024054982817876</v>
      </c>
      <c r="D94" s="37">
        <f t="shared" si="0"/>
        <v>0.1608761329305135</v>
      </c>
      <c r="E94" s="37">
        <f t="shared" si="0"/>
        <v>0.1785714285714286</v>
      </c>
      <c r="F94" s="37">
        <f t="shared" si="0"/>
        <v>0.20565552699228795</v>
      </c>
      <c r="G94" s="59">
        <f t="shared" si="0"/>
        <v>0.15444270609296495</v>
      </c>
      <c r="H94" s="3"/>
    </row>
    <row r="95" ht="15" customHeight="1">
      <c r="A95" s="58" t="s">
        <v>71</v>
      </c>
      <c r="B95" s="27">
        <f t="shared" si="1"/>
        <v>47</v>
      </c>
      <c r="C95" s="27">
        <f t="shared" si="1"/>
        <v>67</v>
      </c>
      <c r="D95" s="27">
        <f t="shared" si="1"/>
        <v>213</v>
      </c>
      <c r="E95" s="27">
        <f t="shared" si="1"/>
        <v>70</v>
      </c>
      <c r="F95" s="27">
        <f t="shared" si="1"/>
        <v>80</v>
      </c>
      <c r="G95" s="60">
        <f t="shared" si="1"/>
        <v>61.46819702500005</v>
      </c>
      <c r="H95" s="3"/>
    </row>
    <row r="96" ht="15" customHeight="1">
      <c r="A96" s="58" t="s">
        <v>73</v>
      </c>
      <c r="B96" s="27">
        <f t="shared" si="15"/>
        <v>9</v>
      </c>
      <c r="C96" s="27">
        <f t="shared" si="4"/>
        <v>-40</v>
      </c>
      <c r="D96" s="27"/>
      <c r="E96" s="27">
        <f t="shared" si="16"/>
        <v>104</v>
      </c>
      <c r="F96" s="27">
        <f t="shared" si="4"/>
        <v>7</v>
      </c>
      <c r="G96" s="60">
        <f t="shared" si="4"/>
        <v>-9.531802974999948</v>
      </c>
      <c r="H96" s="3"/>
    </row>
    <row r="97" ht="15" customHeight="1">
      <c r="A97" s="58" t="s">
        <v>295</v>
      </c>
      <c r="B97" s="49">
        <v>398</v>
      </c>
      <c r="C97" s="49">
        <v>358</v>
      </c>
      <c r="D97" s="49">
        <v>1537</v>
      </c>
      <c r="E97" s="49">
        <v>462</v>
      </c>
      <c r="F97" s="49">
        <v>469</v>
      </c>
      <c r="G97" s="60"/>
      <c r="H97" s="3"/>
    </row>
    <row r="98" ht="15" customHeight="1">
      <c r="A98" s="45" t="s">
        <v>296</v>
      </c>
      <c r="B98" s="47">
        <f t="shared" si="44" ref="B98:F98">B92-B97</f>
        <v>0</v>
      </c>
      <c r="C98" s="47">
        <f t="shared" si="44"/>
        <v>0</v>
      </c>
      <c r="D98" s="47">
        <f t="shared" si="44"/>
        <v>0</v>
      </c>
      <c r="E98" s="47">
        <f t="shared" si="44"/>
        <v>0</v>
      </c>
      <c r="F98" s="47">
        <f t="shared" si="44"/>
        <v>0</v>
      </c>
      <c r="G98" s="64"/>
      <c r="H98" s="3"/>
    </row>
    <row r="99" ht="37.5" customHeight="1">
      <c r="A99" s="29" t="s">
        <v>297</v>
      </c>
      <c r="B99" s="80">
        <f t="shared" si="45" ref="B99:G99">B92/B66</f>
        <v>2.326125073056692</v>
      </c>
      <c r="C99" s="80">
        <f t="shared" si="45"/>
        <v>2.0935672514619883</v>
      </c>
      <c r="D99" s="80">
        <f t="shared" si="45"/>
        <v>8.983050847457628</v>
      </c>
      <c r="E99" s="80">
        <f t="shared" si="45"/>
        <v>2.7065026362038664</v>
      </c>
      <c r="F99" s="80">
        <f t="shared" si="45"/>
        <v>2.765330188679245</v>
      </c>
      <c r="G99" s="81">
        <f t="shared" si="45"/>
        <v>2.716953089669583</v>
      </c>
      <c r="H99" s="38" t="s">
        <v>298</v>
      </c>
    </row>
    <row r="100" ht="15" customHeight="1">
      <c r="A100" s="58" t="s">
        <v>69</v>
      </c>
      <c r="B100" s="48">
        <v>2</v>
      </c>
      <c r="C100" s="48">
        <v>1.68</v>
      </c>
      <c r="D100" s="48">
        <v>7.56</v>
      </c>
      <c r="E100" s="48">
        <v>2.28</v>
      </c>
      <c r="F100" s="48">
        <v>2.27</v>
      </c>
      <c r="G100" s="79">
        <f t="shared" si="46"/>
        <v>2.32</v>
      </c>
      <c r="H100" s="18" t="s">
        <v>299</v>
      </c>
    </row>
    <row r="101" ht="15" customHeight="1">
      <c r="A101" s="45" t="s">
        <v>70</v>
      </c>
      <c r="B101" s="37">
        <f t="shared" si="0"/>
        <v>0.163062536528346</v>
      </c>
      <c r="C101" s="37">
        <f t="shared" si="0"/>
        <v>0.24617098301308826</v>
      </c>
      <c r="D101" s="37">
        <f t="shared" si="0"/>
        <v>0.1882342390816969</v>
      </c>
      <c r="E101" s="37">
        <f t="shared" si="0"/>
        <v>0.18706255973853803</v>
      </c>
      <c r="F101" s="37">
        <f t="shared" si="0"/>
        <v>0.21820713157675997</v>
      </c>
      <c r="G101" s="59">
        <f t="shared" si="0"/>
        <v>0.17110046968516524</v>
      </c>
      <c r="H101" s="3"/>
    </row>
    <row r="102" ht="15" customHeight="1">
      <c r="A102" s="58" t="s">
        <v>274</v>
      </c>
      <c r="B102" s="34">
        <f t="shared" si="1"/>
        <v>0.326125073056692</v>
      </c>
      <c r="C102" s="34">
        <f t="shared" si="1"/>
        <v>0.41356725146198836</v>
      </c>
      <c r="D102" s="34">
        <f t="shared" si="1"/>
        <v>1.4230508474576284</v>
      </c>
      <c r="E102" s="34">
        <f t="shared" si="1"/>
        <v>0.42650263620386664</v>
      </c>
      <c r="F102" s="34">
        <f t="shared" si="1"/>
        <v>0.49533018867924516</v>
      </c>
      <c r="G102" s="79">
        <f t="shared" si="1"/>
        <v>0.3969530896695832</v>
      </c>
      <c r="H102" s="3"/>
    </row>
    <row r="103" ht="15" customHeight="1">
      <c r="A103" s="45" t="s">
        <v>72</v>
      </c>
      <c r="B103" s="37">
        <f t="shared" si="34"/>
        <v>0.024724701787089076</v>
      </c>
      <c r="C103" s="37">
        <f t="shared" si="2"/>
        <v>-0.0999764906403362</v>
      </c>
      <c r="D103" s="37"/>
      <c r="E103" s="37">
        <f t="shared" si="35"/>
        <v>0.29277081226497526</v>
      </c>
      <c r="F103" s="37">
        <f t="shared" si="2"/>
        <v>0.02173563464837036</v>
      </c>
      <c r="G103" s="59">
        <f t="shared" si="2"/>
        <v>-0.017494149236756296</v>
      </c>
      <c r="H103" s="3"/>
    </row>
    <row r="104" ht="15" customHeight="1">
      <c r="A104" s="58" t="s">
        <v>275</v>
      </c>
      <c r="B104" s="34">
        <f t="shared" si="36"/>
        <v>0.05612507305669201</v>
      </c>
      <c r="C104" s="34">
        <f t="shared" si="3"/>
        <v>-0.23255782159470373</v>
      </c>
      <c r="D104" s="34"/>
      <c r="E104" s="34">
        <f t="shared" si="37"/>
        <v>0.6129353847418781</v>
      </c>
      <c r="F104" s="34">
        <f t="shared" si="3"/>
        <v>0.05882755247537874</v>
      </c>
      <c r="G104" s="79">
        <f t="shared" si="3"/>
        <v>-0.04837709900966214</v>
      </c>
      <c r="H104" s="3"/>
    </row>
    <row r="105" ht="15" customHeight="1">
      <c r="A105" s="58" t="s">
        <v>300</v>
      </c>
      <c r="B105" s="48">
        <v>2.32</v>
      </c>
      <c r="C105" s="48">
        <v>2.1</v>
      </c>
      <c r="D105" s="48">
        <v>8.97</v>
      </c>
      <c r="E105" s="48">
        <v>2.71</v>
      </c>
      <c r="F105" s="48">
        <v>2.76</v>
      </c>
      <c r="G105" s="79"/>
      <c r="H105" s="3"/>
    </row>
    <row r="106" ht="23.25" customHeight="1">
      <c r="A106" s="45" t="s">
        <v>301</v>
      </c>
      <c r="B106" s="82" t="b">
        <f t="shared" si="38"/>
        <v>1</v>
      </c>
      <c r="C106" s="82" t="b">
        <f t="shared" si="38"/>
        <v>1</v>
      </c>
      <c r="D106" s="82" t="b">
        <f t="shared" si="38"/>
        <v>1</v>
      </c>
      <c r="E106" s="82" t="b">
        <f t="shared" si="38"/>
        <v>1</v>
      </c>
      <c r="F106" s="82" t="b">
        <f t="shared" si="38"/>
        <v>1</v>
      </c>
      <c r="G106" s="83"/>
      <c r="H106" s="3"/>
    </row>
    <row r="107" ht="23.25" customHeight="1">
      <c r="A107" s="58" t="s">
        <v>302</v>
      </c>
      <c r="B107" s="33">
        <f>Inputs!B120</f>
        <v>2.32</v>
      </c>
      <c r="C107" s="33">
        <f>Inputs!B124</f>
        <v>2.1</v>
      </c>
      <c r="D107" s="34"/>
      <c r="E107" s="33">
        <f>Inputs!B128</f>
        <v>2.71</v>
      </c>
      <c r="F107" s="33">
        <f>Inputs!B132</f>
        <v>2.76</v>
      </c>
      <c r="G107" s="84">
        <f>Inputs!B23</f>
        <v>2.74</v>
      </c>
      <c r="H107" s="3"/>
    </row>
    <row r="108" ht="23.25" customHeight="1">
      <c r="A108" s="45" t="s">
        <v>303</v>
      </c>
      <c r="B108" s="82" t="b">
        <f t="shared" si="39"/>
        <v>1</v>
      </c>
      <c r="C108" s="82" t="b">
        <f t="shared" si="39"/>
        <v>1</v>
      </c>
      <c r="D108" s="82"/>
      <c r="E108" s="82" t="b">
        <f t="shared" si="39"/>
        <v>1</v>
      </c>
      <c r="F108" s="82" t="b">
        <f t="shared" si="39"/>
        <v>1</v>
      </c>
      <c r="G108" s="83"/>
      <c r="H108" s="3"/>
    </row>
    <row r="109" ht="15" customHeight="1">
      <c r="A109" s="58" t="s">
        <v>304</v>
      </c>
      <c r="B109" s="34"/>
      <c r="C109" s="34"/>
      <c r="D109" s="34"/>
      <c r="E109" s="34"/>
      <c r="F109" s="34"/>
      <c r="G109" s="79">
        <f>G99-G107</f>
        <v>-0.02304691033041717</v>
      </c>
      <c r="H109" s="3"/>
    </row>
    <row r="110" ht="15" customHeight="1">
      <c r="A110" s="22"/>
      <c r="B110" s="3"/>
      <c r="C110" s="3"/>
      <c r="D110" s="3"/>
      <c r="E110" s="3"/>
      <c r="F110" s="3"/>
      <c r="G110" s="65"/>
      <c r="H110" s="3"/>
    </row>
    <row r="111" ht="15" customHeight="1">
      <c r="A111" s="55" t="s">
        <v>305</v>
      </c>
      <c r="B111" s="20"/>
      <c r="C111" s="20"/>
      <c r="D111" s="20"/>
      <c r="E111" s="20"/>
      <c r="F111" s="20"/>
      <c r="G111" s="56"/>
      <c r="H111" s="3"/>
    </row>
    <row r="112" ht="15" customHeight="1">
      <c r="A112" s="29" t="s">
        <v>191</v>
      </c>
      <c r="B112" s="70">
        <f>'Segment - Freight'!B123+'Segment - Transit'!B91</f>
        <v>1028</v>
      </c>
      <c r="C112" s="70">
        <f>'Segment - Freight'!C123+'Segment - Transit'!C91</f>
        <v>999</v>
      </c>
      <c r="D112" s="70">
        <f>'Segment - Freight'!D123+'Segment - Transit'!D91</f>
        <v>3871</v>
      </c>
      <c r="E112" s="70">
        <f>'Segment - Freight'!E123+'Segment - Transit'!E91</f>
        <v>1087</v>
      </c>
      <c r="F112" s="70">
        <f>'Segment - Freight'!F123+'Segment - Transit'!F91</f>
        <v>1166</v>
      </c>
      <c r="G112" s="71">
        <f>'Segment - Freight'!G123+'Segment - Transit'!G91</f>
        <v>1147.91765</v>
      </c>
      <c r="H112" s="3"/>
    </row>
    <row r="113" ht="15" customHeight="1">
      <c r="A113" s="58" t="s">
        <v>69</v>
      </c>
      <c r="B113" s="26">
        <f>'Segment - Freight'!B124+'Segment - Transit'!B92</f>
        <v>887</v>
      </c>
      <c r="C113" s="26">
        <f>'Segment - Freight'!C124+'Segment - Transit'!C92</f>
        <v>815</v>
      </c>
      <c r="D113" s="26">
        <f>'Segment - Freight'!D124+'Segment - Transit'!D92</f>
        <v>3403</v>
      </c>
      <c r="E113" s="26">
        <f>'Segment - Freight'!E124+'Segment - Transit'!E92</f>
        <v>903</v>
      </c>
      <c r="F113" s="26">
        <f>'Segment - Freight'!F124+'Segment - Transit'!F92</f>
        <v>941</v>
      </c>
      <c r="G113" s="57">
        <f>'Segment - Freight'!G124+'Segment - Transit'!G92</f>
        <v>1028</v>
      </c>
      <c r="H113" s="3"/>
    </row>
    <row r="114" ht="15" customHeight="1">
      <c r="A114" s="58" t="s">
        <v>71</v>
      </c>
      <c r="B114" s="27">
        <f t="shared" si="47" ref="B114:G161">B112-B113</f>
        <v>141</v>
      </c>
      <c r="C114" s="27">
        <f t="shared" si="47"/>
        <v>184</v>
      </c>
      <c r="D114" s="27">
        <f t="shared" si="47"/>
        <v>468</v>
      </c>
      <c r="E114" s="27">
        <f t="shared" si="47"/>
        <v>184</v>
      </c>
      <c r="F114" s="27">
        <f t="shared" si="47"/>
        <v>225</v>
      </c>
      <c r="G114" s="60">
        <f t="shared" si="47"/>
        <v>119.9176500000001</v>
      </c>
      <c r="H114" s="3"/>
    </row>
    <row r="115" ht="15" customHeight="1">
      <c r="A115" s="58" t="s">
        <v>73</v>
      </c>
      <c r="B115" s="27">
        <f>B112-F113</f>
        <v>87</v>
      </c>
      <c r="C115" s="27">
        <f t="shared" si="48" ref="C115:G115">C112-B112</f>
        <v>-29</v>
      </c>
      <c r="D115" s="27"/>
      <c r="E115" s="27">
        <f>E112-C112</f>
        <v>88</v>
      </c>
      <c r="F115" s="27">
        <f t="shared" si="48"/>
        <v>79</v>
      </c>
      <c r="G115" s="60">
        <f t="shared" si="48"/>
        <v>-18.082349999999906</v>
      </c>
      <c r="H115" s="3"/>
    </row>
    <row r="116" ht="15" customHeight="1">
      <c r="A116" s="45" t="s">
        <v>193</v>
      </c>
      <c r="B116" s="37">
        <f t="shared" si="49" ref="B116:G116">B112/B9</f>
        <v>0.3562023562023562</v>
      </c>
      <c r="C116" s="37">
        <f t="shared" si="49"/>
        <v>0.3369308600337268</v>
      </c>
      <c r="D116" s="37">
        <f t="shared" si="49"/>
        <v>0.3466463687651115</v>
      </c>
      <c r="E116" s="37">
        <f t="shared" si="49"/>
        <v>0.36847457627118646</v>
      </c>
      <c r="F116" s="37">
        <f t="shared" si="49"/>
        <v>0.36678200692041524</v>
      </c>
      <c r="G116" s="59">
        <f t="shared" si="49"/>
        <v>0.36321163183265753</v>
      </c>
      <c r="H116" s="3"/>
    </row>
    <row r="117" ht="15" customHeight="1">
      <c r="A117" s="45" t="s">
        <v>100</v>
      </c>
      <c r="B117" s="36">
        <f t="shared" si="50" ref="B117:G117">(B112/B9-B113/B10)*10000</f>
        <v>231.19367092329924</v>
      </c>
      <c r="C117" s="36">
        <f t="shared" si="50"/>
        <v>214.06276216460074</v>
      </c>
      <c r="D117" s="36">
        <f t="shared" si="50"/>
        <v>190.25303972582398</v>
      </c>
      <c r="E117" s="36">
        <f t="shared" si="50"/>
        <v>224.97564776933598</v>
      </c>
      <c r="F117" s="36">
        <f t="shared" si="50"/>
        <v>190.36256735640688</v>
      </c>
      <c r="G117" s="67">
        <f t="shared" si="50"/>
        <v>70.09275630301349</v>
      </c>
      <c r="H117" s="3"/>
    </row>
    <row r="118" ht="15" customHeight="1">
      <c r="A118" s="45" t="s">
        <v>101</v>
      </c>
      <c r="B118" s="36">
        <f>(B112/B9-F113/F10)*10000</f>
        <v>84.56606017581636</v>
      </c>
      <c r="C118" s="36">
        <f t="shared" si="51" ref="C118:G118">(C112/C9-B112/B9)*10000</f>
        <v>-192.71496168629386</v>
      </c>
      <c r="D118" s="36"/>
      <c r="E118" s="36">
        <f>(E112/E9-C112/C9)*10000</f>
        <v>315.4371623745966</v>
      </c>
      <c r="F118" s="36">
        <f t="shared" si="51"/>
        <v>-16.925693507712225</v>
      </c>
      <c r="G118" s="67">
        <f t="shared" si="51"/>
        <v>-35.70375087757704</v>
      </c>
      <c r="H118" s="3"/>
    </row>
    <row r="119" ht="15" customHeight="1">
      <c r="A119" s="29" t="s">
        <v>202</v>
      </c>
      <c r="B119" s="62">
        <f t="shared" si="52" ref="B119:G119">B32+B84</f>
        <v>607</v>
      </c>
      <c r="C119" s="62">
        <f t="shared" si="52"/>
        <v>523</v>
      </c>
      <c r="D119" s="62">
        <f t="shared" si="52"/>
        <v>2267</v>
      </c>
      <c r="E119" s="62">
        <f t="shared" si="52"/>
        <v>645</v>
      </c>
      <c r="F119" s="62">
        <f t="shared" si="52"/>
        <v>697</v>
      </c>
      <c r="G119" s="63">
        <f t="shared" si="52"/>
        <v>687.2161550000001</v>
      </c>
      <c r="H119" s="3"/>
    </row>
    <row r="120" ht="15" customHeight="1">
      <c r="A120" s="58" t="s">
        <v>69</v>
      </c>
      <c r="B120" s="49">
        <v>524</v>
      </c>
      <c r="C120" s="49">
        <v>438</v>
      </c>
      <c r="D120" s="49">
        <v>1967</v>
      </c>
      <c r="E120" s="49">
        <v>565</v>
      </c>
      <c r="F120" s="49">
        <v>572</v>
      </c>
      <c r="G120" s="60">
        <f t="shared" si="28"/>
        <v>607</v>
      </c>
      <c r="H120" s="3"/>
    </row>
    <row r="121" ht="15" customHeight="1">
      <c r="A121" s="45" t="s">
        <v>70</v>
      </c>
      <c r="B121" s="37">
        <f t="shared" si="0"/>
        <v>0.15839694656488557</v>
      </c>
      <c r="C121" s="37">
        <f t="shared" si="0"/>
        <v>0.19406392694063923</v>
      </c>
      <c r="D121" s="37">
        <f t="shared" si="0"/>
        <v>0.15251652262328408</v>
      </c>
      <c r="E121" s="37">
        <f t="shared" si="0"/>
        <v>0.1415929203539823</v>
      </c>
      <c r="F121" s="37">
        <f t="shared" si="0"/>
        <v>0.21853146853146854</v>
      </c>
      <c r="G121" s="59">
        <f t="shared" si="0"/>
        <v>0.1321518204283363</v>
      </c>
      <c r="H121" s="3"/>
    </row>
    <row r="122" ht="15" customHeight="1">
      <c r="A122" s="58" t="s">
        <v>71</v>
      </c>
      <c r="B122" s="27">
        <f t="shared" si="1"/>
        <v>83</v>
      </c>
      <c r="C122" s="27">
        <f t="shared" si="1"/>
        <v>85</v>
      </c>
      <c r="D122" s="27">
        <f t="shared" si="1"/>
        <v>300</v>
      </c>
      <c r="E122" s="27">
        <f t="shared" si="1"/>
        <v>80</v>
      </c>
      <c r="F122" s="27">
        <f t="shared" si="1"/>
        <v>125</v>
      </c>
      <c r="G122" s="60">
        <f t="shared" si="1"/>
        <v>80.21615500000007</v>
      </c>
      <c r="H122" s="3"/>
    </row>
    <row r="123" ht="15" customHeight="1">
      <c r="A123" s="58" t="s">
        <v>73</v>
      </c>
      <c r="B123" s="27">
        <f t="shared" si="15"/>
        <v>35</v>
      </c>
      <c r="C123" s="27">
        <f t="shared" si="4"/>
        <v>-84</v>
      </c>
      <c r="D123" s="27"/>
      <c r="E123" s="27">
        <f t="shared" si="16"/>
        <v>122</v>
      </c>
      <c r="F123" s="27">
        <f t="shared" si="4"/>
        <v>52</v>
      </c>
      <c r="G123" s="60">
        <f t="shared" si="4"/>
        <v>-9.783844999999928</v>
      </c>
      <c r="H123" s="3"/>
    </row>
    <row r="124" ht="15" customHeight="1">
      <c r="A124" s="45" t="s">
        <v>48</v>
      </c>
      <c r="B124" s="37">
        <f t="shared" si="53" ref="B124:G124">B119/B9</f>
        <v>0.21032571032571032</v>
      </c>
      <c r="C124" s="37">
        <f t="shared" si="53"/>
        <v>0.1763912310286678</v>
      </c>
      <c r="D124" s="37">
        <f t="shared" si="53"/>
        <v>0.20300886540700278</v>
      </c>
      <c r="E124" s="37">
        <f t="shared" si="53"/>
        <v>0.21864406779661016</v>
      </c>
      <c r="F124" s="37">
        <f t="shared" si="53"/>
        <v>0.2192513368983957</v>
      </c>
      <c r="G124" s="59">
        <f t="shared" si="53"/>
        <v>0.21744146984700038</v>
      </c>
      <c r="H124" s="3"/>
    </row>
    <row r="125" ht="15" customHeight="1">
      <c r="A125" s="45" t="s">
        <v>100</v>
      </c>
      <c r="B125" s="36">
        <f t="shared" si="54" ref="B125:G125">(B119/B9-B120/B10)*10000</f>
        <v>135.55150806371236</v>
      </c>
      <c r="C125" s="36">
        <f t="shared" si="54"/>
        <v>68.20963897425064</v>
      </c>
      <c r="D125" s="36">
        <f t="shared" si="54"/>
        <v>136.37535860454213</v>
      </c>
      <c r="E125" s="36">
        <f t="shared" si="54"/>
        <v>21.689720111695564</v>
      </c>
      <c r="F125" s="36">
        <f t="shared" si="54"/>
        <v>78.69223077257487</v>
      </c>
      <c r="G125" s="67">
        <f t="shared" si="54"/>
        <v>71.15759521290066</v>
      </c>
      <c r="H125" s="18" t="s">
        <v>306</v>
      </c>
    </row>
    <row r="126" ht="15" customHeight="1">
      <c r="A126" s="45" t="s">
        <v>101</v>
      </c>
      <c r="B126" s="36">
        <f>(B119/B9-F120/F10)*10000</f>
        <v>-10.564034954279045</v>
      </c>
      <c r="C126" s="36">
        <f t="shared" si="55" ref="C126:G126">(C119/C9-B119/B9)*10000</f>
        <v>-339.3447929704252</v>
      </c>
      <c r="D126" s="36"/>
      <c r="E126" s="36">
        <f>(E119/E9-C119/C9)*10000</f>
        <v>422.52836767942364</v>
      </c>
      <c r="F126" s="36">
        <f t="shared" si="55"/>
        <v>6.072691017855458</v>
      </c>
      <c r="G126" s="67">
        <f t="shared" si="55"/>
        <v>-18.09867051395325</v>
      </c>
      <c r="H126" s="3"/>
    </row>
    <row r="127" ht="15" customHeight="1">
      <c r="A127" s="58" t="s">
        <v>307</v>
      </c>
      <c r="B127" s="49">
        <v>607</v>
      </c>
      <c r="C127" s="49">
        <v>523</v>
      </c>
      <c r="D127" s="49">
        <v>2267</v>
      </c>
      <c r="E127" s="49">
        <v>645</v>
      </c>
      <c r="F127" s="49">
        <v>697</v>
      </c>
      <c r="G127" s="60"/>
      <c r="H127" s="3"/>
    </row>
    <row r="128" ht="23.25" customHeight="1">
      <c r="A128" s="45" t="s">
        <v>308</v>
      </c>
      <c r="B128" s="47">
        <f t="shared" si="20"/>
        <v>0</v>
      </c>
      <c r="C128" s="47">
        <f t="shared" si="20"/>
        <v>0</v>
      </c>
      <c r="D128" s="47">
        <f t="shared" si="20"/>
        <v>0</v>
      </c>
      <c r="E128" s="47">
        <f t="shared" si="20"/>
        <v>0</v>
      </c>
      <c r="F128" s="47">
        <f t="shared" si="20"/>
        <v>0</v>
      </c>
      <c r="G128" s="85">
        <f>G119-('Segment - Freight'!G142+'Segment - Transit'!G110+G152)</f>
        <v>0</v>
      </c>
      <c r="H128" s="3"/>
    </row>
    <row r="129" ht="15" customHeight="1">
      <c r="A129" s="58" t="s">
        <v>309</v>
      </c>
      <c r="B129" s="27">
        <f t="shared" si="56" ref="B129:G129">B119-B112</f>
        <v>-421</v>
      </c>
      <c r="C129" s="27">
        <f t="shared" si="56"/>
        <v>-476</v>
      </c>
      <c r="D129" s="27">
        <f t="shared" si="56"/>
        <v>-1604</v>
      </c>
      <c r="E129" s="27">
        <f t="shared" si="56"/>
        <v>-442</v>
      </c>
      <c r="F129" s="27">
        <f t="shared" si="56"/>
        <v>-469</v>
      </c>
      <c r="G129" s="60">
        <f t="shared" si="56"/>
        <v>-460.701495</v>
      </c>
      <c r="H129" s="3"/>
    </row>
    <row r="130" ht="15" customHeight="1">
      <c r="A130" s="45" t="s">
        <v>206</v>
      </c>
      <c r="B130" s="37">
        <f t="shared" si="57" ref="B130:G130">-B129/B9</f>
        <v>0.14587664587664587</v>
      </c>
      <c r="C130" s="37">
        <f t="shared" si="57"/>
        <v>0.16053962900505903</v>
      </c>
      <c r="D130" s="37">
        <f t="shared" si="57"/>
        <v>0.1436375033581087</v>
      </c>
      <c r="E130" s="37">
        <f t="shared" si="57"/>
        <v>0.14983050847457627</v>
      </c>
      <c r="F130" s="37">
        <f t="shared" si="57"/>
        <v>0.1475306700220195</v>
      </c>
      <c r="G130" s="59">
        <f t="shared" si="57"/>
        <v>0.14577016198565718</v>
      </c>
      <c r="H130" s="3"/>
    </row>
    <row r="131" ht="15" customHeight="1">
      <c r="A131" s="45" t="s">
        <v>100</v>
      </c>
      <c r="B131" s="36">
        <f t="shared" si="58" ref="B131:G131">(B130-(B113-B120)/B10)*10000</f>
        <v>95.6421628595866</v>
      </c>
      <c r="C131" s="36">
        <f t="shared" si="58"/>
        <v>145.8531231903501</v>
      </c>
      <c r="D131" s="36">
        <f t="shared" si="58"/>
        <v>53.877681121281555</v>
      </c>
      <c r="E131" s="36">
        <f t="shared" si="58"/>
        <v>203.28592765764014</v>
      </c>
      <c r="F131" s="36">
        <f t="shared" si="58"/>
        <v>111.67033658383147</v>
      </c>
      <c r="G131" s="67">
        <f t="shared" si="58"/>
        <v>-1.0648389098869004</v>
      </c>
      <c r="H131" s="3"/>
    </row>
    <row r="132" ht="15" customHeight="1">
      <c r="A132" s="45" t="s">
        <v>101</v>
      </c>
      <c r="B132" s="36">
        <f>(B130-(F113-F120)/F10)*10000</f>
        <v>95.13009513009513</v>
      </c>
      <c r="C132" s="36">
        <f t="shared" si="13"/>
        <v>146.6298312841316</v>
      </c>
      <c r="D132" s="36"/>
      <c r="E132" s="36">
        <f t="shared" si="42"/>
        <v>-107.09120530482757</v>
      </c>
      <c r="F132" s="36">
        <f t="shared" si="13"/>
        <v>-22.998384525567683</v>
      </c>
      <c r="G132" s="67">
        <f t="shared" si="13"/>
        <v>-17.605080363623237</v>
      </c>
      <c r="H132" s="3"/>
    </row>
    <row r="133" ht="15" customHeight="1">
      <c r="A133" s="22" t="s">
        <v>310</v>
      </c>
      <c r="B133" s="27">
        <f t="shared" si="59" ref="B133:G133">B42+B43+B85</f>
        <v>-64</v>
      </c>
      <c r="C133" s="27">
        <f t="shared" si="59"/>
        <v>-54</v>
      </c>
      <c r="D133" s="27">
        <f t="shared" si="59"/>
        <v>-220</v>
      </c>
      <c r="E133" s="27">
        <f t="shared" si="59"/>
        <v>-50</v>
      </c>
      <c r="F133" s="27">
        <f t="shared" si="59"/>
        <v>-82</v>
      </c>
      <c r="G133" s="60">
        <f t="shared" si="59"/>
        <v>-76</v>
      </c>
      <c r="H133" s="3"/>
    </row>
    <row r="134" ht="15" customHeight="1">
      <c r="A134" s="29" t="s">
        <v>311</v>
      </c>
      <c r="B134" s="62">
        <f t="shared" si="60" ref="B134:G134">B119+B133</f>
        <v>543</v>
      </c>
      <c r="C134" s="62">
        <f t="shared" si="60"/>
        <v>469</v>
      </c>
      <c r="D134" s="62">
        <f t="shared" si="60"/>
        <v>2047</v>
      </c>
      <c r="E134" s="62">
        <f t="shared" si="60"/>
        <v>595</v>
      </c>
      <c r="F134" s="62">
        <f t="shared" si="60"/>
        <v>615</v>
      </c>
      <c r="G134" s="63">
        <f t="shared" si="60"/>
        <v>611.2161550000001</v>
      </c>
      <c r="H134" s="3"/>
    </row>
    <row r="135" ht="15" customHeight="1">
      <c r="A135" s="22" t="s">
        <v>312</v>
      </c>
      <c r="B135" s="27">
        <f t="shared" si="61" ref="B135:F135">B45+B87</f>
        <v>-142</v>
      </c>
      <c r="C135" s="27">
        <f t="shared" si="61"/>
        <v>-109</v>
      </c>
      <c r="D135" s="27">
        <f t="shared" si="61"/>
        <v>-497</v>
      </c>
      <c r="E135" s="27">
        <f t="shared" si="61"/>
        <v>-132</v>
      </c>
      <c r="F135" s="27">
        <f t="shared" si="61"/>
        <v>-145</v>
      </c>
      <c r="G135" s="60">
        <f>-G134*G137</f>
        <v>-149.74795797500002</v>
      </c>
      <c r="H135" s="3"/>
    </row>
    <row r="136" ht="15" customHeight="1">
      <c r="A136" s="45" t="s">
        <v>313</v>
      </c>
      <c r="B136" s="37">
        <f t="shared" si="23"/>
        <v>0.26151012891344383</v>
      </c>
      <c r="C136" s="37">
        <f t="shared" si="23"/>
        <v>0.232409381663113</v>
      </c>
      <c r="D136" s="37">
        <f t="shared" si="23"/>
        <v>0.2427943331704934</v>
      </c>
      <c r="E136" s="37">
        <f t="shared" si="23"/>
        <v>0.2218487394957983</v>
      </c>
      <c r="F136" s="37">
        <f t="shared" si="23"/>
        <v>0.23577235772357724</v>
      </c>
      <c r="G136" s="59">
        <f t="shared" si="23"/>
        <v>0.245</v>
      </c>
      <c r="H136" s="3"/>
    </row>
    <row r="137" ht="82.5" customHeight="1">
      <c r="A137" s="68" t="s">
        <v>314</v>
      </c>
      <c r="B137" s="37"/>
      <c r="C137" s="37"/>
      <c r="D137" s="37"/>
      <c r="E137" s="37"/>
      <c r="F137" s="37"/>
      <c r="G137" s="69">
        <v>0.245</v>
      </c>
      <c r="H137" s="38" t="s">
        <v>315</v>
      </c>
    </row>
    <row r="138" ht="15" customHeight="1">
      <c r="A138" s="66" t="s">
        <v>316</v>
      </c>
      <c r="B138" s="49">
        <v>-115</v>
      </c>
      <c r="C138" s="49">
        <v>-96</v>
      </c>
      <c r="D138" s="49">
        <v>-429</v>
      </c>
      <c r="E138" s="49">
        <v>-120</v>
      </c>
      <c r="F138" s="49">
        <v>-126</v>
      </c>
      <c r="G138" s="60">
        <f>B135</f>
        <v>-142</v>
      </c>
      <c r="H138" s="3"/>
    </row>
    <row r="139" ht="27" customHeight="1">
      <c r="A139" s="66" t="s">
        <v>317</v>
      </c>
      <c r="B139" s="49">
        <v>469</v>
      </c>
      <c r="C139" s="49">
        <v>388</v>
      </c>
      <c r="D139" s="49">
        <v>1764</v>
      </c>
      <c r="E139" s="49">
        <v>517</v>
      </c>
      <c r="F139" s="49">
        <v>518</v>
      </c>
      <c r="G139" s="60">
        <f>B134</f>
        <v>543</v>
      </c>
      <c r="H139" s="3"/>
    </row>
    <row r="140" ht="15" customHeight="1">
      <c r="A140" s="45" t="s">
        <v>100</v>
      </c>
      <c r="B140" s="36">
        <f t="shared" si="62" ref="B140:G140">(B136+B138/B139)*10000</f>
        <v>163.07570278049383</v>
      </c>
      <c r="C140" s="36">
        <f t="shared" si="62"/>
        <v>-150.13298749258135</v>
      </c>
      <c r="D140" s="36">
        <f t="shared" si="62"/>
        <v>-4.029457410712201</v>
      </c>
      <c r="E140" s="36">
        <f t="shared" si="62"/>
        <v>-102.59577718901875</v>
      </c>
      <c r="F140" s="36">
        <f t="shared" si="62"/>
        <v>-74.70885519666015</v>
      </c>
      <c r="G140" s="67">
        <f t="shared" si="62"/>
        <v>-165.10128913443833</v>
      </c>
      <c r="H140" s="3"/>
    </row>
    <row r="141" ht="15" customHeight="1">
      <c r="A141" s="45" t="s">
        <v>101</v>
      </c>
      <c r="B141" s="36">
        <f>(B136+F138/F139)*10000</f>
        <v>182.6688567020057</v>
      </c>
      <c r="C141" s="36">
        <f t="shared" si="63" ref="C141:G141">(C136-B136)*10000</f>
        <v>-291.00747250330824</v>
      </c>
      <c r="D141" s="36"/>
      <c r="E141" s="36">
        <f>(E136-C136)*10000</f>
        <v>-105.60642167314698</v>
      </c>
      <c r="F141" s="36">
        <f t="shared" si="63"/>
        <v>139.23618227778934</v>
      </c>
      <c r="G141" s="67">
        <f t="shared" si="63"/>
        <v>92.27642276422753</v>
      </c>
      <c r="H141" s="3"/>
    </row>
    <row r="142" ht="15" customHeight="1">
      <c r="A142" s="29" t="s">
        <v>318</v>
      </c>
      <c r="B142" s="62">
        <f t="shared" si="64" ref="B142:G142">B134+B135</f>
        <v>401</v>
      </c>
      <c r="C142" s="62">
        <f t="shared" si="64"/>
        <v>360</v>
      </c>
      <c r="D142" s="62">
        <f t="shared" si="64"/>
        <v>1550</v>
      </c>
      <c r="E142" s="62">
        <f t="shared" si="64"/>
        <v>463</v>
      </c>
      <c r="F142" s="62">
        <f t="shared" si="64"/>
        <v>470</v>
      </c>
      <c r="G142" s="63">
        <f t="shared" si="64"/>
        <v>461.46819702500005</v>
      </c>
      <c r="H142" s="3"/>
    </row>
    <row r="143" ht="15" customHeight="1">
      <c r="A143" s="29" t="s">
        <v>319</v>
      </c>
      <c r="B143" s="62">
        <f t="shared" si="65" ref="B143:G143">B142+B52</f>
        <v>398</v>
      </c>
      <c r="C143" s="62">
        <f t="shared" si="65"/>
        <v>358</v>
      </c>
      <c r="D143" s="62">
        <f t="shared" si="65"/>
        <v>1537</v>
      </c>
      <c r="E143" s="62">
        <f t="shared" si="65"/>
        <v>462</v>
      </c>
      <c r="F143" s="62">
        <f t="shared" si="65"/>
        <v>469</v>
      </c>
      <c r="G143" s="63">
        <f t="shared" si="65"/>
        <v>459.46819702500005</v>
      </c>
      <c r="H143" s="3"/>
    </row>
    <row r="144" ht="15" customHeight="1">
      <c r="A144" s="45" t="s">
        <v>320</v>
      </c>
      <c r="B144" s="47">
        <f t="shared" si="66" ref="B144:G144">B143-B92</f>
        <v>0</v>
      </c>
      <c r="C144" s="47">
        <f t="shared" si="66"/>
        <v>0</v>
      </c>
      <c r="D144" s="47">
        <f t="shared" si="66"/>
        <v>0</v>
      </c>
      <c r="E144" s="47">
        <f t="shared" si="66"/>
        <v>0</v>
      </c>
      <c r="F144" s="47">
        <f t="shared" si="66"/>
        <v>0</v>
      </c>
      <c r="G144" s="64">
        <f t="shared" si="66"/>
        <v>0</v>
      </c>
      <c r="H144" s="3"/>
    </row>
    <row r="145" ht="15" customHeight="1">
      <c r="A145" s="22"/>
      <c r="B145" s="3"/>
      <c r="C145" s="3"/>
      <c r="D145" s="3"/>
      <c r="E145" s="3"/>
      <c r="F145" s="3"/>
      <c r="G145" s="65"/>
      <c r="H145" s="3"/>
    </row>
    <row r="146" ht="15" customHeight="1">
      <c r="A146" s="55" t="s">
        <v>321</v>
      </c>
      <c r="B146" s="20"/>
      <c r="C146" s="20"/>
      <c r="D146" s="20"/>
      <c r="E146" s="20"/>
      <c r="F146" s="20"/>
      <c r="G146" s="56"/>
      <c r="H146" s="3"/>
    </row>
    <row r="147" ht="15" customHeight="1">
      <c r="A147" s="22" t="s">
        <v>322</v>
      </c>
      <c r="B147" s="26">
        <f>'Segment - Freight'!B160</f>
        <v>414</v>
      </c>
      <c r="C147" s="26">
        <f>'Segment - Freight'!C160</f>
        <v>318</v>
      </c>
      <c r="D147" s="26">
        <f>'Segment - Freight'!D160</f>
        <v>1567</v>
      </c>
      <c r="E147" s="26">
        <f>'Segment - Freight'!E160</f>
        <v>450</v>
      </c>
      <c r="F147" s="26">
        <f>'Segment - Freight'!F160</f>
        <v>504</v>
      </c>
      <c r="G147" s="57">
        <f>'Segment - Freight'!G160</f>
        <v>498.72202500000003</v>
      </c>
      <c r="H147" s="3"/>
    </row>
    <row r="148" ht="15" customHeight="1">
      <c r="A148" s="22" t="s">
        <v>323</v>
      </c>
      <c r="B148" s="26">
        <f>'Segment - Transit'!B128</f>
        <v>115</v>
      </c>
      <c r="C148" s="26">
        <f>'Segment - Transit'!C128</f>
        <v>108</v>
      </c>
      <c r="D148" s="26">
        <f>'Segment - Transit'!D128</f>
        <v>422</v>
      </c>
      <c r="E148" s="26">
        <f>'Segment - Transit'!E128</f>
        <v>121</v>
      </c>
      <c r="F148" s="26">
        <f>'Segment - Transit'!F128</f>
        <v>146</v>
      </c>
      <c r="G148" s="57">
        <f>'Segment - Transit'!G128</f>
        <v>135.49412999999998</v>
      </c>
      <c r="H148" s="3"/>
    </row>
    <row r="149" ht="15" customHeight="1">
      <c r="A149" s="22" t="s">
        <v>324</v>
      </c>
      <c r="B149" s="27">
        <f t="shared" si="67" ref="B149:F149">B32-B147-B148</f>
        <v>-38</v>
      </c>
      <c r="C149" s="27">
        <f t="shared" si="67"/>
        <v>-70</v>
      </c>
      <c r="D149" s="27">
        <f t="shared" si="67"/>
        <v>-196</v>
      </c>
      <c r="E149" s="27">
        <f t="shared" si="67"/>
        <v>-54</v>
      </c>
      <c r="F149" s="27">
        <f t="shared" si="67"/>
        <v>-50</v>
      </c>
      <c r="G149" s="60">
        <f>G152-G153-G154</f>
        <v>-47</v>
      </c>
      <c r="H149" s="3"/>
    </row>
    <row r="150" ht="15" customHeight="1">
      <c r="A150" s="22" t="s">
        <v>325</v>
      </c>
      <c r="B150" s="26">
        <f>'Segment - Freight'!B142</f>
        <v>513</v>
      </c>
      <c r="C150" s="26">
        <f>'Segment - Freight'!C142</f>
        <v>470</v>
      </c>
      <c r="D150" s="26">
        <f>'Segment - Freight'!D142</f>
        <v>1951</v>
      </c>
      <c r="E150" s="26">
        <f>'Segment - Freight'!E142</f>
        <v>550</v>
      </c>
      <c r="F150" s="26">
        <f>'Segment - Freight'!F142</f>
        <v>579</v>
      </c>
      <c r="G150" s="57">
        <f>'Segment - Freight'!G142</f>
        <v>576.722025</v>
      </c>
      <c r="H150" s="3"/>
    </row>
    <row r="151" ht="15" customHeight="1">
      <c r="A151" s="22" t="s">
        <v>326</v>
      </c>
      <c r="B151" s="26">
        <f>'Segment - Transit'!B110</f>
        <v>123</v>
      </c>
      <c r="C151" s="26">
        <f>'Segment - Transit'!C110</f>
        <v>118</v>
      </c>
      <c r="D151" s="26">
        <f>'Segment - Transit'!D110</f>
        <v>464</v>
      </c>
      <c r="E151" s="26">
        <f>'Segment - Transit'!E110</f>
        <v>138</v>
      </c>
      <c r="F151" s="26">
        <f>'Segment - Transit'!F110</f>
        <v>166</v>
      </c>
      <c r="G151" s="57">
        <f>'Segment - Transit'!G110</f>
        <v>155.49412999999998</v>
      </c>
      <c r="H151" s="3"/>
    </row>
    <row r="152" ht="15" customHeight="1">
      <c r="A152" s="22" t="s">
        <v>327</v>
      </c>
      <c r="B152" s="27">
        <f t="shared" si="68" ref="B152:F152">B119-B150-B151</f>
        <v>-29</v>
      </c>
      <c r="C152" s="27">
        <f t="shared" si="68"/>
        <v>-65</v>
      </c>
      <c r="D152" s="27">
        <f t="shared" si="68"/>
        <v>-148</v>
      </c>
      <c r="E152" s="27">
        <f t="shared" si="68"/>
        <v>-43</v>
      </c>
      <c r="F152" s="27">
        <f t="shared" si="68"/>
        <v>-48</v>
      </c>
      <c r="G152" s="73">
        <v>-45</v>
      </c>
      <c r="H152" s="18" t="s">
        <v>328</v>
      </c>
    </row>
    <row r="153" ht="15" customHeight="1">
      <c r="A153" s="58" t="s">
        <v>329</v>
      </c>
      <c r="B153" s="27"/>
      <c r="C153" s="27"/>
      <c r="D153" s="27"/>
      <c r="E153" s="27"/>
      <c r="F153" s="27"/>
      <c r="G153" s="73">
        <v>1</v>
      </c>
      <c r="H153" s="3"/>
    </row>
    <row r="154" ht="27" customHeight="1">
      <c r="A154" s="58" t="s">
        <v>330</v>
      </c>
      <c r="B154" s="27"/>
      <c r="C154" s="27"/>
      <c r="D154" s="27"/>
      <c r="E154" s="27"/>
      <c r="F154" s="27"/>
      <c r="G154" s="73">
        <v>1</v>
      </c>
      <c r="H154" s="3"/>
    </row>
    <row r="155" ht="15" customHeight="1">
      <c r="A155" s="22"/>
      <c r="B155" s="3"/>
      <c r="C155" s="3"/>
      <c r="D155" s="3"/>
      <c r="E155" s="3"/>
      <c r="F155" s="3"/>
      <c r="G155" s="65"/>
      <c r="H155" s="3"/>
    </row>
    <row r="156" ht="15" customHeight="1">
      <c r="A156" s="55" t="s">
        <v>331</v>
      </c>
      <c r="B156" s="20"/>
      <c r="C156" s="20"/>
      <c r="D156" s="20"/>
      <c r="E156" s="20"/>
      <c r="F156" s="20"/>
      <c r="G156" s="56"/>
      <c r="H156" s="3"/>
    </row>
    <row r="157" ht="15" customHeight="1">
      <c r="A157" s="58" t="s">
        <v>332</v>
      </c>
      <c r="B157" s="27"/>
      <c r="C157" s="27"/>
      <c r="D157" s="27"/>
      <c r="E157" s="27"/>
      <c r="F157" s="27"/>
      <c r="G157" s="73">
        <v>53</v>
      </c>
      <c r="H157" s="18" t="s">
        <v>333</v>
      </c>
    </row>
    <row r="158" ht="15" customHeight="1">
      <c r="A158" s="22" t="s">
        <v>334</v>
      </c>
      <c r="B158" s="49">
        <v>127</v>
      </c>
      <c r="C158" s="49">
        <v>133</v>
      </c>
      <c r="D158" s="27">
        <f>D187+B158+C158</f>
        <v>494</v>
      </c>
      <c r="E158" s="49">
        <v>137</v>
      </c>
      <c r="F158" s="49">
        <v>142</v>
      </c>
      <c r="G158" s="60">
        <f>G157-G27</f>
        <v>145</v>
      </c>
      <c r="H158" s="3"/>
    </row>
    <row r="159" ht="15" customHeight="1">
      <c r="A159" s="29" t="s">
        <v>335</v>
      </c>
      <c r="B159" s="62">
        <f t="shared" si="69" ref="B159:G159">B32+B43+B158</f>
        <v>617</v>
      </c>
      <c r="C159" s="62">
        <f t="shared" si="69"/>
        <v>492</v>
      </c>
      <c r="D159" s="62">
        <f t="shared" si="69"/>
        <v>2311</v>
      </c>
      <c r="E159" s="62">
        <f t="shared" si="69"/>
        <v>677</v>
      </c>
      <c r="F159" s="62">
        <f t="shared" si="69"/>
        <v>740</v>
      </c>
      <c r="G159" s="63">
        <f t="shared" si="69"/>
        <v>735.2161550000001</v>
      </c>
      <c r="H159" s="3"/>
    </row>
    <row r="160" ht="15" customHeight="1">
      <c r="A160" s="58" t="s">
        <v>336</v>
      </c>
      <c r="B160" s="49">
        <v>617</v>
      </c>
      <c r="C160" s="49">
        <v>492</v>
      </c>
      <c r="D160" s="49">
        <v>2311</v>
      </c>
      <c r="E160" s="49">
        <v>677</v>
      </c>
      <c r="F160" s="49">
        <v>740</v>
      </c>
      <c r="G160" s="60"/>
      <c r="H160" s="3"/>
    </row>
    <row r="161" ht="15" customHeight="1">
      <c r="A161" s="45" t="s">
        <v>337</v>
      </c>
      <c r="B161" s="47">
        <f t="shared" si="47"/>
        <v>0</v>
      </c>
      <c r="C161" s="47">
        <f t="shared" si="47"/>
        <v>0</v>
      </c>
      <c r="D161" s="47">
        <f t="shared" si="47"/>
        <v>0</v>
      </c>
      <c r="E161" s="47">
        <f t="shared" si="47"/>
        <v>0</v>
      </c>
      <c r="F161" s="47">
        <f t="shared" si="47"/>
        <v>0</v>
      </c>
      <c r="G161" s="64"/>
      <c r="H161" s="3"/>
    </row>
    <row r="162" ht="15" customHeight="1">
      <c r="A162" s="58" t="s">
        <v>338</v>
      </c>
      <c r="B162" s="49">
        <v>41</v>
      </c>
      <c r="C162" s="49">
        <v>98</v>
      </c>
      <c r="D162" s="27">
        <f>D188+B162+C162</f>
        <v>153</v>
      </c>
      <c r="E162" s="49">
        <v>39</v>
      </c>
      <c r="F162" s="49">
        <v>6</v>
      </c>
      <c r="G162" s="60">
        <f>G80+G81+G82+G85</f>
        <v>8</v>
      </c>
      <c r="H162" s="18" t="s">
        <v>339</v>
      </c>
    </row>
    <row r="163" ht="15" customHeight="1">
      <c r="A163" s="29" t="s">
        <v>340</v>
      </c>
      <c r="B163" s="62">
        <f t="shared" si="70" ref="B163:G163">B159+B162</f>
        <v>658</v>
      </c>
      <c r="C163" s="62">
        <f t="shared" si="70"/>
        <v>590</v>
      </c>
      <c r="D163" s="62">
        <f t="shared" si="70"/>
        <v>2464</v>
      </c>
      <c r="E163" s="62">
        <f t="shared" si="70"/>
        <v>716</v>
      </c>
      <c r="F163" s="62">
        <f t="shared" si="70"/>
        <v>746</v>
      </c>
      <c r="G163" s="63">
        <f t="shared" si="70"/>
        <v>743.2161550000001</v>
      </c>
      <c r="H163" s="3"/>
    </row>
    <row r="164" ht="15" customHeight="1">
      <c r="A164" s="58" t="s">
        <v>341</v>
      </c>
      <c r="B164" s="49">
        <v>567</v>
      </c>
      <c r="C164" s="49">
        <v>486</v>
      </c>
      <c r="D164" s="49">
        <v>2148</v>
      </c>
      <c r="E164" s="49">
        <v>608</v>
      </c>
      <c r="F164" s="49">
        <v>608</v>
      </c>
      <c r="G164" s="60">
        <f t="shared" si="28"/>
        <v>658</v>
      </c>
      <c r="H164" s="3"/>
    </row>
    <row r="165" ht="15" customHeight="1">
      <c r="A165" s="45" t="s">
        <v>70</v>
      </c>
      <c r="B165" s="37">
        <f t="shared" si="0"/>
        <v>0.16049382716049387</v>
      </c>
      <c r="C165" s="37">
        <f t="shared" si="0"/>
        <v>0.21399176954732502</v>
      </c>
      <c r="D165" s="37">
        <f t="shared" si="0"/>
        <v>0.14711359404096824</v>
      </c>
      <c r="E165" s="37">
        <f t="shared" si="0"/>
        <v>0.17763157894736836</v>
      </c>
      <c r="F165" s="37">
        <f t="shared" si="0"/>
        <v>0.22697368421052633</v>
      </c>
      <c r="G165" s="59">
        <f t="shared" si="0"/>
        <v>0.1295078343465046</v>
      </c>
      <c r="H165" s="3"/>
    </row>
    <row r="166" ht="15" customHeight="1">
      <c r="A166" s="58" t="s">
        <v>71</v>
      </c>
      <c r="B166" s="27">
        <f t="shared" si="1"/>
        <v>91</v>
      </c>
      <c r="C166" s="27">
        <f t="shared" si="1"/>
        <v>104</v>
      </c>
      <c r="D166" s="27">
        <f t="shared" si="1"/>
        <v>316</v>
      </c>
      <c r="E166" s="27">
        <f t="shared" si="1"/>
        <v>108</v>
      </c>
      <c r="F166" s="27">
        <f t="shared" si="1"/>
        <v>138</v>
      </c>
      <c r="G166" s="60">
        <f t="shared" si="1"/>
        <v>85.21615500000007</v>
      </c>
      <c r="H166" s="3"/>
    </row>
    <row r="167" ht="15" customHeight="1">
      <c r="A167" s="58" t="s">
        <v>73</v>
      </c>
      <c r="B167" s="27">
        <f t="shared" si="15"/>
        <v>50</v>
      </c>
      <c r="C167" s="27">
        <f t="shared" si="4"/>
        <v>-68</v>
      </c>
      <c r="D167" s="27"/>
      <c r="E167" s="27">
        <f t="shared" si="16"/>
        <v>126</v>
      </c>
      <c r="F167" s="27">
        <f t="shared" si="4"/>
        <v>30</v>
      </c>
      <c r="G167" s="60">
        <f t="shared" si="4"/>
        <v>-2.7838449999999284</v>
      </c>
      <c r="H167" s="3"/>
    </row>
    <row r="168" ht="15" customHeight="1">
      <c r="A168" s="45" t="s">
        <v>342</v>
      </c>
      <c r="B168" s="37">
        <f t="shared" si="71" ref="B168:G168">B163/B9</f>
        <v>0.227997227997228</v>
      </c>
      <c r="C168" s="37">
        <f t="shared" si="71"/>
        <v>0.19898819561551434</v>
      </c>
      <c r="D168" s="37">
        <f t="shared" si="71"/>
        <v>0.22065012984687024</v>
      </c>
      <c r="E168" s="37">
        <f t="shared" si="71"/>
        <v>0.24271186440677966</v>
      </c>
      <c r="F168" s="37">
        <f t="shared" si="71"/>
        <v>0.2346649889902485</v>
      </c>
      <c r="G168" s="59">
        <f t="shared" si="71"/>
        <v>0.23516038146285437</v>
      </c>
      <c r="H168" s="3"/>
    </row>
    <row r="169" ht="15" customHeight="1">
      <c r="A169" s="45" t="s">
        <v>100</v>
      </c>
      <c r="B169" s="36">
        <f t="shared" si="72" ref="B169:G169">(B163/B9-B164/B10)*10000</f>
        <v>150.79466074584352</v>
      </c>
      <c r="C169" s="36">
        <f t="shared" si="72"/>
        <v>108.34885510984715</v>
      </c>
      <c r="D169" s="36">
        <f t="shared" si="72"/>
        <v>138.53172111239155</v>
      </c>
      <c r="E169" s="36">
        <f t="shared" si="72"/>
        <v>97.61672835898433</v>
      </c>
      <c r="F169" s="36">
        <f t="shared" si="72"/>
        <v>99.79105767779912</v>
      </c>
      <c r="G169" s="67">
        <f t="shared" si="72"/>
        <v>71.63153465626377</v>
      </c>
      <c r="H169" s="3"/>
    </row>
    <row r="170" ht="15" customHeight="1">
      <c r="A170" s="45" t="s">
        <v>101</v>
      </c>
      <c r="B170" s="36">
        <f>(B163/B9-F164/F10)*10000</f>
        <v>33.113447747593895</v>
      </c>
      <c r="C170" s="36">
        <f t="shared" si="73" ref="C170:G170">(C163/C9-B163/B9)*10000</f>
        <v>-290.0903238171365</v>
      </c>
      <c r="D170" s="36"/>
      <c r="E170" s="36">
        <f>(E163/E9-C163/C9)*10000</f>
        <v>437.2366879126532</v>
      </c>
      <c r="F170" s="36">
        <f t="shared" si="73"/>
        <v>-80.46875416531152</v>
      </c>
      <c r="G170" s="67">
        <f t="shared" si="73"/>
        <v>4.9539247260585455</v>
      </c>
      <c r="H170" s="3"/>
    </row>
    <row r="171" ht="15" customHeight="1">
      <c r="A171" s="58" t="s">
        <v>343</v>
      </c>
      <c r="B171" s="49">
        <v>658</v>
      </c>
      <c r="C171" s="49">
        <v>590</v>
      </c>
      <c r="D171" s="49">
        <v>2464</v>
      </c>
      <c r="E171" s="49">
        <v>716</v>
      </c>
      <c r="F171" s="49">
        <v>746</v>
      </c>
      <c r="G171" s="60"/>
      <c r="H171" s="3"/>
    </row>
    <row r="172" ht="15" customHeight="1">
      <c r="A172" s="45" t="s">
        <v>344</v>
      </c>
      <c r="B172" s="47">
        <f t="shared" si="20"/>
        <v>0</v>
      </c>
      <c r="C172" s="47">
        <f t="shared" si="20"/>
        <v>0</v>
      </c>
      <c r="D172" s="47">
        <f t="shared" si="20"/>
        <v>0</v>
      </c>
      <c r="E172" s="47">
        <f t="shared" si="20"/>
        <v>0</v>
      </c>
      <c r="F172" s="47">
        <f t="shared" si="20"/>
        <v>0</v>
      </c>
      <c r="G172" s="64"/>
      <c r="H172" s="3"/>
    </row>
    <row r="173" ht="15" customHeight="1">
      <c r="A173" s="22"/>
      <c r="B173" s="3"/>
      <c r="C173" s="3"/>
      <c r="D173" s="3"/>
      <c r="E173" s="3"/>
      <c r="F173" s="3"/>
      <c r="G173" s="65"/>
      <c r="H173" s="3"/>
    </row>
    <row r="174" ht="15" customHeight="1">
      <c r="A174" s="55" t="s">
        <v>345</v>
      </c>
      <c r="B174" s="20"/>
      <c r="C174" s="20"/>
      <c r="D174" s="20"/>
      <c r="E174" s="20"/>
      <c r="F174" s="20"/>
      <c r="G174" s="56"/>
      <c r="H174" s="3"/>
    </row>
    <row r="175" ht="15" customHeight="1">
      <c r="A175" s="58" t="s">
        <v>237</v>
      </c>
      <c r="B175" s="27"/>
      <c r="C175" s="27"/>
      <c r="D175" s="49">
        <v>-3478</v>
      </c>
      <c r="E175" s="27"/>
      <c r="F175" s="27"/>
      <c r="G175" s="60"/>
      <c r="H175" s="18" t="s">
        <v>346</v>
      </c>
    </row>
    <row r="176" ht="15" customHeight="1">
      <c r="A176" s="58" t="s">
        <v>347</v>
      </c>
      <c r="B176" s="27"/>
      <c r="C176" s="27"/>
      <c r="D176" s="49">
        <v>-654</v>
      </c>
      <c r="E176" s="27"/>
      <c r="F176" s="27"/>
      <c r="G176" s="60"/>
      <c r="H176" s="18" t="s">
        <v>346</v>
      </c>
    </row>
    <row r="177" ht="15" customHeight="1">
      <c r="A177" s="58" t="s">
        <v>348</v>
      </c>
      <c r="B177" s="27"/>
      <c r="C177" s="27"/>
      <c r="D177" s="49">
        <v>-96</v>
      </c>
      <c r="E177" s="27"/>
      <c r="F177" s="27"/>
      <c r="G177" s="60"/>
      <c r="H177" s="18" t="s">
        <v>346</v>
      </c>
    </row>
    <row r="178" ht="15" customHeight="1">
      <c r="A178" s="58" t="s">
        <v>246</v>
      </c>
      <c r="B178" s="27"/>
      <c r="C178" s="27"/>
      <c r="D178" s="49">
        <v>-142</v>
      </c>
      <c r="E178" s="27"/>
      <c r="F178" s="27"/>
      <c r="G178" s="60"/>
      <c r="H178" s="18" t="s">
        <v>346</v>
      </c>
    </row>
    <row r="179" ht="15" customHeight="1">
      <c r="A179" s="58" t="s">
        <v>252</v>
      </c>
      <c r="B179" s="27"/>
      <c r="C179" s="27"/>
      <c r="D179" s="49">
        <v>-92</v>
      </c>
      <c r="E179" s="27"/>
      <c r="F179" s="27"/>
      <c r="G179" s="60"/>
      <c r="H179" s="18" t="s">
        <v>346</v>
      </c>
    </row>
    <row r="180" ht="15" customHeight="1">
      <c r="A180" s="58" t="s">
        <v>349</v>
      </c>
      <c r="B180" s="27"/>
      <c r="C180" s="27"/>
      <c r="D180" s="49">
        <v>22</v>
      </c>
      <c r="E180" s="27"/>
      <c r="F180" s="27"/>
      <c r="G180" s="60"/>
      <c r="H180" s="18" t="s">
        <v>346</v>
      </c>
    </row>
    <row r="181" ht="15" customHeight="1">
      <c r="A181" s="58" t="s">
        <v>257</v>
      </c>
      <c r="B181" s="27"/>
      <c r="C181" s="27"/>
      <c r="D181" s="49">
        <v>-210</v>
      </c>
      <c r="E181" s="27"/>
      <c r="F181" s="27"/>
      <c r="G181" s="60"/>
      <c r="H181" s="18" t="s">
        <v>346</v>
      </c>
    </row>
    <row r="182" ht="15" customHeight="1">
      <c r="A182" s="58" t="s">
        <v>350</v>
      </c>
      <c r="B182" s="27"/>
      <c r="C182" s="27"/>
      <c r="D182" s="49">
        <v>-8</v>
      </c>
      <c r="E182" s="27"/>
      <c r="F182" s="27"/>
      <c r="G182" s="60"/>
      <c r="H182" s="18" t="s">
        <v>346</v>
      </c>
    </row>
    <row r="183" ht="15" customHeight="1">
      <c r="A183" s="58" t="s">
        <v>351</v>
      </c>
      <c r="B183" s="27"/>
      <c r="C183" s="27"/>
      <c r="D183" s="49">
        <v>15</v>
      </c>
      <c r="E183" s="27"/>
      <c r="F183" s="27"/>
      <c r="G183" s="60"/>
      <c r="H183" s="18" t="s">
        <v>346</v>
      </c>
    </row>
    <row r="184" ht="15" customHeight="1">
      <c r="A184" s="58" t="s">
        <v>352</v>
      </c>
      <c r="B184" s="27"/>
      <c r="C184" s="27"/>
      <c r="D184" s="49">
        <v>35</v>
      </c>
      <c r="E184" s="27"/>
      <c r="F184" s="27"/>
      <c r="G184" s="60"/>
      <c r="H184" s="18" t="s">
        <v>346</v>
      </c>
    </row>
    <row r="185" ht="15" customHeight="1">
      <c r="A185" s="58" t="s">
        <v>353</v>
      </c>
      <c r="B185" s="27"/>
      <c r="C185" s="27"/>
      <c r="D185" s="49">
        <v>-32</v>
      </c>
      <c r="E185" s="27"/>
      <c r="F185" s="27"/>
      <c r="G185" s="60"/>
      <c r="H185" s="18" t="s">
        <v>346</v>
      </c>
    </row>
    <row r="186" ht="15" customHeight="1">
      <c r="A186" s="58" t="s">
        <v>290</v>
      </c>
      <c r="B186" s="27"/>
      <c r="C186" s="27"/>
      <c r="D186" s="49">
        <v>-36</v>
      </c>
      <c r="E186" s="27"/>
      <c r="F186" s="27"/>
      <c r="G186" s="60"/>
      <c r="H186" s="18" t="s">
        <v>346</v>
      </c>
    </row>
    <row r="187" ht="15" customHeight="1">
      <c r="A187" s="58" t="s">
        <v>354</v>
      </c>
      <c r="B187" s="27"/>
      <c r="C187" s="27"/>
      <c r="D187" s="49">
        <v>234</v>
      </c>
      <c r="E187" s="27"/>
      <c r="F187" s="27"/>
      <c r="G187" s="60"/>
      <c r="H187" s="18" t="s">
        <v>346</v>
      </c>
    </row>
    <row r="188" ht="15" customHeight="1">
      <c r="A188" s="58" t="s">
        <v>355</v>
      </c>
      <c r="B188" s="27"/>
      <c r="C188" s="27"/>
      <c r="D188" s="49">
        <v>14</v>
      </c>
      <c r="E188" s="27"/>
      <c r="F188" s="27"/>
      <c r="G188" s="60"/>
      <c r="H188" s="18" t="s">
        <v>346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101776B-46CA-551D-7F58-50FC3709A3B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356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357</v>
      </c>
      <c r="B8" s="20"/>
      <c r="C8" s="20"/>
      <c r="D8" s="20"/>
      <c r="E8" s="20"/>
      <c r="F8" s="20"/>
      <c r="G8" s="56"/>
      <c r="H8" s="3"/>
    </row>
    <row r="9" ht="15" customHeight="1">
      <c r="A9" s="22" t="s">
        <v>358</v>
      </c>
      <c r="B9" s="49">
        <v>528</v>
      </c>
      <c r="C9" s="49">
        <v>789</v>
      </c>
      <c r="D9" s="27">
        <f t="shared" si="0" ref="D9:G36">C9</f>
        <v>789</v>
      </c>
      <c r="E9" s="49">
        <v>531</v>
      </c>
      <c r="F9" s="49">
        <v>670</v>
      </c>
      <c r="G9" s="57">
        <f>'Cash Flow Statement'!G42</f>
        <v>699.4893109622824</v>
      </c>
      <c r="H9" s="18" t="s">
        <v>359</v>
      </c>
    </row>
    <row r="10" ht="15" customHeight="1">
      <c r="A10" s="22" t="s">
        <v>360</v>
      </c>
      <c r="B10" s="49">
        <v>2198</v>
      </c>
      <c r="C10" s="49">
        <v>1897</v>
      </c>
      <c r="D10" s="27">
        <f t="shared" si="0"/>
        <v>1897</v>
      </c>
      <c r="E10" s="49">
        <v>2252</v>
      </c>
      <c r="F10" s="49">
        <v>2169</v>
      </c>
      <c r="G10" s="57">
        <f>F10-'Cash Flow Statement'!G12</f>
        <v>2229</v>
      </c>
      <c r="H10" s="3"/>
    </row>
    <row r="11" ht="15" customHeight="1">
      <c r="A11" s="22" t="s">
        <v>361</v>
      </c>
      <c r="B11" s="49">
        <v>2747</v>
      </c>
      <c r="C11" s="49">
        <v>2745</v>
      </c>
      <c r="D11" s="27">
        <f t="shared" si="0"/>
        <v>2745</v>
      </c>
      <c r="E11" s="49">
        <v>2850</v>
      </c>
      <c r="F11" s="49">
        <v>2857</v>
      </c>
      <c r="G11" s="57">
        <f>F11-'Cash Flow Statement'!G13</f>
        <v>2877</v>
      </c>
      <c r="H11" s="3"/>
    </row>
    <row r="12" ht="15" customHeight="1">
      <c r="A12" s="22" t="s">
        <v>362</v>
      </c>
      <c r="B12" s="49">
        <v>315</v>
      </c>
      <c r="C12" s="49">
        <v>263</v>
      </c>
      <c r="D12" s="27">
        <f t="shared" si="0"/>
        <v>263</v>
      </c>
      <c r="E12" s="49">
        <v>340</v>
      </c>
      <c r="F12" s="49">
        <v>345</v>
      </c>
      <c r="G12" s="60">
        <f t="shared" si="0"/>
        <v>345</v>
      </c>
      <c r="H12" s="3"/>
    </row>
    <row r="13" ht="15" customHeight="1">
      <c r="A13" s="29" t="s">
        <v>363</v>
      </c>
      <c r="B13" s="62">
        <f t="shared" si="1" ref="B13:G13">B9+B10+B11+B12</f>
        <v>5788</v>
      </c>
      <c r="C13" s="62">
        <f t="shared" si="1"/>
        <v>5694</v>
      </c>
      <c r="D13" s="62">
        <f t="shared" si="1"/>
        <v>5694</v>
      </c>
      <c r="E13" s="62">
        <f t="shared" si="1"/>
        <v>5973</v>
      </c>
      <c r="F13" s="62">
        <f t="shared" si="1"/>
        <v>6041</v>
      </c>
      <c r="G13" s="63">
        <f t="shared" si="1"/>
        <v>6150.489310962283</v>
      </c>
      <c r="H13" s="3"/>
    </row>
    <row r="14" ht="15" customHeight="1">
      <c r="A14" s="22" t="s">
        <v>364</v>
      </c>
      <c r="B14" s="49">
        <v>1534</v>
      </c>
      <c r="C14" s="49">
        <v>1616</v>
      </c>
      <c r="D14" s="27">
        <f t="shared" si="0"/>
        <v>1616</v>
      </c>
      <c r="E14" s="49">
        <v>1653</v>
      </c>
      <c r="F14" s="49">
        <v>1653</v>
      </c>
      <c r="G14" s="57">
        <f>F14-'Cash Flow Statement'!G24-'Income Statement'!G157</f>
        <v>1663.2093</v>
      </c>
      <c r="H14" s="3"/>
    </row>
    <row r="15" ht="15" customHeight="1">
      <c r="A15" s="22" t="s">
        <v>365</v>
      </c>
      <c r="B15" s="49">
        <v>9853</v>
      </c>
      <c r="C15" s="49">
        <v>10216</v>
      </c>
      <c r="D15" s="27">
        <f t="shared" si="0"/>
        <v>10216</v>
      </c>
      <c r="E15" s="49">
        <v>10625</v>
      </c>
      <c r="F15" s="49">
        <v>10603</v>
      </c>
      <c r="G15" s="60">
        <f t="shared" si="0"/>
        <v>10603</v>
      </c>
      <c r="H15" s="3"/>
    </row>
    <row r="16" ht="15" customHeight="1">
      <c r="A16" s="22" t="s">
        <v>366</v>
      </c>
      <c r="B16" s="49">
        <v>3546</v>
      </c>
      <c r="C16" s="49">
        <v>3838</v>
      </c>
      <c r="D16" s="27">
        <f t="shared" si="0"/>
        <v>3838</v>
      </c>
      <c r="E16" s="49">
        <v>4239</v>
      </c>
      <c r="F16" s="49">
        <v>4122</v>
      </c>
      <c r="G16" s="57">
        <f>F16+'Income Statement'!G27</f>
        <v>4030</v>
      </c>
      <c r="H16" s="3"/>
    </row>
    <row r="17" ht="15" customHeight="1">
      <c r="A17" s="22" t="s">
        <v>367</v>
      </c>
      <c r="B17" s="49">
        <v>806</v>
      </c>
      <c r="C17" s="49">
        <v>705</v>
      </c>
      <c r="D17" s="27">
        <f t="shared" si="0"/>
        <v>705</v>
      </c>
      <c r="E17" s="49">
        <v>706</v>
      </c>
      <c r="F17" s="49">
        <v>709</v>
      </c>
      <c r="G17" s="60">
        <f t="shared" si="0"/>
        <v>709</v>
      </c>
      <c r="H17" s="3"/>
    </row>
    <row r="18" ht="15" customHeight="1">
      <c r="A18" s="29" t="s">
        <v>368</v>
      </c>
      <c r="B18" s="62">
        <f t="shared" si="2" ref="B18:G18">B13+B14+B15+B16+B17</f>
        <v>21527</v>
      </c>
      <c r="C18" s="62">
        <f t="shared" si="2"/>
        <v>22069</v>
      </c>
      <c r="D18" s="62">
        <f t="shared" si="2"/>
        <v>22069</v>
      </c>
      <c r="E18" s="62">
        <f t="shared" si="2"/>
        <v>23196</v>
      </c>
      <c r="F18" s="62">
        <f t="shared" si="2"/>
        <v>23128</v>
      </c>
      <c r="G18" s="63">
        <f t="shared" si="2"/>
        <v>23155.69861096228</v>
      </c>
      <c r="H18" s="3"/>
    </row>
    <row r="19" ht="15" customHeight="1">
      <c r="A19" s="58" t="s">
        <v>369</v>
      </c>
      <c r="B19" s="49">
        <v>21527</v>
      </c>
      <c r="C19" s="49">
        <v>22069</v>
      </c>
      <c r="D19" s="27">
        <f t="shared" si="0"/>
        <v>22069</v>
      </c>
      <c r="E19" s="49">
        <v>23196</v>
      </c>
      <c r="F19" s="49">
        <v>23128</v>
      </c>
      <c r="G19" s="60"/>
      <c r="H19" s="3"/>
    </row>
    <row r="20" ht="15" customHeight="1">
      <c r="A20" s="45" t="s">
        <v>370</v>
      </c>
      <c r="B20" s="47">
        <f t="shared" si="3" ref="B20:F20">B18-B19</f>
        <v>0</v>
      </c>
      <c r="C20" s="47">
        <f t="shared" si="3"/>
        <v>0</v>
      </c>
      <c r="D20" s="47">
        <f t="shared" si="3"/>
        <v>0</v>
      </c>
      <c r="E20" s="47">
        <f t="shared" si="3"/>
        <v>0</v>
      </c>
      <c r="F20" s="47">
        <f t="shared" si="3"/>
        <v>0</v>
      </c>
      <c r="G20" s="64"/>
      <c r="H20" s="3"/>
    </row>
    <row r="21" ht="15" customHeight="1">
      <c r="A21" s="55" t="s">
        <v>371</v>
      </c>
      <c r="B21" s="20"/>
      <c r="C21" s="20"/>
      <c r="D21" s="20"/>
      <c r="E21" s="20"/>
      <c r="F21" s="20"/>
      <c r="G21" s="56"/>
      <c r="H21" s="3"/>
    </row>
    <row r="22" ht="15" customHeight="1">
      <c r="A22" s="22" t="s">
        <v>372</v>
      </c>
      <c r="B22" s="49">
        <v>4064</v>
      </c>
      <c r="C22" s="49">
        <v>5150</v>
      </c>
      <c r="D22" s="27">
        <f t="shared" si="0"/>
        <v>5150</v>
      </c>
      <c r="E22" s="49">
        <v>5835</v>
      </c>
      <c r="F22" s="49">
        <v>5387</v>
      </c>
      <c r="G22" s="57">
        <f>F22+'Cash Flow Statement'!G14+'Cash Flow Statement'!G15</f>
        <v>5377</v>
      </c>
      <c r="H22" s="3"/>
    </row>
    <row r="23" ht="15" customHeight="1">
      <c r="A23" s="22" t="s">
        <v>373</v>
      </c>
      <c r="B23" s="49">
        <v>5034</v>
      </c>
      <c r="C23" s="49">
        <v>4291</v>
      </c>
      <c r="D23" s="27">
        <f t="shared" si="0"/>
        <v>4291</v>
      </c>
      <c r="E23" s="49">
        <v>4708</v>
      </c>
      <c r="F23" s="49">
        <v>4915</v>
      </c>
      <c r="G23" s="57">
        <f>F23+'Cash Flow Statement'!G31</f>
        <v>4815</v>
      </c>
      <c r="H23" s="3"/>
    </row>
    <row r="24" ht="15" customHeight="1">
      <c r="A24" s="22" t="s">
        <v>374</v>
      </c>
      <c r="B24" s="49">
        <v>1334</v>
      </c>
      <c r="C24" s="49">
        <v>1438</v>
      </c>
      <c r="D24" s="27">
        <f t="shared" si="0"/>
        <v>1438</v>
      </c>
      <c r="E24" s="49">
        <v>1502</v>
      </c>
      <c r="F24" s="49">
        <v>1582</v>
      </c>
      <c r="G24" s="60">
        <f t="shared" si="0"/>
        <v>1582</v>
      </c>
      <c r="H24" s="3"/>
    </row>
    <row r="25" ht="15" customHeight="1">
      <c r="A25" s="29" t="s">
        <v>375</v>
      </c>
      <c r="B25" s="62">
        <f t="shared" si="4" ref="B25:G25">B22+B23+B24</f>
        <v>10432</v>
      </c>
      <c r="C25" s="62">
        <f t="shared" si="4"/>
        <v>10879</v>
      </c>
      <c r="D25" s="62">
        <f t="shared" si="4"/>
        <v>10879</v>
      </c>
      <c r="E25" s="62">
        <f t="shared" si="4"/>
        <v>12045</v>
      </c>
      <c r="F25" s="62">
        <f t="shared" si="4"/>
        <v>11884</v>
      </c>
      <c r="G25" s="63">
        <f t="shared" si="4"/>
        <v>11774</v>
      </c>
      <c r="H25" s="3"/>
    </row>
    <row r="26" ht="15" customHeight="1">
      <c r="A26" s="22" t="s">
        <v>376</v>
      </c>
      <c r="B26" s="49">
        <v>11048</v>
      </c>
      <c r="C26" s="49">
        <v>11142</v>
      </c>
      <c r="D26" s="27">
        <f t="shared" si="0"/>
        <v>11142</v>
      </c>
      <c r="E26" s="49">
        <v>11103</v>
      </c>
      <c r="F26" s="49">
        <v>11214</v>
      </c>
      <c r="G26" s="57">
        <f>F26+'Income Statement'!G53+'Cash Flow Statement'!G35+'Cash Flow Statement'!G34+'Cash Flow Statement'!G11+'Cash Flow Statement'!G36+'Cash Flow Statement'!G39</f>
        <v>11349.698610962283</v>
      </c>
      <c r="H26" s="18" t="s">
        <v>377</v>
      </c>
    </row>
    <row r="27" ht="15" customHeight="1">
      <c r="A27" s="22" t="s">
        <v>350</v>
      </c>
      <c r="B27" s="49">
        <v>47</v>
      </c>
      <c r="C27" s="49">
        <v>48</v>
      </c>
      <c r="D27" s="27">
        <f t="shared" si="0"/>
        <v>48</v>
      </c>
      <c r="E27" s="49">
        <v>48</v>
      </c>
      <c r="F27" s="49">
        <v>30</v>
      </c>
      <c r="G27" s="57">
        <f>F27-'Income Statement'!G52</f>
        <v>32</v>
      </c>
      <c r="H27" s="3"/>
    </row>
    <row r="28" ht="15" customHeight="1">
      <c r="A28" s="29" t="s">
        <v>378</v>
      </c>
      <c r="B28" s="62">
        <f t="shared" si="5" ref="B28:G28">B26+B27</f>
        <v>11095</v>
      </c>
      <c r="C28" s="62">
        <f t="shared" si="5"/>
        <v>11190</v>
      </c>
      <c r="D28" s="62">
        <f t="shared" si="5"/>
        <v>11190</v>
      </c>
      <c r="E28" s="62">
        <f t="shared" si="5"/>
        <v>11151</v>
      </c>
      <c r="F28" s="62">
        <f t="shared" si="5"/>
        <v>11244</v>
      </c>
      <c r="G28" s="63">
        <f t="shared" si="5"/>
        <v>11381.698610962283</v>
      </c>
      <c r="H28" s="3"/>
    </row>
    <row r="29" ht="15" customHeight="1">
      <c r="A29" s="29" t="s">
        <v>379</v>
      </c>
      <c r="B29" s="62">
        <f t="shared" si="6" ref="B29:G29">B25+B28</f>
        <v>21527</v>
      </c>
      <c r="C29" s="62">
        <f t="shared" si="6"/>
        <v>22069</v>
      </c>
      <c r="D29" s="62">
        <f t="shared" si="6"/>
        <v>22069</v>
      </c>
      <c r="E29" s="62">
        <f t="shared" si="6"/>
        <v>23196</v>
      </c>
      <c r="F29" s="62">
        <f t="shared" si="6"/>
        <v>23128</v>
      </c>
      <c r="G29" s="63">
        <f t="shared" si="6"/>
        <v>23155.69861096228</v>
      </c>
      <c r="H29" s="3"/>
    </row>
    <row r="30" ht="15" customHeight="1">
      <c r="A30" s="45" t="s">
        <v>380</v>
      </c>
      <c r="B30" s="47">
        <f t="shared" si="7" ref="B30:G30">B18-B25-B28</f>
        <v>0</v>
      </c>
      <c r="C30" s="47">
        <f t="shared" si="7"/>
        <v>0</v>
      </c>
      <c r="D30" s="47">
        <f t="shared" si="7"/>
        <v>0</v>
      </c>
      <c r="E30" s="47">
        <f t="shared" si="7"/>
        <v>0</v>
      </c>
      <c r="F30" s="47">
        <f t="shared" si="7"/>
        <v>0</v>
      </c>
      <c r="G30" s="64">
        <f t="shared" si="7"/>
        <v>0</v>
      </c>
      <c r="H30" s="3"/>
    </row>
    <row r="31" ht="15" customHeight="1">
      <c r="A31" s="22"/>
      <c r="B31" s="3"/>
      <c r="C31" s="3"/>
      <c r="D31" s="3"/>
      <c r="E31" s="3"/>
      <c r="F31" s="3"/>
      <c r="G31" s="65"/>
      <c r="H31" s="3"/>
    </row>
    <row r="32" ht="15" customHeight="1">
      <c r="A32" s="55" t="s">
        <v>381</v>
      </c>
      <c r="B32" s="20"/>
      <c r="C32" s="20"/>
      <c r="D32" s="20"/>
      <c r="E32" s="20"/>
      <c r="F32" s="20"/>
      <c r="G32" s="56"/>
      <c r="H32" s="3"/>
    </row>
    <row r="33" ht="15" customHeight="1">
      <c r="A33" s="22" t="s">
        <v>382</v>
      </c>
      <c r="B33" s="49">
        <v>5290</v>
      </c>
      <c r="C33" s="49">
        <v>5540</v>
      </c>
      <c r="D33" s="27">
        <f t="shared" si="0"/>
        <v>5540</v>
      </c>
      <c r="E33" s="49">
        <v>6540</v>
      </c>
      <c r="F33" s="49">
        <v>6570</v>
      </c>
      <c r="G33" s="57">
        <f>F33+'Cash Flow Statement'!G31</f>
        <v>6470</v>
      </c>
      <c r="H33" s="18" t="s">
        <v>383</v>
      </c>
    </row>
    <row r="34" ht="15" customHeight="1">
      <c r="A34" s="29" t="s">
        <v>384</v>
      </c>
      <c r="B34" s="62">
        <f t="shared" si="8" ref="B34:G34">B33-B9</f>
        <v>4762</v>
      </c>
      <c r="C34" s="62">
        <f t="shared" si="8"/>
        <v>4751</v>
      </c>
      <c r="D34" s="62">
        <f t="shared" si="8"/>
        <v>4751</v>
      </c>
      <c r="E34" s="62">
        <f t="shared" si="8"/>
        <v>6009</v>
      </c>
      <c r="F34" s="62">
        <f t="shared" si="8"/>
        <v>5900</v>
      </c>
      <c r="G34" s="63">
        <f t="shared" si="8"/>
        <v>5770.510689037717</v>
      </c>
      <c r="H34" s="3"/>
    </row>
    <row r="35" ht="26.25" customHeight="1">
      <c r="A35" s="66" t="s">
        <v>385</v>
      </c>
      <c r="B35" s="27" t="s">
        <v>103</v>
      </c>
      <c r="C35" s="49">
        <v>3980</v>
      </c>
      <c r="D35" s="27">
        <f t="shared" si="0"/>
        <v>3980</v>
      </c>
      <c r="E35" s="27" t="s">
        <v>103</v>
      </c>
      <c r="F35" s="27" t="s">
        <v>103</v>
      </c>
      <c r="G35" s="60">
        <f>B33</f>
        <v>5290</v>
      </c>
      <c r="H35" s="38" t="s">
        <v>386</v>
      </c>
    </row>
    <row r="36" ht="15" customHeight="1">
      <c r="A36" s="66" t="s">
        <v>387</v>
      </c>
      <c r="B36" s="49">
        <v>410</v>
      </c>
      <c r="C36" s="49">
        <v>715</v>
      </c>
      <c r="D36" s="27">
        <f t="shared" si="0"/>
        <v>715</v>
      </c>
      <c r="E36" s="27" t="s">
        <v>103</v>
      </c>
      <c r="F36" s="49">
        <v>1499</v>
      </c>
      <c r="G36" s="60">
        <f>B9</f>
        <v>528</v>
      </c>
      <c r="H36" s="3"/>
    </row>
    <row r="37" ht="15" customHeight="1">
      <c r="A37" s="58" t="s">
        <v>388</v>
      </c>
      <c r="B37" s="27" t="s">
        <v>103</v>
      </c>
      <c r="C37" s="27">
        <f t="shared" si="9" ref="C37:G37">C34-(C35-C36)</f>
        <v>1486</v>
      </c>
      <c r="D37" s="27">
        <f t="shared" si="9"/>
        <v>1486</v>
      </c>
      <c r="E37" s="27" t="s">
        <v>103</v>
      </c>
      <c r="F37" s="27" t="s">
        <v>103</v>
      </c>
      <c r="G37" s="60">
        <f t="shared" si="9"/>
        <v>1008.5106890377174</v>
      </c>
      <c r="H37" s="3"/>
    </row>
    <row r="38" ht="15" customHeight="1">
      <c r="A38" s="58" t="s">
        <v>389</v>
      </c>
      <c r="B38" s="27" t="s">
        <v>103</v>
      </c>
      <c r="C38" s="27">
        <f t="shared" si="10" ref="C38:G47">C34-B34</f>
        <v>-11</v>
      </c>
      <c r="D38" s="27"/>
      <c r="E38" s="27">
        <f t="shared" si="13" ref="E38:E47">E34-C34</f>
        <v>1258</v>
      </c>
      <c r="F38" s="27">
        <f t="shared" si="10"/>
        <v>-109</v>
      </c>
      <c r="G38" s="60">
        <f t="shared" si="10"/>
        <v>-129.48931096228262</v>
      </c>
      <c r="H38" s="3"/>
    </row>
    <row r="39" ht="15" customHeight="1">
      <c r="A39" s="22" t="s">
        <v>390</v>
      </c>
      <c r="B39" s="26">
        <f>B10/'Income Statement'!B9*B$6</f>
        <v>70.06791406791406</v>
      </c>
      <c r="C39" s="26">
        <f>C10/'Income Statement'!C9*C$6</f>
        <v>58.86138279932546</v>
      </c>
      <c r="D39" s="26">
        <f>D10/'Income Statement'!D9*D$6</f>
        <v>62.00456702784992</v>
      </c>
      <c r="E39" s="26">
        <f>E10/'Income Statement'!E9*E$6</f>
        <v>68.7050847457627</v>
      </c>
      <c r="F39" s="26">
        <f>F10/'Income Statement'!F9*F$6</f>
        <v>62.08839257628185</v>
      </c>
      <c r="G39" s="57">
        <f>G10/'Income Statement'!G9*G$6</f>
        <v>64.88538870071334</v>
      </c>
      <c r="H39" s="18" t="s">
        <v>391</v>
      </c>
    </row>
    <row r="40" ht="15" customHeight="1">
      <c r="A40" s="58" t="s">
        <v>392</v>
      </c>
      <c r="B40" s="27" t="s">
        <v>103</v>
      </c>
      <c r="C40" s="26">
        <f>C39-D41/'Income Statement'!C10*C$6</f>
        <v>-1.7596005533652033</v>
      </c>
      <c r="D40" s="26">
        <f>D39-D41/'Income Statement'!D10*(EDATE(D$5,-12)-EDATE(D$5,-24))</f>
        <v>2.0322939942502316</v>
      </c>
      <c r="E40" s="27" t="s">
        <v>103</v>
      </c>
      <c r="F40" s="27" t="s">
        <v>103</v>
      </c>
      <c r="G40" s="60">
        <f t="shared" si="12" ref="G40:G44">G39-B39</f>
        <v>-5.182525367200725</v>
      </c>
      <c r="H40" s="18" t="s">
        <v>393</v>
      </c>
    </row>
    <row r="41" ht="15" customHeight="1">
      <c r="A41" s="66" t="s">
        <v>394</v>
      </c>
      <c r="B41" s="27"/>
      <c r="C41" s="27"/>
      <c r="D41" s="49">
        <v>1702</v>
      </c>
      <c r="E41" s="27"/>
      <c r="F41" s="27"/>
      <c r="G41" s="60"/>
      <c r="H41" s="3"/>
    </row>
    <row r="42" ht="15" customHeight="1">
      <c r="A42" s="58" t="s">
        <v>395</v>
      </c>
      <c r="B42" s="27" t="s">
        <v>103</v>
      </c>
      <c r="C42" s="27">
        <f t="shared" si="11" ref="C42:G42">C39-B39</f>
        <v>-11.206531268588598</v>
      </c>
      <c r="D42" s="27"/>
      <c r="E42" s="27">
        <f>E39-C39</f>
        <v>9.843701946437243</v>
      </c>
      <c r="F42" s="27">
        <f t="shared" si="11"/>
        <v>-6.6166921694808565</v>
      </c>
      <c r="G42" s="60">
        <f t="shared" si="11"/>
        <v>2.7969961244314874</v>
      </c>
      <c r="H42" s="3"/>
    </row>
    <row r="43" ht="15" customHeight="1">
      <c r="A43" s="22" t="s">
        <v>396</v>
      </c>
      <c r="B43" s="26">
        <f>-B11/'Income Statement'!B15*B$6</f>
        <v>134.14225053078556</v>
      </c>
      <c r="C43" s="26">
        <f>-C11/'Income Statement'!C15*C$6</f>
        <v>126.33316658329164</v>
      </c>
      <c r="D43" s="26">
        <f>-D11/'Income Statement'!D15*D$6</f>
        <v>136.11262056785765</v>
      </c>
      <c r="E43" s="26">
        <f>-E11/'Income Statement'!E15*E$6</f>
        <v>135.78613022763366</v>
      </c>
      <c r="F43" s="26">
        <f>-F11/'Income Statement'!F15*F$6</f>
        <v>128.83399405351832</v>
      </c>
      <c r="G43" s="57">
        <f>-G11/'Income Statement'!G15*G$6</f>
        <v>131.2560302638071</v>
      </c>
      <c r="H43" s="3"/>
    </row>
    <row r="44" ht="15" customHeight="1">
      <c r="A44" s="58" t="s">
        <v>392</v>
      </c>
      <c r="B44" s="27" t="s">
        <v>103</v>
      </c>
      <c r="C44" s="26">
        <f>C43-D45/('Income Statement'!C10-'Income Statement'!C17)*C$6</f>
        <v>7.134958296617526</v>
      </c>
      <c r="D44" s="27">
        <f>D43-D45/D46*(EDATE(D$5,-12)-EDATE(D$5,-24))</f>
        <v>15.485359493936542</v>
      </c>
      <c r="E44" s="27" t="s">
        <v>103</v>
      </c>
      <c r="F44" s="27" t="s">
        <v>103</v>
      </c>
      <c r="G44" s="60">
        <f t="shared" si="12"/>
        <v>-2.886220266978455</v>
      </c>
      <c r="H44" s="18" t="s">
        <v>397</v>
      </c>
    </row>
    <row r="45" ht="15" customHeight="1">
      <c r="A45" s="66" t="s">
        <v>398</v>
      </c>
      <c r="B45" s="27"/>
      <c r="C45" s="27"/>
      <c r="D45" s="49">
        <v>2314</v>
      </c>
      <c r="E45" s="27"/>
      <c r="F45" s="27"/>
      <c r="G45" s="60"/>
      <c r="H45" s="3"/>
    </row>
    <row r="46" ht="15" customHeight="1">
      <c r="A46" s="66" t="s">
        <v>399</v>
      </c>
      <c r="B46" s="27"/>
      <c r="C46" s="27"/>
      <c r="D46" s="49">
        <v>7021</v>
      </c>
      <c r="E46" s="27"/>
      <c r="F46" s="27"/>
      <c r="G46" s="60"/>
      <c r="H46" s="3"/>
    </row>
    <row r="47" ht="15" customHeight="1">
      <c r="A47" s="58" t="s">
        <v>395</v>
      </c>
      <c r="B47" s="27" t="s">
        <v>103</v>
      </c>
      <c r="C47" s="27">
        <f t="shared" si="10"/>
        <v>-7.809083947493917</v>
      </c>
      <c r="D47" s="27"/>
      <c r="E47" s="27">
        <f t="shared" si="13"/>
        <v>9.45296364434202</v>
      </c>
      <c r="F47" s="27">
        <f t="shared" si="10"/>
        <v>-6.9521361741153385</v>
      </c>
      <c r="G47" s="60">
        <f t="shared" si="10"/>
        <v>2.4220362102887805</v>
      </c>
      <c r="H47" s="3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C2AE7BB-F6BB-F578-F254-9C1684AB6173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400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401</v>
      </c>
      <c r="B8" s="20"/>
      <c r="C8" s="20"/>
      <c r="D8" s="20"/>
      <c r="E8" s="20"/>
      <c r="F8" s="20"/>
      <c r="G8" s="56"/>
      <c r="H8" s="3"/>
    </row>
    <row r="9" ht="15" customHeight="1">
      <c r="A9" s="58" t="s">
        <v>262</v>
      </c>
      <c r="B9" s="27">
        <f t="shared" si="28" ref="B9:B39">B63-B64</f>
        <v>313</v>
      </c>
      <c r="C9" s="27">
        <f t="shared" si="1" ref="C9:F39">C63-B63</f>
        <v>204</v>
      </c>
      <c r="D9" s="27">
        <f t="shared" si="0" ref="D9:E39">D63</f>
        <v>1183</v>
      </c>
      <c r="E9" s="27">
        <f t="shared" si="0"/>
        <v>363</v>
      </c>
      <c r="F9" s="27">
        <f t="shared" si="1"/>
        <v>396</v>
      </c>
      <c r="G9" s="57">
        <f>'Income Statement'!G51</f>
        <v>384.96819702500005</v>
      </c>
      <c r="H9" s="3"/>
    </row>
    <row r="10" ht="15" customHeight="1">
      <c r="A10" s="58" t="s">
        <v>402</v>
      </c>
      <c r="B10" s="27">
        <f t="shared" si="4" ref="B10:B12">B65-B66</f>
        <v>140</v>
      </c>
      <c r="C10" s="27">
        <f t="shared" si="3" ref="C10:F12">C65-B65</f>
        <v>210</v>
      </c>
      <c r="D10" s="27">
        <f t="shared" si="2" ref="D10:E12">D65</f>
        <v>569</v>
      </c>
      <c r="E10" s="27">
        <f t="shared" si="2"/>
        <v>151</v>
      </c>
      <c r="F10" s="27">
        <f t="shared" si="3"/>
        <v>159</v>
      </c>
      <c r="G10" s="57">
        <f>'Income Statement'!G158+G11</f>
        <v>155</v>
      </c>
      <c r="H10" s="3"/>
    </row>
    <row r="11" ht="27" customHeight="1">
      <c r="A11" s="66" t="s">
        <v>403</v>
      </c>
      <c r="B11" s="27"/>
      <c r="C11" s="27"/>
      <c r="D11" s="27"/>
      <c r="E11" s="27"/>
      <c r="F11" s="27"/>
      <c r="G11" s="73">
        <v>10</v>
      </c>
      <c r="H11" s="38" t="s">
        <v>404</v>
      </c>
    </row>
    <row r="12" ht="15" customHeight="1">
      <c r="A12" s="58" t="s">
        <v>405</v>
      </c>
      <c r="B12" s="27">
        <f t="shared" si="4"/>
        <v>-125</v>
      </c>
      <c r="C12" s="27">
        <f t="shared" si="3"/>
        <v>332</v>
      </c>
      <c r="D12" s="27">
        <f t="shared" si="2"/>
        <v>-36</v>
      </c>
      <c r="E12" s="27">
        <f t="shared" si="2"/>
        <v>-305</v>
      </c>
      <c r="F12" s="27">
        <f t="shared" si="3"/>
        <v>76</v>
      </c>
      <c r="G12" s="73">
        <v>-60</v>
      </c>
      <c r="H12" s="3"/>
    </row>
    <row r="13" ht="15" customHeight="1">
      <c r="A13" s="58" t="s">
        <v>406</v>
      </c>
      <c r="B13" s="27">
        <f>B69-B70</f>
        <v>-48</v>
      </c>
      <c r="C13" s="27">
        <f t="shared" si="6" ref="C13:F13">C69-B69</f>
        <v>46</v>
      </c>
      <c r="D13" s="27">
        <f t="shared" si="5" ref="D13:E13">D69</f>
        <v>-182</v>
      </c>
      <c r="E13" s="27">
        <f t="shared" si="5"/>
        <v>-28</v>
      </c>
      <c r="F13" s="27">
        <f t="shared" si="6"/>
        <v>-7</v>
      </c>
      <c r="G13" s="73">
        <v>-20</v>
      </c>
      <c r="H13" s="3"/>
    </row>
    <row r="14" ht="15" customHeight="1">
      <c r="A14" s="58" t="s">
        <v>407</v>
      </c>
      <c r="B14" s="27">
        <f>B71-B72</f>
        <v>2</v>
      </c>
      <c r="C14" s="27">
        <f t="shared" si="8" ref="C14:F14">C71-B71</f>
        <v>-42</v>
      </c>
      <c r="D14" s="27">
        <f t="shared" si="7" ref="D14:E14">D71</f>
        <v>34</v>
      </c>
      <c r="E14" s="27">
        <f t="shared" si="7"/>
        <v>20</v>
      </c>
      <c r="F14" s="27">
        <f t="shared" si="8"/>
        <v>0</v>
      </c>
      <c r="G14" s="73">
        <v>30</v>
      </c>
      <c r="H14" s="3"/>
    </row>
    <row r="15" ht="15" customHeight="1">
      <c r="A15" s="58" t="s">
        <v>408</v>
      </c>
      <c r="B15" s="27">
        <f t="shared" si="12" ref="B15:B17">B73-B74</f>
        <v>85</v>
      </c>
      <c r="C15" s="27">
        <f t="shared" si="10" ref="C15:F17">C73-B73</f>
        <v>242</v>
      </c>
      <c r="D15" s="27">
        <f t="shared" si="9" ref="D15:E17">D73</f>
        <v>191</v>
      </c>
      <c r="E15" s="27">
        <f t="shared" si="9"/>
        <v>-2</v>
      </c>
      <c r="F15" s="27">
        <f t="shared" si="10"/>
        <v>-183</v>
      </c>
      <c r="G15" s="73">
        <v>-40</v>
      </c>
      <c r="H15" s="3"/>
    </row>
    <row r="16" ht="15" customHeight="1">
      <c r="A16" s="29" t="s">
        <v>409</v>
      </c>
      <c r="B16" s="62">
        <f t="shared" si="11" ref="B16:F16">B17</f>
        <v>367</v>
      </c>
      <c r="C16" s="62">
        <f t="shared" si="11"/>
        <v>992</v>
      </c>
      <c r="D16" s="62">
        <f t="shared" si="11"/>
        <v>1759</v>
      </c>
      <c r="E16" s="62">
        <f t="shared" si="11"/>
        <v>199</v>
      </c>
      <c r="F16" s="62">
        <f t="shared" si="11"/>
        <v>441</v>
      </c>
      <c r="G16" s="63">
        <f>G9+G10+G12+G13+G14+G15</f>
        <v>449.9681970250001</v>
      </c>
      <c r="H16" s="3"/>
    </row>
    <row r="17" ht="15" customHeight="1">
      <c r="A17" s="66" t="s">
        <v>410</v>
      </c>
      <c r="B17" s="27">
        <f t="shared" si="12"/>
        <v>367</v>
      </c>
      <c r="C17" s="27">
        <f t="shared" si="10"/>
        <v>992</v>
      </c>
      <c r="D17" s="27">
        <f t="shared" si="9"/>
        <v>1759</v>
      </c>
      <c r="E17" s="27">
        <f t="shared" si="9"/>
        <v>199</v>
      </c>
      <c r="F17" s="27">
        <f t="shared" si="10"/>
        <v>441</v>
      </c>
      <c r="G17" s="60"/>
      <c r="H17" s="3"/>
    </row>
    <row r="18" ht="15" customHeight="1">
      <c r="A18" s="45" t="s">
        <v>411</v>
      </c>
      <c r="B18" s="47">
        <f t="shared" si="13" ref="B18:G18">B9+B10+B12+B13+B14+B15-B16</f>
        <v>0</v>
      </c>
      <c r="C18" s="47">
        <f t="shared" si="13"/>
        <v>0</v>
      </c>
      <c r="D18" s="47">
        <f t="shared" si="13"/>
        <v>0</v>
      </c>
      <c r="E18" s="47">
        <f t="shared" si="13"/>
        <v>0</v>
      </c>
      <c r="F18" s="47">
        <f t="shared" si="13"/>
        <v>0</v>
      </c>
      <c r="G18" s="64">
        <f t="shared" si="13"/>
        <v>0</v>
      </c>
      <c r="H18" s="3"/>
    </row>
    <row r="19" ht="15" customHeight="1">
      <c r="A19" s="58" t="s">
        <v>412</v>
      </c>
      <c r="B19" s="49">
        <v>542</v>
      </c>
      <c r="C19" s="49">
        <v>723</v>
      </c>
      <c r="D19" s="49">
        <v>1834</v>
      </c>
      <c r="E19" s="49">
        <v>191</v>
      </c>
      <c r="F19" s="49">
        <v>209</v>
      </c>
      <c r="G19" s="60">
        <f>B16</f>
        <v>367</v>
      </c>
      <c r="H19" s="18" t="s">
        <v>413</v>
      </c>
    </row>
    <row r="20" ht="15" customHeight="1">
      <c r="A20" s="45" t="s">
        <v>70</v>
      </c>
      <c r="B20" s="37">
        <f t="shared" si="14" ref="B20:G20">B16/B19-1</f>
        <v>-0.3228782287822878</v>
      </c>
      <c r="C20" s="37">
        <f t="shared" si="14"/>
        <v>0.37206085753803597</v>
      </c>
      <c r="D20" s="37">
        <f t="shared" si="14"/>
        <v>-0.04089422028353329</v>
      </c>
      <c r="E20" s="37">
        <f t="shared" si="14"/>
        <v>0.041884816753926746</v>
      </c>
      <c r="F20" s="37">
        <f t="shared" si="14"/>
        <v>1.1100478468899522</v>
      </c>
      <c r="G20" s="59">
        <f t="shared" si="14"/>
        <v>0.2260713815395099</v>
      </c>
      <c r="H20" s="3"/>
    </row>
    <row r="21" ht="15" customHeight="1">
      <c r="A21" s="58" t="s">
        <v>71</v>
      </c>
      <c r="B21" s="27">
        <f t="shared" si="15" ref="B21:G21">B16-B19</f>
        <v>-175</v>
      </c>
      <c r="C21" s="27">
        <f t="shared" si="15"/>
        <v>269</v>
      </c>
      <c r="D21" s="27">
        <f t="shared" si="15"/>
        <v>-75</v>
      </c>
      <c r="E21" s="27">
        <f t="shared" si="15"/>
        <v>8</v>
      </c>
      <c r="F21" s="27">
        <f t="shared" si="15"/>
        <v>232</v>
      </c>
      <c r="G21" s="60">
        <f t="shared" si="15"/>
        <v>82.96819702500011</v>
      </c>
      <c r="H21" s="3"/>
    </row>
    <row r="22" ht="15" customHeight="1">
      <c r="A22" s="58" t="s">
        <v>73</v>
      </c>
      <c r="B22" s="27">
        <f>B16-F19</f>
        <v>158</v>
      </c>
      <c r="C22" s="27">
        <f t="shared" si="16" ref="C22:G22">C16-B16</f>
        <v>625</v>
      </c>
      <c r="D22" s="27"/>
      <c r="E22" s="27">
        <f>E16-C16</f>
        <v>-793</v>
      </c>
      <c r="F22" s="27">
        <f t="shared" si="16"/>
        <v>242</v>
      </c>
      <c r="G22" s="60">
        <f t="shared" si="16"/>
        <v>8.968197025000109</v>
      </c>
      <c r="H22" s="3"/>
    </row>
    <row r="23" ht="15" customHeight="1">
      <c r="A23" s="55" t="s">
        <v>414</v>
      </c>
      <c r="B23" s="20"/>
      <c r="C23" s="20"/>
      <c r="D23" s="20"/>
      <c r="E23" s="20"/>
      <c r="F23" s="20"/>
      <c r="G23" s="56"/>
      <c r="H23" s="3"/>
    </row>
    <row r="24" ht="27" customHeight="1">
      <c r="A24" s="58" t="s">
        <v>415</v>
      </c>
      <c r="B24" s="27">
        <f t="shared" si="19" ref="B24:B38">B77-B78</f>
        <v>-55</v>
      </c>
      <c r="C24" s="27">
        <f t="shared" si="18" ref="C24:F38">C77-B77</f>
        <v>-122</v>
      </c>
      <c r="D24" s="27">
        <f t="shared" si="17" ref="D24:E38">D77</f>
        <v>-260</v>
      </c>
      <c r="E24" s="27">
        <f t="shared" si="17"/>
        <v>-46</v>
      </c>
      <c r="F24" s="27">
        <f t="shared" si="18"/>
        <v>-62</v>
      </c>
      <c r="G24" s="57">
        <f>-G25*'Income Statement'!G9</f>
        <v>-63.209300000000006</v>
      </c>
      <c r="H24" s="3"/>
    </row>
    <row r="25" ht="15" customHeight="1">
      <c r="A25" s="68" t="s">
        <v>416</v>
      </c>
      <c r="B25" s="37"/>
      <c r="C25" s="37"/>
      <c r="D25" s="37"/>
      <c r="E25" s="37"/>
      <c r="F25" s="37"/>
      <c r="G25" s="69">
        <v>0.02</v>
      </c>
      <c r="H25" s="18" t="s">
        <v>417</v>
      </c>
    </row>
    <row r="26" ht="27" customHeight="1">
      <c r="A26" s="58" t="s">
        <v>418</v>
      </c>
      <c r="B26" s="27">
        <f t="shared" si="19"/>
        <v>-1734</v>
      </c>
      <c r="C26" s="27">
        <f t="shared" si="18"/>
        <v>-765</v>
      </c>
      <c r="D26" s="27">
        <f t="shared" si="17"/>
        <v>-2520</v>
      </c>
      <c r="E26" s="27">
        <f t="shared" si="17"/>
        <v>-1062</v>
      </c>
      <c r="F26" s="27">
        <f t="shared" si="18"/>
        <v>0</v>
      </c>
      <c r="G26" s="73">
        <v>0</v>
      </c>
      <c r="H26" s="3"/>
    </row>
    <row r="27" ht="27" customHeight="1">
      <c r="A27" s="58" t="s">
        <v>419</v>
      </c>
      <c r="B27" s="27">
        <f t="shared" si="20" ref="B27:F27">B29-B24-B26</f>
        <v>0</v>
      </c>
      <c r="C27" s="27">
        <f t="shared" si="20"/>
        <v>27</v>
      </c>
      <c r="D27" s="27">
        <f t="shared" si="20"/>
        <v>33</v>
      </c>
      <c r="E27" s="27">
        <f t="shared" si="20"/>
        <v>3</v>
      </c>
      <c r="F27" s="27">
        <f t="shared" si="20"/>
        <v>7</v>
      </c>
      <c r="G27" s="73">
        <v>0</v>
      </c>
      <c r="H27" s="3"/>
    </row>
    <row r="28" ht="15" customHeight="1">
      <c r="A28" s="29" t="s">
        <v>420</v>
      </c>
      <c r="B28" s="62">
        <f t="shared" si="21" ref="B28:G28">B24+B26+B27</f>
        <v>-1789</v>
      </c>
      <c r="C28" s="62">
        <f t="shared" si="21"/>
        <v>-860</v>
      </c>
      <c r="D28" s="62">
        <f t="shared" si="21"/>
        <v>-2747</v>
      </c>
      <c r="E28" s="62">
        <f t="shared" si="21"/>
        <v>-1105</v>
      </c>
      <c r="F28" s="62">
        <f t="shared" si="21"/>
        <v>-55</v>
      </c>
      <c r="G28" s="63">
        <f t="shared" si="21"/>
        <v>-63.209300000000006</v>
      </c>
      <c r="H28" s="3"/>
    </row>
    <row r="29" ht="15" customHeight="1">
      <c r="A29" s="66" t="s">
        <v>421</v>
      </c>
      <c r="B29" s="27">
        <f t="shared" si="27" ref="B29:B33">B81-B82</f>
        <v>-1789</v>
      </c>
      <c r="C29" s="27">
        <f t="shared" si="23" ref="C29:F33">C81-B81</f>
        <v>-860</v>
      </c>
      <c r="D29" s="27">
        <f t="shared" si="22" ref="D29:E33">D81</f>
        <v>-2747</v>
      </c>
      <c r="E29" s="27">
        <f t="shared" si="22"/>
        <v>-1105</v>
      </c>
      <c r="F29" s="27">
        <f t="shared" si="23"/>
        <v>-55</v>
      </c>
      <c r="G29" s="60"/>
      <c r="H29" s="3"/>
    </row>
    <row r="30" ht="15" customHeight="1">
      <c r="A30" s="55" t="s">
        <v>422</v>
      </c>
      <c r="B30" s="20"/>
      <c r="C30" s="20"/>
      <c r="D30" s="20"/>
      <c r="E30" s="20"/>
      <c r="F30" s="20"/>
      <c r="G30" s="56"/>
      <c r="H30" s="3"/>
    </row>
    <row r="31" ht="15" customHeight="1">
      <c r="A31" s="58" t="s">
        <v>423</v>
      </c>
      <c r="B31" s="27">
        <f t="shared" si="24" ref="B31:F31">B32+B33</f>
        <v>500</v>
      </c>
      <c r="C31" s="27">
        <f t="shared" si="24"/>
        <v>249</v>
      </c>
      <c r="D31" s="27">
        <f t="shared" si="24"/>
        <v>1484</v>
      </c>
      <c r="E31" s="27">
        <f t="shared" si="24"/>
        <v>1012</v>
      </c>
      <c r="F31" s="27">
        <f t="shared" si="24"/>
        <v>37</v>
      </c>
      <c r="G31" s="73">
        <v>-100</v>
      </c>
      <c r="H31" s="18" t="s">
        <v>424</v>
      </c>
    </row>
    <row r="32" ht="15" customHeight="1">
      <c r="A32" s="66" t="s">
        <v>425</v>
      </c>
      <c r="B32" s="27">
        <f>B83-B84</f>
        <v>1668</v>
      </c>
      <c r="C32" s="27">
        <f t="shared" si="26" ref="C32:F32">C83-B83</f>
        <v>851</v>
      </c>
      <c r="D32" s="27">
        <f t="shared" si="25" ref="D32:E32">D83</f>
        <v>4708</v>
      </c>
      <c r="E32" s="27">
        <f t="shared" si="25"/>
        <v>1682</v>
      </c>
      <c r="F32" s="27">
        <f t="shared" si="26"/>
        <v>903</v>
      </c>
      <c r="G32" s="60"/>
      <c r="H32" s="3"/>
    </row>
    <row r="33" ht="15" customHeight="1">
      <c r="A33" s="66" t="s">
        <v>426</v>
      </c>
      <c r="B33" s="27">
        <f t="shared" si="27"/>
        <v>-1168</v>
      </c>
      <c r="C33" s="27">
        <f t="shared" si="23"/>
        <v>-602</v>
      </c>
      <c r="D33" s="27">
        <f t="shared" si="22"/>
        <v>-3224</v>
      </c>
      <c r="E33" s="27">
        <f t="shared" si="22"/>
        <v>-670</v>
      </c>
      <c r="F33" s="27">
        <f t="shared" si="23"/>
        <v>-866</v>
      </c>
      <c r="G33" s="60"/>
      <c r="H33" s="3"/>
    </row>
    <row r="34" ht="15" customHeight="1">
      <c r="A34" s="58" t="s">
        <v>427</v>
      </c>
      <c r="B34" s="27">
        <f t="shared" si="19"/>
        <v>0</v>
      </c>
      <c r="C34" s="27">
        <f t="shared" si="18"/>
        <v>-75</v>
      </c>
      <c r="D34" s="27">
        <f t="shared" si="17"/>
        <v>-223</v>
      </c>
      <c r="E34" s="27">
        <f t="shared" si="17"/>
        <v>-242</v>
      </c>
      <c r="F34" s="27">
        <f t="shared" si="18"/>
        <v>-215</v>
      </c>
      <c r="G34" s="57">
        <f>-'Share Count'!G10</f>
        <v>-200</v>
      </c>
      <c r="H34" s="3"/>
    </row>
    <row r="35" ht="15" customHeight="1">
      <c r="A35" s="58" t="s">
        <v>428</v>
      </c>
      <c r="B35" s="27">
        <f t="shared" si="28"/>
        <v>-43</v>
      </c>
      <c r="C35" s="27">
        <f t="shared" si="1"/>
        <v>-43</v>
      </c>
      <c r="D35" s="27">
        <f t="shared" si="0"/>
        <v>-173</v>
      </c>
      <c r="E35" s="27">
        <f t="shared" si="0"/>
        <v>-53</v>
      </c>
      <c r="F35" s="27">
        <f t="shared" si="1"/>
        <v>-53</v>
      </c>
      <c r="G35" s="57">
        <f>-'Share Count'!G31*'Share Count'!G20</f>
        <v>-52.26958606271777</v>
      </c>
      <c r="H35" s="3"/>
    </row>
    <row r="36" ht="23.25" customHeight="1">
      <c r="A36" s="58" t="s">
        <v>429</v>
      </c>
      <c r="B36" s="27">
        <f t="shared" si="29" ref="B36:F36">B38-B31-B34-B35</f>
        <v>-4</v>
      </c>
      <c r="C36" s="27">
        <f t="shared" si="29"/>
        <v>-7</v>
      </c>
      <c r="D36" s="27">
        <f t="shared" si="29"/>
        <v>-57</v>
      </c>
      <c r="E36" s="27">
        <f t="shared" si="29"/>
        <v>-61</v>
      </c>
      <c r="F36" s="27">
        <f t="shared" si="29"/>
        <v>-17</v>
      </c>
      <c r="G36" s="73">
        <v>-5</v>
      </c>
      <c r="H36" s="18" t="s">
        <v>430</v>
      </c>
    </row>
    <row r="37" ht="23.25" customHeight="1">
      <c r="A37" s="29" t="s">
        <v>431</v>
      </c>
      <c r="B37" s="62">
        <f t="shared" si="30" ref="B37:G37">B31+B34+B35+B36</f>
        <v>453</v>
      </c>
      <c r="C37" s="62">
        <f t="shared" si="30"/>
        <v>124</v>
      </c>
      <c r="D37" s="62">
        <f t="shared" si="30"/>
        <v>1031</v>
      </c>
      <c r="E37" s="62">
        <f t="shared" si="30"/>
        <v>656</v>
      </c>
      <c r="F37" s="62">
        <f t="shared" si="30"/>
        <v>-248</v>
      </c>
      <c r="G37" s="63">
        <f t="shared" si="30"/>
        <v>-357.2695860627178</v>
      </c>
      <c r="H37" s="3"/>
    </row>
    <row r="38" ht="15" customHeight="1">
      <c r="A38" s="66" t="s">
        <v>432</v>
      </c>
      <c r="B38" s="27">
        <f t="shared" si="19"/>
        <v>453</v>
      </c>
      <c r="C38" s="27">
        <f t="shared" si="18"/>
        <v>124</v>
      </c>
      <c r="D38" s="27">
        <f t="shared" si="17"/>
        <v>1031</v>
      </c>
      <c r="E38" s="27">
        <f t="shared" si="17"/>
        <v>656</v>
      </c>
      <c r="F38" s="27">
        <f t="shared" si="18"/>
        <v>-248</v>
      </c>
      <c r="G38" s="60"/>
      <c r="H38" s="3"/>
    </row>
    <row r="39" ht="23.25" customHeight="1">
      <c r="A39" s="58" t="s">
        <v>433</v>
      </c>
      <c r="B39" s="27">
        <f t="shared" si="28"/>
        <v>-2</v>
      </c>
      <c r="C39" s="27">
        <f t="shared" si="1"/>
        <v>5</v>
      </c>
      <c r="D39" s="27">
        <f t="shared" si="0"/>
        <v>31</v>
      </c>
      <c r="E39" s="27">
        <f t="shared" si="0"/>
        <v>-8</v>
      </c>
      <c r="F39" s="27">
        <f t="shared" si="1"/>
        <v>1</v>
      </c>
      <c r="G39" s="73">
        <v>0</v>
      </c>
      <c r="H39" s="3"/>
    </row>
    <row r="40" ht="15" customHeight="1">
      <c r="A40" s="29" t="s">
        <v>434</v>
      </c>
      <c r="B40" s="62">
        <f t="shared" si="31" ref="B40:G40">B16+B28+B37+B39</f>
        <v>-971</v>
      </c>
      <c r="C40" s="62">
        <f t="shared" si="31"/>
        <v>261</v>
      </c>
      <c r="D40" s="62">
        <f t="shared" si="31"/>
        <v>74</v>
      </c>
      <c r="E40" s="62">
        <f t="shared" si="31"/>
        <v>-258</v>
      </c>
      <c r="F40" s="62">
        <f t="shared" si="31"/>
        <v>139</v>
      </c>
      <c r="G40" s="63">
        <f t="shared" si="31"/>
        <v>29.48931096228233</v>
      </c>
      <c r="H40" s="3"/>
    </row>
    <row r="41" ht="15" customHeight="1">
      <c r="A41" s="22" t="s">
        <v>435</v>
      </c>
      <c r="B41" s="26">
        <f>'Balance Sheet'!F36</f>
        <v>1499</v>
      </c>
      <c r="C41" s="27">
        <f t="shared" si="32" ref="C41:G41">B42</f>
        <v>528</v>
      </c>
      <c r="D41" s="26">
        <f>'Balance Sheet'!C36</f>
        <v>715</v>
      </c>
      <c r="E41" s="27">
        <f>C42</f>
        <v>789</v>
      </c>
      <c r="F41" s="27">
        <f t="shared" si="32"/>
        <v>531</v>
      </c>
      <c r="G41" s="60">
        <f t="shared" si="32"/>
        <v>670</v>
      </c>
      <c r="H41" s="18" t="s">
        <v>436</v>
      </c>
    </row>
    <row r="42" ht="15" customHeight="1">
      <c r="A42" s="29" t="s">
        <v>437</v>
      </c>
      <c r="B42" s="62">
        <f t="shared" si="33" ref="B42:G42">B41+B40</f>
        <v>528</v>
      </c>
      <c r="C42" s="62">
        <f t="shared" si="33"/>
        <v>789</v>
      </c>
      <c r="D42" s="62">
        <f t="shared" si="33"/>
        <v>789</v>
      </c>
      <c r="E42" s="62">
        <f t="shared" si="33"/>
        <v>531</v>
      </c>
      <c r="F42" s="62">
        <f t="shared" si="33"/>
        <v>670</v>
      </c>
      <c r="G42" s="63">
        <f t="shared" si="33"/>
        <v>699.4893109622824</v>
      </c>
      <c r="H42" s="3"/>
    </row>
    <row r="43" ht="15" customHeight="1">
      <c r="A43" s="58" t="s">
        <v>438</v>
      </c>
      <c r="B43" s="26">
        <f>'Balance Sheet'!B9</f>
        <v>528</v>
      </c>
      <c r="C43" s="26">
        <f>'Balance Sheet'!C9</f>
        <v>789</v>
      </c>
      <c r="D43" s="26">
        <f>'Balance Sheet'!D9</f>
        <v>789</v>
      </c>
      <c r="E43" s="26">
        <f>'Balance Sheet'!E9</f>
        <v>531</v>
      </c>
      <c r="F43" s="26">
        <f>'Balance Sheet'!F9</f>
        <v>670</v>
      </c>
      <c r="G43" s="57">
        <f>'Balance Sheet'!G9</f>
        <v>699.4893109622824</v>
      </c>
      <c r="H43" s="3"/>
    </row>
    <row r="44" ht="15" customHeight="1">
      <c r="A44" s="45" t="s">
        <v>439</v>
      </c>
      <c r="B44" s="47">
        <f t="shared" si="34" ref="B44:G44">B42-B43</f>
        <v>0</v>
      </c>
      <c r="C44" s="47">
        <f t="shared" si="34"/>
        <v>0</v>
      </c>
      <c r="D44" s="47">
        <f t="shared" si="34"/>
        <v>0</v>
      </c>
      <c r="E44" s="47">
        <f t="shared" si="34"/>
        <v>0</v>
      </c>
      <c r="F44" s="47">
        <f t="shared" si="34"/>
        <v>0</v>
      </c>
      <c r="G44" s="64">
        <f t="shared" si="34"/>
        <v>0</v>
      </c>
      <c r="H44" s="3"/>
    </row>
    <row r="45" ht="15" customHeight="1">
      <c r="A45" s="22"/>
      <c r="B45" s="3"/>
      <c r="C45" s="3"/>
      <c r="D45" s="3"/>
      <c r="E45" s="3"/>
      <c r="F45" s="3"/>
      <c r="G45" s="65"/>
      <c r="H45" s="3"/>
    </row>
    <row r="46" ht="15" customHeight="1">
      <c r="A46" s="55" t="s">
        <v>440</v>
      </c>
      <c r="B46" s="20"/>
      <c r="C46" s="20"/>
      <c r="D46" s="20"/>
      <c r="E46" s="20"/>
      <c r="F46" s="20"/>
      <c r="G46" s="56"/>
      <c r="H46" s="3"/>
    </row>
    <row r="47" ht="23.25" customHeight="1">
      <c r="A47" s="29" t="s">
        <v>441</v>
      </c>
      <c r="B47" s="62">
        <f t="shared" si="35" ref="B47:G47">B16+B24</f>
        <v>312</v>
      </c>
      <c r="C47" s="62">
        <f t="shared" si="35"/>
        <v>870</v>
      </c>
      <c r="D47" s="62">
        <f t="shared" si="35"/>
        <v>1499</v>
      </c>
      <c r="E47" s="62">
        <f t="shared" si="35"/>
        <v>153</v>
      </c>
      <c r="F47" s="62">
        <f t="shared" si="35"/>
        <v>379</v>
      </c>
      <c r="G47" s="63">
        <f t="shared" si="35"/>
        <v>386.7588970250001</v>
      </c>
      <c r="H47" s="18" t="s">
        <v>442</v>
      </c>
    </row>
    <row r="48" ht="15" customHeight="1">
      <c r="A48" s="45" t="s">
        <v>443</v>
      </c>
      <c r="B48" s="35">
        <f>B47/'Income Statement'!B9</f>
        <v>0.10810810810810811</v>
      </c>
      <c r="C48" s="35">
        <f>C47/'Income Statement'!C9</f>
        <v>0.2934232715008432</v>
      </c>
      <c r="D48" s="35">
        <f>D47/'Income Statement'!D9</f>
        <v>0.13423479896122503</v>
      </c>
      <c r="E48" s="35">
        <f>E47/'Income Statement'!E9</f>
        <v>0.05186440677966102</v>
      </c>
      <c r="F48" s="35">
        <f>F47/'Income Statement'!F9</f>
        <v>0.1192198804655552</v>
      </c>
      <c r="G48" s="61">
        <f>G47/'Income Statement'!G9</f>
        <v>0.12237404844698489</v>
      </c>
      <c r="H48" s="3"/>
    </row>
    <row r="49" ht="15" customHeight="1">
      <c r="A49" s="68" t="s">
        <v>100</v>
      </c>
      <c r="B49" s="36" t="s">
        <v>103</v>
      </c>
      <c r="C49" s="36" t="s">
        <v>103</v>
      </c>
      <c r="D49" s="36" t="s">
        <v>103</v>
      </c>
      <c r="E49" s="36" t="s">
        <v>103</v>
      </c>
      <c r="F49" s="36" t="s">
        <v>103</v>
      </c>
      <c r="G49" s="67">
        <f t="shared" si="37" ref="G49:G58">(G48-B48)*10000</f>
        <v>142.6594033887678</v>
      </c>
      <c r="H49" s="18" t="s">
        <v>444</v>
      </c>
    </row>
    <row r="50" ht="15" customHeight="1">
      <c r="A50" s="68" t="s">
        <v>101</v>
      </c>
      <c r="B50" s="36" t="s">
        <v>103</v>
      </c>
      <c r="C50" s="36">
        <f t="shared" si="36" ref="C50:G59">(C48-B48)*10000</f>
        <v>1853.1516339273508</v>
      </c>
      <c r="D50" s="36"/>
      <c r="E50" s="36">
        <f t="shared" si="38" ref="E50:E59">(E48-C48)*10000</f>
        <v>-2415.5886472118214</v>
      </c>
      <c r="F50" s="36">
        <f t="shared" si="36"/>
        <v>673.5547368589419</v>
      </c>
      <c r="G50" s="67">
        <f t="shared" si="36"/>
        <v>31.54167981429687</v>
      </c>
      <c r="H50" s="18" t="s">
        <v>445</v>
      </c>
    </row>
    <row r="51" ht="15" customHeight="1">
      <c r="A51" s="45" t="s">
        <v>446</v>
      </c>
      <c r="B51" s="35">
        <f>-B24/'Income Statement'!B9</f>
        <v>0.019057519057519057</v>
      </c>
      <c r="C51" s="35">
        <f>-C24/'Income Statement'!C9</f>
        <v>0.04114671163575042</v>
      </c>
      <c r="D51" s="35">
        <f>-D24/'Income Statement'!D9</f>
        <v>0.023282887077997673</v>
      </c>
      <c r="E51" s="35">
        <f>-E24/'Income Statement'!E9</f>
        <v>0.015593220338983051</v>
      </c>
      <c r="F51" s="35">
        <f>-F24/'Income Statement'!F9</f>
        <v>0.019502988361119848</v>
      </c>
      <c r="G51" s="61">
        <f>-G24/'Income Statement'!G9</f>
        <v>0.02</v>
      </c>
      <c r="H51" s="3"/>
    </row>
    <row r="52" ht="15" customHeight="1">
      <c r="A52" s="68" t="s">
        <v>100</v>
      </c>
      <c r="B52" s="36" t="s">
        <v>103</v>
      </c>
      <c r="C52" s="36" t="s">
        <v>103</v>
      </c>
      <c r="D52" s="36" t="s">
        <v>103</v>
      </c>
      <c r="E52" s="36" t="s">
        <v>103</v>
      </c>
      <c r="F52" s="36" t="s">
        <v>103</v>
      </c>
      <c r="G52" s="67">
        <f t="shared" si="37"/>
        <v>9.42480942480943</v>
      </c>
      <c r="H52" s="3"/>
    </row>
    <row r="53" ht="15" customHeight="1">
      <c r="A53" s="68" t="s">
        <v>101</v>
      </c>
      <c r="B53" s="36" t="s">
        <v>103</v>
      </c>
      <c r="C53" s="36">
        <f t="shared" si="36"/>
        <v>220.89192578231362</v>
      </c>
      <c r="D53" s="36"/>
      <c r="E53" s="36">
        <f t="shared" si="38"/>
        <v>-255.53491296767368</v>
      </c>
      <c r="F53" s="36">
        <f t="shared" si="36"/>
        <v>39.097680221367966</v>
      </c>
      <c r="G53" s="67">
        <f t="shared" si="36"/>
        <v>4.9701163888015225</v>
      </c>
      <c r="H53" s="3"/>
    </row>
    <row r="54" ht="23.25" customHeight="1">
      <c r="A54" s="58" t="s">
        <v>447</v>
      </c>
      <c r="B54" s="49">
        <v>128</v>
      </c>
      <c r="C54" s="49">
        <v>136</v>
      </c>
      <c r="D54" s="27">
        <f>D56+B54+C54</f>
        <v>501</v>
      </c>
      <c r="E54" s="49">
        <v>139</v>
      </c>
      <c r="F54" s="49">
        <v>143</v>
      </c>
      <c r="G54" s="57">
        <f>'Income Statement'!G158+G55</f>
        <v>146</v>
      </c>
      <c r="H54" s="3"/>
    </row>
    <row r="55" ht="23.25" customHeight="1">
      <c r="A55" s="66" t="s">
        <v>448</v>
      </c>
      <c r="B55" s="27"/>
      <c r="C55" s="27"/>
      <c r="D55" s="27"/>
      <c r="E55" s="27"/>
      <c r="F55" s="27"/>
      <c r="G55" s="73">
        <v>1</v>
      </c>
      <c r="H55" s="18" t="s">
        <v>449</v>
      </c>
    </row>
    <row r="56" ht="15" customHeight="1">
      <c r="A56" s="66" t="s">
        <v>450</v>
      </c>
      <c r="B56" s="27"/>
      <c r="C56" s="27"/>
      <c r="D56" s="49">
        <v>237</v>
      </c>
      <c r="E56" s="27"/>
      <c r="F56" s="27"/>
      <c r="G56" s="60"/>
      <c r="H56" s="3"/>
    </row>
    <row r="57" ht="23.25" customHeight="1">
      <c r="A57" s="21" t="s">
        <v>451</v>
      </c>
      <c r="B57" s="37">
        <f t="shared" si="39" ref="B57:G57">B16/(B9+B54)</f>
        <v>0.8321995464852607</v>
      </c>
      <c r="C57" s="37">
        <f t="shared" si="39"/>
        <v>2.9176470588235293</v>
      </c>
      <c r="D57" s="37">
        <f t="shared" si="39"/>
        <v>1.0445368171021379</v>
      </c>
      <c r="E57" s="37">
        <f t="shared" si="39"/>
        <v>0.39641434262948205</v>
      </c>
      <c r="F57" s="37">
        <f t="shared" si="39"/>
        <v>0.8181818181818182</v>
      </c>
      <c r="G57" s="59">
        <f t="shared" si="39"/>
        <v>0.8474484904108368</v>
      </c>
      <c r="H57" s="18" t="s">
        <v>452</v>
      </c>
    </row>
    <row r="58" ht="15" customHeight="1">
      <c r="A58" s="45" t="s">
        <v>100</v>
      </c>
      <c r="B58" s="36" t="s">
        <v>103</v>
      </c>
      <c r="C58" s="36" t="s">
        <v>103</v>
      </c>
      <c r="D58" s="36" t="s">
        <v>103</v>
      </c>
      <c r="E58" s="36" t="s">
        <v>103</v>
      </c>
      <c r="F58" s="36" t="s">
        <v>103</v>
      </c>
      <c r="G58" s="67">
        <f t="shared" si="37"/>
        <v>152.48943925576074</v>
      </c>
      <c r="H58" s="3"/>
    </row>
    <row r="59" ht="15" customHeight="1">
      <c r="A59" s="45" t="s">
        <v>101</v>
      </c>
      <c r="B59" s="36" t="s">
        <v>103</v>
      </c>
      <c r="C59" s="36">
        <f t="shared" si="36"/>
        <v>20854.475123382686</v>
      </c>
      <c r="D59" s="36"/>
      <c r="E59" s="36">
        <f t="shared" si="38"/>
        <v>-25212.32716194047</v>
      </c>
      <c r="F59" s="36">
        <f t="shared" si="36"/>
        <v>4217.6747555233615</v>
      </c>
      <c r="G59" s="67">
        <f t="shared" si="36"/>
        <v>292.66672229018576</v>
      </c>
      <c r="H59" s="3"/>
    </row>
    <row r="60" ht="15" customHeight="1">
      <c r="A60" s="45" t="s">
        <v>453</v>
      </c>
      <c r="B60" s="86">
        <v>0.83</v>
      </c>
      <c r="C60" s="86">
        <v>2.92</v>
      </c>
      <c r="D60" s="86">
        <v>1.04</v>
      </c>
      <c r="E60" s="86">
        <v>0.4</v>
      </c>
      <c r="F60" s="86">
        <v>0.82</v>
      </c>
      <c r="G60" s="59"/>
      <c r="H60" s="3"/>
    </row>
    <row r="61" ht="15" customHeight="1">
      <c r="A61" s="22"/>
      <c r="B61" s="3"/>
      <c r="C61" s="3"/>
      <c r="D61" s="3"/>
      <c r="E61" s="3"/>
      <c r="F61" s="3"/>
      <c r="G61" s="65"/>
      <c r="H61" s="3"/>
    </row>
    <row r="62" ht="15" customHeight="1">
      <c r="A62" s="55" t="s">
        <v>454</v>
      </c>
      <c r="B62" s="20"/>
      <c r="C62" s="20"/>
      <c r="D62" s="20"/>
      <c r="E62" s="20"/>
      <c r="F62" s="20"/>
      <c r="G62" s="56"/>
      <c r="H62" s="3"/>
    </row>
    <row r="63" ht="15" customHeight="1">
      <c r="A63" s="58" t="s">
        <v>455</v>
      </c>
      <c r="B63" s="49">
        <v>979</v>
      </c>
      <c r="C63" s="49">
        <v>1183</v>
      </c>
      <c r="D63" s="27">
        <f t="shared" si="40" ref="D63:D93">C63</f>
        <v>1183</v>
      </c>
      <c r="E63" s="49">
        <v>363</v>
      </c>
      <c r="F63" s="49">
        <v>759</v>
      </c>
      <c r="G63" s="60"/>
      <c r="H63" s="18" t="s">
        <v>456</v>
      </c>
    </row>
    <row r="64" ht="15" customHeight="1">
      <c r="A64" s="66" t="s">
        <v>457</v>
      </c>
      <c r="B64" s="49">
        <v>666</v>
      </c>
      <c r="C64" s="27"/>
      <c r="D64" s="27"/>
      <c r="E64" s="27"/>
      <c r="F64" s="27"/>
      <c r="G64" s="60"/>
      <c r="H64" s="3"/>
    </row>
    <row r="65" ht="23.25" customHeight="1">
      <c r="A65" s="58" t="s">
        <v>458</v>
      </c>
      <c r="B65" s="49">
        <v>359</v>
      </c>
      <c r="C65" s="49">
        <v>569</v>
      </c>
      <c r="D65" s="27">
        <f t="shared" si="40"/>
        <v>569</v>
      </c>
      <c r="E65" s="49">
        <v>151</v>
      </c>
      <c r="F65" s="49">
        <v>310</v>
      </c>
      <c r="G65" s="60"/>
      <c r="H65" s="18" t="s">
        <v>456</v>
      </c>
    </row>
    <row r="66" ht="23.25" customHeight="1">
      <c r="A66" s="66" t="s">
        <v>459</v>
      </c>
      <c r="B66" s="49">
        <v>219</v>
      </c>
      <c r="C66" s="27"/>
      <c r="D66" s="27"/>
      <c r="E66" s="27"/>
      <c r="F66" s="27"/>
      <c r="G66" s="60"/>
      <c r="H66" s="3"/>
    </row>
    <row r="67" ht="15" customHeight="1">
      <c r="A67" s="58" t="s">
        <v>460</v>
      </c>
      <c r="B67" s="49">
        <v>-368</v>
      </c>
      <c r="C67" s="49">
        <v>-36</v>
      </c>
      <c r="D67" s="27">
        <f t="shared" si="40"/>
        <v>-36</v>
      </c>
      <c r="E67" s="49">
        <v>-305</v>
      </c>
      <c r="F67" s="49">
        <v>-229</v>
      </c>
      <c r="G67" s="60"/>
      <c r="H67" s="18" t="s">
        <v>456</v>
      </c>
    </row>
    <row r="68" ht="15" customHeight="1">
      <c r="A68" s="66" t="s">
        <v>461</v>
      </c>
      <c r="B68" s="49">
        <v>-243</v>
      </c>
      <c r="C68" s="27"/>
      <c r="D68" s="27"/>
      <c r="E68" s="27"/>
      <c r="F68" s="27"/>
      <c r="G68" s="60"/>
      <c r="H68" s="3"/>
    </row>
    <row r="69" ht="15" customHeight="1">
      <c r="A69" s="58" t="s">
        <v>462</v>
      </c>
      <c r="B69" s="49">
        <v>-228</v>
      </c>
      <c r="C69" s="49">
        <v>-182</v>
      </c>
      <c r="D69" s="27">
        <f t="shared" si="40"/>
        <v>-182</v>
      </c>
      <c r="E69" s="49">
        <v>-28</v>
      </c>
      <c r="F69" s="49">
        <v>-35</v>
      </c>
      <c r="G69" s="60"/>
      <c r="H69" s="18" t="s">
        <v>456</v>
      </c>
    </row>
    <row r="70" ht="15" customHeight="1">
      <c r="A70" s="66" t="s">
        <v>463</v>
      </c>
      <c r="B70" s="49">
        <v>-180</v>
      </c>
      <c r="C70" s="27"/>
      <c r="D70" s="27"/>
      <c r="E70" s="27"/>
      <c r="F70" s="27"/>
      <c r="G70" s="60"/>
      <c r="H70" s="3"/>
    </row>
    <row r="71" ht="15" customHeight="1">
      <c r="A71" s="58" t="s">
        <v>464</v>
      </c>
      <c r="B71" s="49">
        <v>76</v>
      </c>
      <c r="C71" s="49">
        <v>34</v>
      </c>
      <c r="D71" s="27">
        <f t="shared" si="40"/>
        <v>34</v>
      </c>
      <c r="E71" s="49">
        <v>20</v>
      </c>
      <c r="F71" s="49">
        <v>20</v>
      </c>
      <c r="G71" s="60"/>
      <c r="H71" s="18" t="s">
        <v>456</v>
      </c>
    </row>
    <row r="72" ht="15" customHeight="1">
      <c r="A72" s="66" t="s">
        <v>465</v>
      </c>
      <c r="B72" s="49">
        <v>74</v>
      </c>
      <c r="C72" s="27"/>
      <c r="D72" s="27"/>
      <c r="E72" s="27"/>
      <c r="F72" s="27"/>
      <c r="G72" s="60"/>
      <c r="H72" s="3"/>
    </row>
    <row r="73" ht="15" customHeight="1">
      <c r="A73" s="58" t="s">
        <v>466</v>
      </c>
      <c r="B73" s="49">
        <v>-51</v>
      </c>
      <c r="C73" s="49">
        <v>191</v>
      </c>
      <c r="D73" s="27">
        <f t="shared" si="40"/>
        <v>191</v>
      </c>
      <c r="E73" s="49">
        <v>-2</v>
      </c>
      <c r="F73" s="49">
        <v>-185</v>
      </c>
      <c r="G73" s="60"/>
      <c r="H73" s="18" t="s">
        <v>456</v>
      </c>
    </row>
    <row r="74" ht="15" customHeight="1">
      <c r="A74" s="66" t="s">
        <v>467</v>
      </c>
      <c r="B74" s="49">
        <v>-136</v>
      </c>
      <c r="C74" s="27"/>
      <c r="D74" s="27"/>
      <c r="E74" s="27"/>
      <c r="F74" s="27"/>
      <c r="G74" s="60"/>
      <c r="H74" s="3"/>
    </row>
    <row r="75" ht="23.25" customHeight="1">
      <c r="A75" s="58" t="s">
        <v>468</v>
      </c>
      <c r="B75" s="49">
        <v>767</v>
      </c>
      <c r="C75" s="49">
        <v>1759</v>
      </c>
      <c r="D75" s="27">
        <f t="shared" si="40"/>
        <v>1759</v>
      </c>
      <c r="E75" s="49">
        <v>199</v>
      </c>
      <c r="F75" s="49">
        <v>640</v>
      </c>
      <c r="G75" s="60"/>
      <c r="H75" s="18" t="s">
        <v>456</v>
      </c>
    </row>
    <row r="76" ht="23.25" customHeight="1">
      <c r="A76" s="66" t="s">
        <v>469</v>
      </c>
      <c r="B76" s="49">
        <v>400</v>
      </c>
      <c r="C76" s="27"/>
      <c r="D76" s="27"/>
      <c r="E76" s="27"/>
      <c r="F76" s="27"/>
      <c r="G76" s="60"/>
      <c r="H76" s="3"/>
    </row>
    <row r="77" ht="15" customHeight="1">
      <c r="A77" s="58" t="s">
        <v>470</v>
      </c>
      <c r="B77" s="49">
        <v>-138</v>
      </c>
      <c r="C77" s="49">
        <v>-260</v>
      </c>
      <c r="D77" s="27">
        <f t="shared" si="40"/>
        <v>-260</v>
      </c>
      <c r="E77" s="49">
        <v>-46</v>
      </c>
      <c r="F77" s="49">
        <v>-108</v>
      </c>
      <c r="G77" s="60"/>
      <c r="H77" s="18" t="s">
        <v>456</v>
      </c>
    </row>
    <row r="78" ht="15" customHeight="1">
      <c r="A78" s="66" t="s">
        <v>471</v>
      </c>
      <c r="B78" s="49">
        <v>-83</v>
      </c>
      <c r="C78" s="27"/>
      <c r="D78" s="27"/>
      <c r="E78" s="27"/>
      <c r="F78" s="27"/>
      <c r="G78" s="60"/>
      <c r="H78" s="3"/>
    </row>
    <row r="79" ht="15" customHeight="1">
      <c r="A79" s="58" t="s">
        <v>472</v>
      </c>
      <c r="B79" s="49">
        <v>-1755</v>
      </c>
      <c r="C79" s="49">
        <v>-2520</v>
      </c>
      <c r="D79" s="27">
        <f t="shared" si="40"/>
        <v>-2520</v>
      </c>
      <c r="E79" s="49">
        <v>-1062</v>
      </c>
      <c r="F79" s="49">
        <v>-1062</v>
      </c>
      <c r="G79" s="60"/>
      <c r="H79" s="18" t="s">
        <v>456</v>
      </c>
    </row>
    <row r="80" ht="15" customHeight="1">
      <c r="A80" s="66" t="s">
        <v>473</v>
      </c>
      <c r="B80" s="49">
        <v>-21</v>
      </c>
      <c r="C80" s="27"/>
      <c r="D80" s="27"/>
      <c r="E80" s="27"/>
      <c r="F80" s="27"/>
      <c r="G80" s="60"/>
      <c r="H80" s="3"/>
    </row>
    <row r="81" ht="15" customHeight="1">
      <c r="A81" s="58" t="s">
        <v>474</v>
      </c>
      <c r="B81" s="49">
        <v>-1887</v>
      </c>
      <c r="C81" s="49">
        <v>-2747</v>
      </c>
      <c r="D81" s="27">
        <f t="shared" si="40"/>
        <v>-2747</v>
      </c>
      <c r="E81" s="49">
        <v>-1105</v>
      </c>
      <c r="F81" s="49">
        <v>-1160</v>
      </c>
      <c r="G81" s="60"/>
      <c r="H81" s="18" t="s">
        <v>456</v>
      </c>
    </row>
    <row r="82" ht="15" customHeight="1">
      <c r="A82" s="66" t="s">
        <v>475</v>
      </c>
      <c r="B82" s="49">
        <v>-98</v>
      </c>
      <c r="C82" s="27"/>
      <c r="D82" s="27"/>
      <c r="E82" s="27"/>
      <c r="F82" s="27"/>
      <c r="G82" s="60"/>
      <c r="H82" s="3"/>
    </row>
    <row r="83" ht="15" customHeight="1">
      <c r="A83" s="58" t="s">
        <v>476</v>
      </c>
      <c r="B83" s="49">
        <v>3857</v>
      </c>
      <c r="C83" s="49">
        <v>4708</v>
      </c>
      <c r="D83" s="27">
        <f t="shared" si="40"/>
        <v>4708</v>
      </c>
      <c r="E83" s="49">
        <v>1682</v>
      </c>
      <c r="F83" s="49">
        <v>2585</v>
      </c>
      <c r="G83" s="60"/>
      <c r="H83" s="18" t="s">
        <v>456</v>
      </c>
    </row>
    <row r="84" ht="15" customHeight="1">
      <c r="A84" s="66" t="s">
        <v>477</v>
      </c>
      <c r="B84" s="49">
        <v>2189</v>
      </c>
      <c r="C84" s="27"/>
      <c r="D84" s="27"/>
      <c r="E84" s="27"/>
      <c r="F84" s="27"/>
      <c r="G84" s="60"/>
      <c r="H84" s="3"/>
    </row>
    <row r="85" ht="15" customHeight="1">
      <c r="A85" s="58" t="s">
        <v>478</v>
      </c>
      <c r="B85" s="49">
        <v>-2622</v>
      </c>
      <c r="C85" s="49">
        <v>-3224</v>
      </c>
      <c r="D85" s="27">
        <f t="shared" si="40"/>
        <v>-3224</v>
      </c>
      <c r="E85" s="49">
        <v>-670</v>
      </c>
      <c r="F85" s="49">
        <v>-1536</v>
      </c>
      <c r="G85" s="60"/>
      <c r="H85" s="18" t="s">
        <v>456</v>
      </c>
    </row>
    <row r="86" ht="15" customHeight="1">
      <c r="A86" s="66" t="s">
        <v>479</v>
      </c>
      <c r="B86" s="49">
        <v>-1454</v>
      </c>
      <c r="C86" s="27"/>
      <c r="D86" s="27"/>
      <c r="E86" s="27"/>
      <c r="F86" s="27"/>
      <c r="G86" s="60"/>
      <c r="H86" s="3"/>
    </row>
    <row r="87" ht="15" customHeight="1">
      <c r="A87" s="58" t="s">
        <v>480</v>
      </c>
      <c r="B87" s="49">
        <v>-148</v>
      </c>
      <c r="C87" s="49">
        <v>-223</v>
      </c>
      <c r="D87" s="27">
        <f t="shared" si="40"/>
        <v>-223</v>
      </c>
      <c r="E87" s="49">
        <v>-242</v>
      </c>
      <c r="F87" s="49">
        <v>-457</v>
      </c>
      <c r="G87" s="60"/>
      <c r="H87" s="18" t="s">
        <v>456</v>
      </c>
    </row>
    <row r="88" ht="15" customHeight="1">
      <c r="A88" s="66" t="s">
        <v>481</v>
      </c>
      <c r="B88" s="49">
        <v>-148</v>
      </c>
      <c r="C88" s="27"/>
      <c r="D88" s="27"/>
      <c r="E88" s="27"/>
      <c r="F88" s="27"/>
      <c r="G88" s="60"/>
      <c r="H88" s="3"/>
    </row>
    <row r="89" ht="15" customHeight="1">
      <c r="A89" s="58" t="s">
        <v>482</v>
      </c>
      <c r="B89" s="49">
        <v>-130</v>
      </c>
      <c r="C89" s="49">
        <v>-173</v>
      </c>
      <c r="D89" s="27">
        <f t="shared" si="40"/>
        <v>-173</v>
      </c>
      <c r="E89" s="49">
        <v>-53</v>
      </c>
      <c r="F89" s="49">
        <v>-106</v>
      </c>
      <c r="G89" s="60"/>
      <c r="H89" s="18" t="s">
        <v>456</v>
      </c>
    </row>
    <row r="90" ht="15" customHeight="1">
      <c r="A90" s="66" t="s">
        <v>483</v>
      </c>
      <c r="B90" s="49">
        <v>-87</v>
      </c>
      <c r="C90" s="27"/>
      <c r="D90" s="27"/>
      <c r="E90" s="27"/>
      <c r="F90" s="27"/>
      <c r="G90" s="60"/>
      <c r="H90" s="3"/>
    </row>
    <row r="91" ht="15" customHeight="1">
      <c r="A91" s="58" t="s">
        <v>484</v>
      </c>
      <c r="B91" s="49">
        <v>907</v>
      </c>
      <c r="C91" s="49">
        <v>1031</v>
      </c>
      <c r="D91" s="27">
        <f t="shared" si="40"/>
        <v>1031</v>
      </c>
      <c r="E91" s="49">
        <v>656</v>
      </c>
      <c r="F91" s="49">
        <v>408</v>
      </c>
      <c r="G91" s="60"/>
      <c r="H91" s="18" t="s">
        <v>456</v>
      </c>
    </row>
    <row r="92" ht="15" customHeight="1">
      <c r="A92" s="66" t="s">
        <v>485</v>
      </c>
      <c r="B92" s="49">
        <v>454</v>
      </c>
      <c r="C92" s="27"/>
      <c r="D92" s="27"/>
      <c r="E92" s="27"/>
      <c r="F92" s="27"/>
      <c r="G92" s="60"/>
      <c r="H92" s="3"/>
    </row>
    <row r="93" ht="15" customHeight="1">
      <c r="A93" s="58" t="s">
        <v>486</v>
      </c>
      <c r="B93" s="49">
        <v>26</v>
      </c>
      <c r="C93" s="49">
        <v>31</v>
      </c>
      <c r="D93" s="27">
        <f t="shared" si="40"/>
        <v>31</v>
      </c>
      <c r="E93" s="49">
        <v>-8</v>
      </c>
      <c r="F93" s="49">
        <v>-7</v>
      </c>
      <c r="G93" s="60"/>
      <c r="H93" s="18" t="s">
        <v>456</v>
      </c>
    </row>
    <row r="94" ht="15" customHeight="1">
      <c r="A94" s="66" t="s">
        <v>487</v>
      </c>
      <c r="B94" s="49">
        <v>28</v>
      </c>
      <c r="C94" s="27"/>
      <c r="D94" s="27"/>
      <c r="E94" s="27"/>
      <c r="F94" s="27"/>
      <c r="G94" s="60"/>
      <c r="H94" s="3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1E64A1E-B508-490B-E108-370A11C83082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488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489</v>
      </c>
      <c r="B8" s="20"/>
      <c r="C8" s="20"/>
      <c r="D8" s="20"/>
      <c r="E8" s="20"/>
      <c r="F8" s="20"/>
      <c r="G8" s="56"/>
      <c r="H8" s="3"/>
    </row>
    <row r="9" ht="15" customHeight="1">
      <c r="A9" s="58" t="s">
        <v>490</v>
      </c>
      <c r="B9" s="27"/>
      <c r="C9" s="27"/>
      <c r="D9" s="49">
        <v>5367</v>
      </c>
      <c r="E9" s="27"/>
      <c r="F9" s="27"/>
      <c r="G9" s="60"/>
      <c r="H9" s="18" t="s">
        <v>491</v>
      </c>
    </row>
    <row r="10" ht="15" customHeight="1">
      <c r="A10" s="66" t="s">
        <v>492</v>
      </c>
      <c r="B10" s="27"/>
      <c r="C10" s="27"/>
      <c r="D10" s="49">
        <v>4924</v>
      </c>
      <c r="E10" s="27"/>
      <c r="F10" s="27"/>
      <c r="G10" s="60"/>
      <c r="H10" s="3"/>
    </row>
    <row r="11" ht="15" customHeight="1">
      <c r="A11" s="68" t="s">
        <v>70</v>
      </c>
      <c r="B11" s="37"/>
      <c r="C11" s="37"/>
      <c r="D11" s="37">
        <f t="shared" si="0" ref="D11:D130">D9/D10-1</f>
        <v>0.08996750609260773</v>
      </c>
      <c r="E11" s="37"/>
      <c r="F11" s="37"/>
      <c r="G11" s="59"/>
      <c r="H11" s="3"/>
    </row>
    <row r="12" ht="15" customHeight="1">
      <c r="A12" s="68" t="s">
        <v>493</v>
      </c>
      <c r="B12" s="37"/>
      <c r="C12" s="37"/>
      <c r="D12" s="37">
        <f>D9/D128</f>
        <v>0.4806125190292827</v>
      </c>
      <c r="E12" s="37"/>
      <c r="F12" s="37"/>
      <c r="G12" s="59"/>
      <c r="H12" s="3"/>
    </row>
    <row r="13" ht="15" customHeight="1">
      <c r="A13" s="68" t="s">
        <v>102</v>
      </c>
      <c r="B13" s="37"/>
      <c r="C13" s="37"/>
      <c r="D13" s="37" t="s">
        <v>103</v>
      </c>
      <c r="E13" s="37"/>
      <c r="F13" s="37"/>
      <c r="G13" s="59"/>
      <c r="H13" s="18" t="s">
        <v>494</v>
      </c>
    </row>
    <row r="14" ht="15" customHeight="1">
      <c r="A14" s="68" t="s">
        <v>77</v>
      </c>
      <c r="B14" s="37"/>
      <c r="C14" s="37"/>
      <c r="D14" s="37" t="s">
        <v>103</v>
      </c>
      <c r="E14" s="37"/>
      <c r="F14" s="37"/>
      <c r="G14" s="59"/>
      <c r="H14" s="3"/>
    </row>
    <row r="15" ht="15" customHeight="1">
      <c r="A15" s="68" t="s">
        <v>79</v>
      </c>
      <c r="B15" s="37"/>
      <c r="C15" s="37"/>
      <c r="D15" s="37" t="s">
        <v>103</v>
      </c>
      <c r="E15" s="37"/>
      <c r="F15" s="37"/>
      <c r="G15" s="59"/>
      <c r="H15" s="3"/>
    </row>
    <row r="16" ht="15" customHeight="1">
      <c r="A16" s="58" t="s">
        <v>495</v>
      </c>
      <c r="B16" s="27"/>
      <c r="C16" s="27"/>
      <c r="D16" s="49">
        <v>555</v>
      </c>
      <c r="E16" s="27"/>
      <c r="F16" s="27"/>
      <c r="G16" s="60"/>
      <c r="H16" s="3"/>
    </row>
    <row r="17" ht="15" customHeight="1">
      <c r="A17" s="66" t="s">
        <v>492</v>
      </c>
      <c r="B17" s="27"/>
      <c r="C17" s="27"/>
      <c r="D17" s="49">
        <v>616</v>
      </c>
      <c r="E17" s="27"/>
      <c r="F17" s="27"/>
      <c r="G17" s="60"/>
      <c r="H17" s="3"/>
    </row>
    <row r="18" ht="15" customHeight="1">
      <c r="A18" s="68" t="s">
        <v>70</v>
      </c>
      <c r="B18" s="37"/>
      <c r="C18" s="37"/>
      <c r="D18" s="37">
        <f t="shared" si="0"/>
        <v>-0.09902597402597402</v>
      </c>
      <c r="E18" s="37"/>
      <c r="F18" s="37"/>
      <c r="G18" s="59"/>
      <c r="H18" s="3"/>
    </row>
    <row r="19" ht="15" customHeight="1">
      <c r="A19" s="68" t="s">
        <v>493</v>
      </c>
      <c r="B19" s="37"/>
      <c r="C19" s="37"/>
      <c r="D19" s="37">
        <f>D16/D128</f>
        <v>0.04970000895495657</v>
      </c>
      <c r="E19" s="37"/>
      <c r="F19" s="37"/>
      <c r="G19" s="59"/>
      <c r="H19" s="3"/>
    </row>
    <row r="20" ht="15" customHeight="1">
      <c r="A20" s="68" t="s">
        <v>102</v>
      </c>
      <c r="B20" s="37"/>
      <c r="C20" s="37"/>
      <c r="D20" s="37" t="s">
        <v>103</v>
      </c>
      <c r="E20" s="37"/>
      <c r="F20" s="37"/>
      <c r="G20" s="59"/>
      <c r="H20" s="3"/>
    </row>
    <row r="21" ht="15" customHeight="1">
      <c r="A21" s="68" t="s">
        <v>77</v>
      </c>
      <c r="B21" s="37"/>
      <c r="C21" s="37"/>
      <c r="D21" s="37" t="s">
        <v>103</v>
      </c>
      <c r="E21" s="37"/>
      <c r="F21" s="37"/>
      <c r="G21" s="59"/>
      <c r="H21" s="3"/>
    </row>
    <row r="22" ht="15" customHeight="1">
      <c r="A22" s="68" t="s">
        <v>79</v>
      </c>
      <c r="B22" s="37"/>
      <c r="C22" s="37"/>
      <c r="D22" s="37" t="s">
        <v>103</v>
      </c>
      <c r="E22" s="37"/>
      <c r="F22" s="37"/>
      <c r="G22" s="59"/>
      <c r="H22" s="3"/>
    </row>
    <row r="23" ht="15" customHeight="1">
      <c r="A23" s="58" t="s">
        <v>496</v>
      </c>
      <c r="B23" s="27"/>
      <c r="C23" s="27"/>
      <c r="D23" s="49">
        <v>270</v>
      </c>
      <c r="E23" s="27"/>
      <c r="F23" s="27"/>
      <c r="G23" s="60"/>
      <c r="H23" s="3"/>
    </row>
    <row r="24" ht="15" customHeight="1">
      <c r="A24" s="66" t="s">
        <v>492</v>
      </c>
      <c r="B24" s="27"/>
      <c r="C24" s="27"/>
      <c r="D24" s="49">
        <v>275</v>
      </c>
      <c r="E24" s="27"/>
      <c r="F24" s="27"/>
      <c r="G24" s="60"/>
      <c r="H24" s="3"/>
    </row>
    <row r="25" ht="15" customHeight="1">
      <c r="A25" s="68" t="s">
        <v>70</v>
      </c>
      <c r="B25" s="37"/>
      <c r="C25" s="37"/>
      <c r="D25" s="37">
        <f t="shared" si="0"/>
        <v>-0.018181818181818188</v>
      </c>
      <c r="E25" s="37"/>
      <c r="F25" s="37"/>
      <c r="G25" s="59"/>
      <c r="H25" s="3"/>
    </row>
    <row r="26" ht="15" customHeight="1">
      <c r="A26" s="68" t="s">
        <v>493</v>
      </c>
      <c r="B26" s="37"/>
      <c r="C26" s="37"/>
      <c r="D26" s="37">
        <f>D23/D128</f>
        <v>0.024178382734843736</v>
      </c>
      <c r="E26" s="37"/>
      <c r="F26" s="37"/>
      <c r="G26" s="59"/>
      <c r="H26" s="3"/>
    </row>
    <row r="27" ht="15" customHeight="1">
      <c r="A27" s="68" t="s">
        <v>102</v>
      </c>
      <c r="B27" s="37"/>
      <c r="C27" s="37"/>
      <c r="D27" s="37" t="s">
        <v>103</v>
      </c>
      <c r="E27" s="37"/>
      <c r="F27" s="37"/>
      <c r="G27" s="59"/>
      <c r="H27" s="3"/>
    </row>
    <row r="28" ht="15" customHeight="1">
      <c r="A28" s="68" t="s">
        <v>77</v>
      </c>
      <c r="B28" s="37"/>
      <c r="C28" s="37"/>
      <c r="D28" s="37" t="s">
        <v>103</v>
      </c>
      <c r="E28" s="37"/>
      <c r="F28" s="37"/>
      <c r="G28" s="59"/>
      <c r="H28" s="3"/>
    </row>
    <row r="29" ht="15" customHeight="1">
      <c r="A29" s="68" t="s">
        <v>79</v>
      </c>
      <c r="B29" s="37"/>
      <c r="C29" s="37"/>
      <c r="D29" s="37" t="s">
        <v>103</v>
      </c>
      <c r="E29" s="37"/>
      <c r="F29" s="37"/>
      <c r="G29" s="59"/>
      <c r="H29" s="3"/>
    </row>
    <row r="30" ht="15" customHeight="1">
      <c r="A30" s="29" t="s">
        <v>497</v>
      </c>
      <c r="B30" s="62"/>
      <c r="C30" s="62"/>
      <c r="D30" s="62">
        <f t="shared" si="1" ref="D30:D31">D9+D16+D23</f>
        <v>6192</v>
      </c>
      <c r="E30" s="62"/>
      <c r="F30" s="62"/>
      <c r="G30" s="63"/>
      <c r="H30" s="3"/>
    </row>
    <row r="31" ht="15" customHeight="1">
      <c r="A31" s="66" t="s">
        <v>492</v>
      </c>
      <c r="B31" s="27"/>
      <c r="C31" s="27"/>
      <c r="D31" s="27">
        <f t="shared" si="1"/>
        <v>5815</v>
      </c>
      <c r="E31" s="27"/>
      <c r="F31" s="27"/>
      <c r="G31" s="60"/>
      <c r="H31" s="3"/>
    </row>
    <row r="32" ht="15" customHeight="1">
      <c r="A32" s="45" t="s">
        <v>70</v>
      </c>
      <c r="B32" s="37"/>
      <c r="C32" s="37"/>
      <c r="D32" s="37">
        <f t="shared" si="0"/>
        <v>0.06483233018056755</v>
      </c>
      <c r="E32" s="37"/>
      <c r="F32" s="37"/>
      <c r="G32" s="59"/>
      <c r="H32" s="3"/>
    </row>
    <row r="33" ht="15" customHeight="1">
      <c r="A33" s="45" t="s">
        <v>493</v>
      </c>
      <c r="B33" s="37"/>
      <c r="C33" s="37"/>
      <c r="D33" s="37">
        <f>D30/D128</f>
        <v>0.554490910719083</v>
      </c>
      <c r="E33" s="37"/>
      <c r="F33" s="37"/>
      <c r="G33" s="59"/>
      <c r="H33" s="3"/>
    </row>
    <row r="34" ht="15" customHeight="1">
      <c r="A34" s="45" t="s">
        <v>102</v>
      </c>
      <c r="B34" s="37"/>
      <c r="C34" s="37"/>
      <c r="D34" s="37" t="s">
        <v>103</v>
      </c>
      <c r="E34" s="37"/>
      <c r="F34" s="37"/>
      <c r="G34" s="59"/>
      <c r="H34" s="3"/>
    </row>
    <row r="35" ht="15" customHeight="1">
      <c r="A35" s="45" t="s">
        <v>77</v>
      </c>
      <c r="B35" s="37"/>
      <c r="C35" s="37"/>
      <c r="D35" s="37" t="s">
        <v>103</v>
      </c>
      <c r="E35" s="37"/>
      <c r="F35" s="37"/>
      <c r="G35" s="59"/>
      <c r="H35" s="3"/>
    </row>
    <row r="36" ht="15" customHeight="1">
      <c r="A36" s="45" t="s">
        <v>79</v>
      </c>
      <c r="B36" s="37"/>
      <c r="C36" s="37"/>
      <c r="D36" s="37" t="s">
        <v>103</v>
      </c>
      <c r="E36" s="37"/>
      <c r="F36" s="37"/>
      <c r="G36" s="59"/>
      <c r="H36" s="3"/>
    </row>
    <row r="37" ht="15" customHeight="1">
      <c r="A37" s="22" t="s">
        <v>498</v>
      </c>
      <c r="B37" s="27"/>
      <c r="C37" s="27"/>
      <c r="D37" s="49">
        <v>513</v>
      </c>
      <c r="E37" s="27"/>
      <c r="F37" s="27"/>
      <c r="G37" s="60"/>
      <c r="H37" s="3"/>
    </row>
    <row r="38" ht="15" customHeight="1">
      <c r="A38" s="58" t="s">
        <v>492</v>
      </c>
      <c r="B38" s="27"/>
      <c r="C38" s="27"/>
      <c r="D38" s="49">
        <v>445</v>
      </c>
      <c r="E38" s="27"/>
      <c r="F38" s="27"/>
      <c r="G38" s="60"/>
      <c r="H38" s="3"/>
    </row>
    <row r="39" ht="15" customHeight="1">
      <c r="A39" s="45" t="s">
        <v>70</v>
      </c>
      <c r="B39" s="37"/>
      <c r="C39" s="37"/>
      <c r="D39" s="37">
        <f t="shared" si="0"/>
        <v>0.15280898876404492</v>
      </c>
      <c r="E39" s="37"/>
      <c r="F39" s="37"/>
      <c r="G39" s="59"/>
      <c r="H39" s="3"/>
    </row>
    <row r="40" ht="15" customHeight="1">
      <c r="A40" s="45" t="s">
        <v>493</v>
      </c>
      <c r="B40" s="37"/>
      <c r="C40" s="37"/>
      <c r="D40" s="37">
        <f>D37/D128</f>
        <v>0.0459389271962031</v>
      </c>
      <c r="E40" s="37"/>
      <c r="F40" s="37"/>
      <c r="G40" s="59"/>
      <c r="H40" s="3"/>
    </row>
    <row r="41" ht="15" customHeight="1">
      <c r="A41" s="45" t="s">
        <v>102</v>
      </c>
      <c r="B41" s="37"/>
      <c r="C41" s="37"/>
      <c r="D41" s="37" t="s">
        <v>103</v>
      </c>
      <c r="E41" s="37"/>
      <c r="F41" s="37"/>
      <c r="G41" s="59"/>
      <c r="H41" s="3"/>
    </row>
    <row r="42" ht="15" customHeight="1">
      <c r="A42" s="45" t="s">
        <v>77</v>
      </c>
      <c r="B42" s="37"/>
      <c r="C42" s="37"/>
      <c r="D42" s="37" t="s">
        <v>103</v>
      </c>
      <c r="E42" s="37"/>
      <c r="F42" s="37"/>
      <c r="G42" s="59"/>
      <c r="H42" s="3"/>
    </row>
    <row r="43" ht="15" customHeight="1">
      <c r="A43" s="45" t="s">
        <v>79</v>
      </c>
      <c r="B43" s="37"/>
      <c r="C43" s="37"/>
      <c r="D43" s="37" t="s">
        <v>103</v>
      </c>
      <c r="E43" s="37"/>
      <c r="F43" s="37"/>
      <c r="G43" s="59"/>
      <c r="H43" s="3"/>
    </row>
    <row r="44" ht="15" customHeight="1">
      <c r="A44" s="58" t="s">
        <v>499</v>
      </c>
      <c r="B44" s="27"/>
      <c r="C44" s="27"/>
      <c r="D44" s="49">
        <v>419</v>
      </c>
      <c r="E44" s="27"/>
      <c r="F44" s="27"/>
      <c r="G44" s="60"/>
      <c r="H44" s="3"/>
    </row>
    <row r="45" ht="15" customHeight="1">
      <c r="A45" s="66" t="s">
        <v>492</v>
      </c>
      <c r="B45" s="27"/>
      <c r="C45" s="27"/>
      <c r="D45" s="49">
        <v>369</v>
      </c>
      <c r="E45" s="27"/>
      <c r="F45" s="27"/>
      <c r="G45" s="60"/>
      <c r="H45" s="3"/>
    </row>
    <row r="46" ht="15" customHeight="1">
      <c r="A46" s="68" t="s">
        <v>70</v>
      </c>
      <c r="B46" s="37"/>
      <c r="C46" s="37"/>
      <c r="D46" s="37">
        <f t="shared" si="0"/>
        <v>0.1355013550135502</v>
      </c>
      <c r="E46" s="37"/>
      <c r="F46" s="37"/>
      <c r="G46" s="59"/>
      <c r="H46" s="3"/>
    </row>
    <row r="47" ht="15" customHeight="1">
      <c r="A47" s="68" t="s">
        <v>493</v>
      </c>
      <c r="B47" s="37"/>
      <c r="C47" s="37"/>
      <c r="D47" s="37">
        <f>D44/D128</f>
        <v>0.037521268021850095</v>
      </c>
      <c r="E47" s="37"/>
      <c r="F47" s="37"/>
      <c r="G47" s="59"/>
      <c r="H47" s="3"/>
    </row>
    <row r="48" ht="15" customHeight="1">
      <c r="A48" s="68" t="s">
        <v>102</v>
      </c>
      <c r="B48" s="37"/>
      <c r="C48" s="37"/>
      <c r="D48" s="37" t="s">
        <v>103</v>
      </c>
      <c r="E48" s="37"/>
      <c r="F48" s="37"/>
      <c r="G48" s="59"/>
      <c r="H48" s="3"/>
    </row>
    <row r="49" ht="15" customHeight="1">
      <c r="A49" s="68" t="s">
        <v>77</v>
      </c>
      <c r="B49" s="37"/>
      <c r="C49" s="37"/>
      <c r="D49" s="37" t="s">
        <v>103</v>
      </c>
      <c r="E49" s="37"/>
      <c r="F49" s="37"/>
      <c r="G49" s="59"/>
      <c r="H49" s="3"/>
    </row>
    <row r="50" ht="15" customHeight="1">
      <c r="A50" s="68" t="s">
        <v>79</v>
      </c>
      <c r="B50" s="37"/>
      <c r="C50" s="37"/>
      <c r="D50" s="37" t="s">
        <v>103</v>
      </c>
      <c r="E50" s="37"/>
      <c r="F50" s="37"/>
      <c r="G50" s="59"/>
      <c r="H50" s="3"/>
    </row>
    <row r="51" ht="15" customHeight="1">
      <c r="A51" s="58" t="s">
        <v>500</v>
      </c>
      <c r="B51" s="27"/>
      <c r="C51" s="27"/>
      <c r="D51" s="49">
        <v>379</v>
      </c>
      <c r="E51" s="27"/>
      <c r="F51" s="27"/>
      <c r="G51" s="60"/>
      <c r="H51" s="3"/>
    </row>
    <row r="52" ht="15" customHeight="1">
      <c r="A52" s="66" t="s">
        <v>492</v>
      </c>
      <c r="B52" s="27"/>
      <c r="C52" s="27"/>
      <c r="D52" s="49">
        <v>371</v>
      </c>
      <c r="E52" s="27"/>
      <c r="F52" s="27"/>
      <c r="G52" s="60"/>
      <c r="H52" s="3"/>
    </row>
    <row r="53" ht="15" customHeight="1">
      <c r="A53" s="68" t="s">
        <v>70</v>
      </c>
      <c r="B53" s="37"/>
      <c r="C53" s="37"/>
      <c r="D53" s="37">
        <f t="shared" si="0"/>
        <v>0.02156334231805923</v>
      </c>
      <c r="E53" s="37"/>
      <c r="F53" s="37"/>
      <c r="G53" s="59"/>
      <c r="H53" s="3"/>
    </row>
    <row r="54" ht="15" customHeight="1">
      <c r="A54" s="68" t="s">
        <v>493</v>
      </c>
      <c r="B54" s="37"/>
      <c r="C54" s="37"/>
      <c r="D54" s="37">
        <f>D51/D128</f>
        <v>0.033939285394465835</v>
      </c>
      <c r="E54" s="37"/>
      <c r="F54" s="37"/>
      <c r="G54" s="59"/>
      <c r="H54" s="3"/>
    </row>
    <row r="55" ht="15" customHeight="1">
      <c r="A55" s="68" t="s">
        <v>102</v>
      </c>
      <c r="B55" s="37"/>
      <c r="C55" s="37"/>
      <c r="D55" s="37" t="s">
        <v>103</v>
      </c>
      <c r="E55" s="37"/>
      <c r="F55" s="37"/>
      <c r="G55" s="59"/>
      <c r="H55" s="3"/>
    </row>
    <row r="56" ht="15" customHeight="1">
      <c r="A56" s="68" t="s">
        <v>77</v>
      </c>
      <c r="B56" s="37"/>
      <c r="C56" s="37"/>
      <c r="D56" s="37" t="s">
        <v>103</v>
      </c>
      <c r="E56" s="37"/>
      <c r="F56" s="37"/>
      <c r="G56" s="59"/>
      <c r="H56" s="3"/>
    </row>
    <row r="57" ht="15" customHeight="1">
      <c r="A57" s="68" t="s">
        <v>79</v>
      </c>
      <c r="B57" s="37"/>
      <c r="C57" s="37"/>
      <c r="D57" s="37" t="s">
        <v>103</v>
      </c>
      <c r="E57" s="37"/>
      <c r="F57" s="37"/>
      <c r="G57" s="59"/>
      <c r="H57" s="3"/>
    </row>
    <row r="58" ht="15" customHeight="1">
      <c r="A58" s="58" t="s">
        <v>501</v>
      </c>
      <c r="B58" s="27"/>
      <c r="C58" s="27"/>
      <c r="D58" s="49">
        <v>313</v>
      </c>
      <c r="E58" s="27"/>
      <c r="F58" s="27"/>
      <c r="G58" s="60"/>
      <c r="H58" s="3"/>
    </row>
    <row r="59" ht="15" customHeight="1">
      <c r="A59" s="66" t="s">
        <v>492</v>
      </c>
      <c r="B59" s="27"/>
      <c r="C59" s="27"/>
      <c r="D59" s="49">
        <v>296</v>
      </c>
      <c r="E59" s="27"/>
      <c r="F59" s="27"/>
      <c r="G59" s="60"/>
      <c r="H59" s="3"/>
    </row>
    <row r="60" ht="15" customHeight="1">
      <c r="A60" s="68" t="s">
        <v>70</v>
      </c>
      <c r="B60" s="37"/>
      <c r="C60" s="37"/>
      <c r="D60" s="37">
        <f t="shared" si="0"/>
        <v>0.057432432432432456</v>
      </c>
      <c r="E60" s="37"/>
      <c r="F60" s="37"/>
      <c r="G60" s="59"/>
      <c r="H60" s="3"/>
    </row>
    <row r="61" ht="15" customHeight="1">
      <c r="A61" s="68" t="s">
        <v>493</v>
      </c>
      <c r="B61" s="37"/>
      <c r="C61" s="37"/>
      <c r="D61" s="37">
        <f>D58/D128</f>
        <v>0.028029014059281813</v>
      </c>
      <c r="E61" s="37"/>
      <c r="F61" s="37"/>
      <c r="G61" s="59"/>
      <c r="H61" s="3"/>
    </row>
    <row r="62" ht="15" customHeight="1">
      <c r="A62" s="68" t="s">
        <v>102</v>
      </c>
      <c r="B62" s="37"/>
      <c r="C62" s="37"/>
      <c r="D62" s="37" t="s">
        <v>103</v>
      </c>
      <c r="E62" s="37"/>
      <c r="F62" s="37"/>
      <c r="G62" s="59"/>
      <c r="H62" s="3"/>
    </row>
    <row r="63" ht="15" customHeight="1">
      <c r="A63" s="68" t="s">
        <v>77</v>
      </c>
      <c r="B63" s="37"/>
      <c r="C63" s="37"/>
      <c r="D63" s="37" t="s">
        <v>103</v>
      </c>
      <c r="E63" s="37"/>
      <c r="F63" s="37"/>
      <c r="G63" s="59"/>
      <c r="H63" s="3"/>
    </row>
    <row r="64" ht="15" customHeight="1">
      <c r="A64" s="68" t="s">
        <v>79</v>
      </c>
      <c r="B64" s="37"/>
      <c r="C64" s="37"/>
      <c r="D64" s="37" t="s">
        <v>103</v>
      </c>
      <c r="E64" s="37"/>
      <c r="F64" s="37"/>
      <c r="G64" s="59"/>
      <c r="H64" s="3"/>
    </row>
    <row r="65" ht="15" customHeight="1">
      <c r="A65" s="58" t="s">
        <v>502</v>
      </c>
      <c r="B65" s="27"/>
      <c r="C65" s="27"/>
      <c r="D65" s="49">
        <v>182</v>
      </c>
      <c r="E65" s="27"/>
      <c r="F65" s="27"/>
      <c r="G65" s="60"/>
      <c r="H65" s="3"/>
    </row>
    <row r="66" ht="15" customHeight="1">
      <c r="A66" s="66" t="s">
        <v>492</v>
      </c>
      <c r="B66" s="27"/>
      <c r="C66" s="27"/>
      <c r="D66" s="49">
        <v>166</v>
      </c>
      <c r="E66" s="27"/>
      <c r="F66" s="27"/>
      <c r="G66" s="60"/>
      <c r="H66" s="3"/>
    </row>
    <row r="67" ht="15" customHeight="1">
      <c r="A67" s="68" t="s">
        <v>70</v>
      </c>
      <c r="B67" s="37"/>
      <c r="C67" s="37"/>
      <c r="D67" s="37">
        <f t="shared" si="0"/>
        <v>0.09638554216867479</v>
      </c>
      <c r="E67" s="37"/>
      <c r="F67" s="37"/>
      <c r="G67" s="59"/>
      <c r="H67" s="3"/>
    </row>
    <row r="68" ht="15" customHeight="1">
      <c r="A68" s="68" t="s">
        <v>493</v>
      </c>
      <c r="B68" s="37"/>
      <c r="C68" s="37"/>
      <c r="D68" s="37">
        <f>D65/D128</f>
        <v>0.01629802095459837</v>
      </c>
      <c r="E68" s="37"/>
      <c r="F68" s="37"/>
      <c r="G68" s="59"/>
      <c r="H68" s="3"/>
    </row>
    <row r="69" ht="15" customHeight="1">
      <c r="A69" s="68" t="s">
        <v>102</v>
      </c>
      <c r="B69" s="37"/>
      <c r="C69" s="37"/>
      <c r="D69" s="37" t="s">
        <v>103</v>
      </c>
      <c r="E69" s="37"/>
      <c r="F69" s="37"/>
      <c r="G69" s="59"/>
      <c r="H69" s="3"/>
    </row>
    <row r="70" ht="15" customHeight="1">
      <c r="A70" s="68" t="s">
        <v>77</v>
      </c>
      <c r="B70" s="37"/>
      <c r="C70" s="37"/>
      <c r="D70" s="37" t="s">
        <v>103</v>
      </c>
      <c r="E70" s="37"/>
      <c r="F70" s="37"/>
      <c r="G70" s="59"/>
      <c r="H70" s="3"/>
    </row>
    <row r="71" ht="15" customHeight="1">
      <c r="A71" s="68" t="s">
        <v>79</v>
      </c>
      <c r="B71" s="37"/>
      <c r="C71" s="37"/>
      <c r="D71" s="37" t="s">
        <v>103</v>
      </c>
      <c r="E71" s="37"/>
      <c r="F71" s="37"/>
      <c r="G71" s="59"/>
      <c r="H71" s="3"/>
    </row>
    <row r="72" ht="15" customHeight="1">
      <c r="A72" s="58" t="s">
        <v>503</v>
      </c>
      <c r="B72" s="27"/>
      <c r="C72" s="27"/>
      <c r="D72" s="49">
        <v>663</v>
      </c>
      <c r="E72" s="27"/>
      <c r="F72" s="27"/>
      <c r="G72" s="60"/>
      <c r="H72" s="3"/>
    </row>
    <row r="73" ht="15" customHeight="1">
      <c r="A73" s="66" t="s">
        <v>492</v>
      </c>
      <c r="B73" s="27"/>
      <c r="C73" s="27"/>
      <c r="D73" s="49">
        <v>612</v>
      </c>
      <c r="E73" s="27"/>
      <c r="F73" s="27"/>
      <c r="G73" s="60"/>
      <c r="H73" s="3"/>
    </row>
    <row r="74" ht="15" customHeight="1">
      <c r="A74" s="68" t="s">
        <v>70</v>
      </c>
      <c r="B74" s="37"/>
      <c r="C74" s="37"/>
      <c r="D74" s="37">
        <f t="shared" si="0"/>
        <v>0.08333333333333326</v>
      </c>
      <c r="E74" s="37"/>
      <c r="F74" s="37"/>
      <c r="G74" s="59"/>
      <c r="H74" s="3"/>
    </row>
    <row r="75" ht="15" customHeight="1">
      <c r="A75" s="68" t="s">
        <v>493</v>
      </c>
      <c r="B75" s="37"/>
      <c r="C75" s="37"/>
      <c r="D75" s="37">
        <f>D72/D128</f>
        <v>0.059371362048894066</v>
      </c>
      <c r="E75" s="37"/>
      <c r="F75" s="37"/>
      <c r="G75" s="59"/>
      <c r="H75" s="3"/>
    </row>
    <row r="76" ht="15" customHeight="1">
      <c r="A76" s="68" t="s">
        <v>102</v>
      </c>
      <c r="B76" s="37"/>
      <c r="C76" s="37"/>
      <c r="D76" s="37" t="s">
        <v>103</v>
      </c>
      <c r="E76" s="37"/>
      <c r="F76" s="37"/>
      <c r="G76" s="59"/>
      <c r="H76" s="3"/>
    </row>
    <row r="77" ht="15" customHeight="1">
      <c r="A77" s="68" t="s">
        <v>77</v>
      </c>
      <c r="B77" s="37"/>
      <c r="C77" s="37"/>
      <c r="D77" s="37" t="s">
        <v>103</v>
      </c>
      <c r="E77" s="37"/>
      <c r="F77" s="37"/>
      <c r="G77" s="59"/>
      <c r="H77" s="3"/>
    </row>
    <row r="78" ht="15" customHeight="1">
      <c r="A78" s="68" t="s">
        <v>79</v>
      </c>
      <c r="B78" s="37"/>
      <c r="C78" s="37"/>
      <c r="D78" s="37" t="s">
        <v>103</v>
      </c>
      <c r="E78" s="37"/>
      <c r="F78" s="37"/>
      <c r="G78" s="59"/>
      <c r="H78" s="3"/>
    </row>
    <row r="79" ht="15" customHeight="1">
      <c r="A79" s="29" t="s">
        <v>504</v>
      </c>
      <c r="B79" s="62"/>
      <c r="C79" s="62"/>
      <c r="D79" s="62">
        <f t="shared" si="2" ref="D79:D80">D44+D51+D58+D65+D72</f>
        <v>1956</v>
      </c>
      <c r="E79" s="62"/>
      <c r="F79" s="62"/>
      <c r="G79" s="63"/>
      <c r="H79" s="3"/>
    </row>
    <row r="80" ht="15" customHeight="1">
      <c r="A80" s="66" t="s">
        <v>492</v>
      </c>
      <c r="B80" s="27"/>
      <c r="C80" s="27"/>
      <c r="D80" s="27">
        <f t="shared" si="2"/>
        <v>1814</v>
      </c>
      <c r="E80" s="27"/>
      <c r="F80" s="27"/>
      <c r="G80" s="60"/>
      <c r="H80" s="3"/>
    </row>
    <row r="81" ht="15" customHeight="1">
      <c r="A81" s="45" t="s">
        <v>70</v>
      </c>
      <c r="B81" s="37"/>
      <c r="C81" s="37"/>
      <c r="D81" s="37">
        <f t="shared" si="0"/>
        <v>0.0782800441014333</v>
      </c>
      <c r="E81" s="37"/>
      <c r="F81" s="37"/>
      <c r="G81" s="59"/>
      <c r="H81" s="3"/>
    </row>
    <row r="82" ht="15" customHeight="1">
      <c r="A82" s="45" t="s">
        <v>493</v>
      </c>
      <c r="B82" s="37"/>
      <c r="C82" s="37"/>
      <c r="D82" s="37">
        <f>D79/D128</f>
        <v>0.17515895047909016</v>
      </c>
      <c r="E82" s="37"/>
      <c r="F82" s="37"/>
      <c r="G82" s="59"/>
      <c r="H82" s="3"/>
    </row>
    <row r="83" ht="15" customHeight="1">
      <c r="A83" s="45" t="s">
        <v>102</v>
      </c>
      <c r="B83" s="37"/>
      <c r="C83" s="37"/>
      <c r="D83" s="37" t="s">
        <v>103</v>
      </c>
      <c r="E83" s="37"/>
      <c r="F83" s="37"/>
      <c r="G83" s="59"/>
      <c r="H83" s="3"/>
    </row>
    <row r="84" ht="15" customHeight="1">
      <c r="A84" s="45" t="s">
        <v>77</v>
      </c>
      <c r="B84" s="37"/>
      <c r="C84" s="37"/>
      <c r="D84" s="37" t="s">
        <v>103</v>
      </c>
      <c r="E84" s="37"/>
      <c r="F84" s="37"/>
      <c r="G84" s="59"/>
      <c r="H84" s="3"/>
    </row>
    <row r="85" ht="15" customHeight="1">
      <c r="A85" s="45" t="s">
        <v>79</v>
      </c>
      <c r="B85" s="37"/>
      <c r="C85" s="37"/>
      <c r="D85" s="37" t="s">
        <v>103</v>
      </c>
      <c r="E85" s="37"/>
      <c r="F85" s="37"/>
      <c r="G85" s="59"/>
      <c r="H85" s="3"/>
    </row>
    <row r="86" ht="15" customHeight="1">
      <c r="A86" s="22" t="s">
        <v>505</v>
      </c>
      <c r="B86" s="27"/>
      <c r="C86" s="27"/>
      <c r="D86" s="49">
        <v>699</v>
      </c>
      <c r="E86" s="27"/>
      <c r="F86" s="27"/>
      <c r="G86" s="60"/>
      <c r="H86" s="3"/>
    </row>
    <row r="87" ht="15" customHeight="1">
      <c r="A87" s="58" t="s">
        <v>492</v>
      </c>
      <c r="B87" s="27"/>
      <c r="C87" s="27"/>
      <c r="D87" s="49">
        <v>579</v>
      </c>
      <c r="E87" s="27"/>
      <c r="F87" s="27"/>
      <c r="G87" s="60"/>
      <c r="H87" s="3"/>
    </row>
    <row r="88" ht="15" customHeight="1">
      <c r="A88" s="45" t="s">
        <v>70</v>
      </c>
      <c r="B88" s="37"/>
      <c r="C88" s="37"/>
      <c r="D88" s="37">
        <f t="shared" si="0"/>
        <v>0.20725388601036276</v>
      </c>
      <c r="E88" s="37"/>
      <c r="F88" s="37"/>
      <c r="G88" s="59"/>
      <c r="H88" s="3"/>
    </row>
    <row r="89" ht="15" customHeight="1">
      <c r="A89" s="45" t="s">
        <v>493</v>
      </c>
      <c r="B89" s="37"/>
      <c r="C89" s="37"/>
      <c r="D89" s="37">
        <f>D86/D128</f>
        <v>0.0625951464135399</v>
      </c>
      <c r="E89" s="37"/>
      <c r="F89" s="37"/>
      <c r="G89" s="59"/>
      <c r="H89" s="3"/>
    </row>
    <row r="90" ht="15" customHeight="1">
      <c r="A90" s="45" t="s">
        <v>102</v>
      </c>
      <c r="B90" s="37"/>
      <c r="C90" s="37"/>
      <c r="D90" s="37" t="s">
        <v>103</v>
      </c>
      <c r="E90" s="37"/>
      <c r="F90" s="37"/>
      <c r="G90" s="59"/>
      <c r="H90" s="3"/>
    </row>
    <row r="91" ht="15" customHeight="1">
      <c r="A91" s="45" t="s">
        <v>77</v>
      </c>
      <c r="B91" s="37"/>
      <c r="C91" s="37"/>
      <c r="D91" s="37" t="s">
        <v>103</v>
      </c>
      <c r="E91" s="37"/>
      <c r="F91" s="37"/>
      <c r="G91" s="59"/>
      <c r="H91" s="3"/>
    </row>
    <row r="92" ht="15" customHeight="1">
      <c r="A92" s="45" t="s">
        <v>79</v>
      </c>
      <c r="B92" s="37"/>
      <c r="C92" s="37"/>
      <c r="D92" s="37" t="s">
        <v>103</v>
      </c>
      <c r="E92" s="37"/>
      <c r="F92" s="37"/>
      <c r="G92" s="59"/>
      <c r="H92" s="3"/>
    </row>
    <row r="93" ht="15" customHeight="1">
      <c r="A93" s="22" t="s">
        <v>506</v>
      </c>
      <c r="B93" s="27"/>
      <c r="C93" s="27"/>
      <c r="D93" s="49">
        <v>453</v>
      </c>
      <c r="E93" s="27"/>
      <c r="F93" s="27"/>
      <c r="G93" s="60"/>
      <c r="H93" s="3"/>
    </row>
    <row r="94" ht="15" customHeight="1">
      <c r="A94" s="58" t="s">
        <v>492</v>
      </c>
      <c r="B94" s="27"/>
      <c r="C94" s="27"/>
      <c r="D94" s="49">
        <v>481</v>
      </c>
      <c r="E94" s="27"/>
      <c r="F94" s="27"/>
      <c r="G94" s="60"/>
      <c r="H94" s="3"/>
    </row>
    <row r="95" ht="15" customHeight="1">
      <c r="A95" s="45" t="s">
        <v>70</v>
      </c>
      <c r="B95" s="37"/>
      <c r="C95" s="37"/>
      <c r="D95" s="37">
        <f t="shared" si="0"/>
        <v>-0.058212058212058215</v>
      </c>
      <c r="E95" s="37"/>
      <c r="F95" s="37"/>
      <c r="G95" s="59"/>
      <c r="H95" s="3"/>
    </row>
    <row r="96" ht="15" customHeight="1">
      <c r="A96" s="45" t="s">
        <v>493</v>
      </c>
      <c r="B96" s="37"/>
      <c r="C96" s="37"/>
      <c r="D96" s="37">
        <f>D93/D128</f>
        <v>0.04056595325512671</v>
      </c>
      <c r="E96" s="37"/>
      <c r="F96" s="37"/>
      <c r="G96" s="59"/>
      <c r="H96" s="3"/>
    </row>
    <row r="97" ht="15" customHeight="1">
      <c r="A97" s="45" t="s">
        <v>102</v>
      </c>
      <c r="B97" s="37"/>
      <c r="C97" s="37"/>
      <c r="D97" s="37" t="s">
        <v>103</v>
      </c>
      <c r="E97" s="37"/>
      <c r="F97" s="37"/>
      <c r="G97" s="59"/>
      <c r="H97" s="3"/>
    </row>
    <row r="98" ht="15" customHeight="1">
      <c r="A98" s="45" t="s">
        <v>77</v>
      </c>
      <c r="B98" s="37"/>
      <c r="C98" s="37"/>
      <c r="D98" s="37" t="s">
        <v>103</v>
      </c>
      <c r="E98" s="37"/>
      <c r="F98" s="37"/>
      <c r="G98" s="59"/>
      <c r="H98" s="3"/>
    </row>
    <row r="99" ht="15" customHeight="1">
      <c r="A99" s="45" t="s">
        <v>79</v>
      </c>
      <c r="B99" s="37"/>
      <c r="C99" s="37"/>
      <c r="D99" s="37" t="s">
        <v>103</v>
      </c>
      <c r="E99" s="37"/>
      <c r="F99" s="37"/>
      <c r="G99" s="59"/>
      <c r="H99" s="3"/>
    </row>
    <row r="100" ht="15" customHeight="1">
      <c r="A100" s="22" t="s">
        <v>507</v>
      </c>
      <c r="B100" s="27"/>
      <c r="C100" s="27"/>
      <c r="D100" s="49">
        <v>431</v>
      </c>
      <c r="E100" s="27"/>
      <c r="F100" s="27"/>
      <c r="G100" s="60"/>
      <c r="H100" s="3"/>
    </row>
    <row r="101" ht="15" customHeight="1">
      <c r="A101" s="58" t="s">
        <v>492</v>
      </c>
      <c r="B101" s="27"/>
      <c r="C101" s="27"/>
      <c r="D101" s="49">
        <v>559</v>
      </c>
      <c r="E101" s="27"/>
      <c r="F101" s="27"/>
      <c r="G101" s="60"/>
      <c r="H101" s="3"/>
    </row>
    <row r="102" ht="15" customHeight="1">
      <c r="A102" s="45" t="s">
        <v>70</v>
      </c>
      <c r="B102" s="37"/>
      <c r="C102" s="37"/>
      <c r="D102" s="37">
        <f t="shared" si="0"/>
        <v>-0.22898032200357776</v>
      </c>
      <c r="E102" s="37"/>
      <c r="F102" s="37"/>
      <c r="G102" s="59"/>
      <c r="H102" s="3"/>
    </row>
    <row r="103" ht="15" customHeight="1">
      <c r="A103" s="45" t="s">
        <v>493</v>
      </c>
      <c r="B103" s="37"/>
      <c r="C103" s="37"/>
      <c r="D103" s="37">
        <f>D100/D128</f>
        <v>0.03859586281006537</v>
      </c>
      <c r="E103" s="37"/>
      <c r="F103" s="37"/>
      <c r="G103" s="59"/>
      <c r="H103" s="3"/>
    </row>
    <row r="104" ht="15" customHeight="1">
      <c r="A104" s="45" t="s">
        <v>102</v>
      </c>
      <c r="B104" s="37"/>
      <c r="C104" s="37"/>
      <c r="D104" s="37" t="s">
        <v>103</v>
      </c>
      <c r="E104" s="37"/>
      <c r="F104" s="37"/>
      <c r="G104" s="59"/>
      <c r="H104" s="3"/>
    </row>
    <row r="105" ht="15" customHeight="1">
      <c r="A105" s="45" t="s">
        <v>77</v>
      </c>
      <c r="B105" s="37"/>
      <c r="C105" s="37"/>
      <c r="D105" s="37" t="s">
        <v>103</v>
      </c>
      <c r="E105" s="37"/>
      <c r="F105" s="37"/>
      <c r="G105" s="59"/>
      <c r="H105" s="3"/>
    </row>
    <row r="106" ht="15" customHeight="1">
      <c r="A106" s="45" t="s">
        <v>79</v>
      </c>
      <c r="B106" s="37"/>
      <c r="C106" s="37"/>
      <c r="D106" s="37" t="s">
        <v>103</v>
      </c>
      <c r="E106" s="37"/>
      <c r="F106" s="37"/>
      <c r="G106" s="59"/>
      <c r="H106" s="3"/>
    </row>
    <row r="107" ht="15" customHeight="1">
      <c r="A107" s="22" t="s">
        <v>508</v>
      </c>
      <c r="B107" s="27"/>
      <c r="C107" s="27"/>
      <c r="D107" s="49">
        <v>297</v>
      </c>
      <c r="E107" s="27"/>
      <c r="F107" s="27"/>
      <c r="G107" s="60"/>
      <c r="H107" s="3"/>
    </row>
    <row r="108" ht="15" customHeight="1">
      <c r="A108" s="58" t="s">
        <v>492</v>
      </c>
      <c r="B108" s="27"/>
      <c r="C108" s="27"/>
      <c r="D108" s="49">
        <v>242</v>
      </c>
      <c r="E108" s="27"/>
      <c r="F108" s="27"/>
      <c r="G108" s="60"/>
      <c r="H108" s="3"/>
    </row>
    <row r="109" ht="15" customHeight="1">
      <c r="A109" s="45" t="s">
        <v>70</v>
      </c>
      <c r="B109" s="37"/>
      <c r="C109" s="37"/>
      <c r="D109" s="37">
        <f t="shared" si="0"/>
        <v>0.2272727272727273</v>
      </c>
      <c r="E109" s="37"/>
      <c r="F109" s="37"/>
      <c r="G109" s="59"/>
      <c r="H109" s="3"/>
    </row>
    <row r="110" ht="15" customHeight="1">
      <c r="A110" s="45" t="s">
        <v>493</v>
      </c>
      <c r="B110" s="37"/>
      <c r="C110" s="37"/>
      <c r="D110" s="37">
        <f>D107/D128</f>
        <v>0.02659622100832811</v>
      </c>
      <c r="E110" s="37"/>
      <c r="F110" s="37"/>
      <c r="G110" s="59"/>
      <c r="H110" s="3"/>
    </row>
    <row r="111" ht="15" customHeight="1">
      <c r="A111" s="45" t="s">
        <v>102</v>
      </c>
      <c r="B111" s="37"/>
      <c r="C111" s="37"/>
      <c r="D111" s="37" t="s">
        <v>103</v>
      </c>
      <c r="E111" s="37"/>
      <c r="F111" s="37"/>
      <c r="G111" s="59"/>
      <c r="H111" s="3"/>
    </row>
    <row r="112" ht="15" customHeight="1">
      <c r="A112" s="45" t="s">
        <v>77</v>
      </c>
      <c r="B112" s="37"/>
      <c r="C112" s="37"/>
      <c r="D112" s="37" t="s">
        <v>103</v>
      </c>
      <c r="E112" s="37"/>
      <c r="F112" s="37"/>
      <c r="G112" s="59"/>
      <c r="H112" s="3"/>
    </row>
    <row r="113" ht="15" customHeight="1">
      <c r="A113" s="45" t="s">
        <v>79</v>
      </c>
      <c r="B113" s="37"/>
      <c r="C113" s="37"/>
      <c r="D113" s="37" t="s">
        <v>103</v>
      </c>
      <c r="E113" s="37"/>
      <c r="F113" s="37"/>
      <c r="G113" s="59"/>
      <c r="H113" s="3"/>
    </row>
    <row r="114" ht="15" customHeight="1">
      <c r="A114" s="22" t="s">
        <v>509</v>
      </c>
      <c r="B114" s="27"/>
      <c r="C114" s="27"/>
      <c r="D114" s="49">
        <v>300</v>
      </c>
      <c r="E114" s="27"/>
      <c r="F114" s="27"/>
      <c r="G114" s="60"/>
      <c r="H114" s="3"/>
    </row>
    <row r="115" ht="15" customHeight="1">
      <c r="A115" s="58" t="s">
        <v>492</v>
      </c>
      <c r="B115" s="27"/>
      <c r="C115" s="27"/>
      <c r="D115" s="49">
        <v>258</v>
      </c>
      <c r="E115" s="27"/>
      <c r="F115" s="27"/>
      <c r="G115" s="60"/>
      <c r="H115" s="3"/>
    </row>
    <row r="116" ht="15" customHeight="1">
      <c r="A116" s="45" t="s">
        <v>70</v>
      </c>
      <c r="B116" s="37"/>
      <c r="C116" s="37"/>
      <c r="D116" s="37">
        <f t="shared" si="0"/>
        <v>0.16279069767441867</v>
      </c>
      <c r="E116" s="37"/>
      <c r="F116" s="37"/>
      <c r="G116" s="59"/>
      <c r="H116" s="3"/>
    </row>
    <row r="117" ht="15" customHeight="1">
      <c r="A117" s="45" t="s">
        <v>493</v>
      </c>
      <c r="B117" s="37"/>
      <c r="C117" s="37"/>
      <c r="D117" s="37">
        <f>D114/D128</f>
        <v>0.02686486970538193</v>
      </c>
      <c r="E117" s="37"/>
      <c r="F117" s="37"/>
      <c r="G117" s="59"/>
      <c r="H117" s="3"/>
    </row>
    <row r="118" ht="15" customHeight="1">
      <c r="A118" s="45" t="s">
        <v>102</v>
      </c>
      <c r="B118" s="37"/>
      <c r="C118" s="37"/>
      <c r="D118" s="37" t="s">
        <v>103</v>
      </c>
      <c r="E118" s="37"/>
      <c r="F118" s="37"/>
      <c r="G118" s="59"/>
      <c r="H118" s="3"/>
    </row>
    <row r="119" ht="15" customHeight="1">
      <c r="A119" s="45" t="s">
        <v>77</v>
      </c>
      <c r="B119" s="37"/>
      <c r="C119" s="37"/>
      <c r="D119" s="37" t="s">
        <v>103</v>
      </c>
      <c r="E119" s="37"/>
      <c r="F119" s="37"/>
      <c r="G119" s="59"/>
      <c r="H119" s="3"/>
    </row>
    <row r="120" ht="15" customHeight="1">
      <c r="A120" s="45" t="s">
        <v>79</v>
      </c>
      <c r="B120" s="37"/>
      <c r="C120" s="37"/>
      <c r="D120" s="37" t="s">
        <v>103</v>
      </c>
      <c r="E120" s="37"/>
      <c r="F120" s="37"/>
      <c r="G120" s="59"/>
      <c r="H120" s="3"/>
    </row>
    <row r="121" ht="15" customHeight="1">
      <c r="A121" s="22" t="s">
        <v>510</v>
      </c>
      <c r="B121" s="27"/>
      <c r="C121" s="27"/>
      <c r="D121" s="49">
        <v>326</v>
      </c>
      <c r="E121" s="27"/>
      <c r="F121" s="27"/>
      <c r="G121" s="60"/>
      <c r="H121" s="3"/>
    </row>
    <row r="122" ht="15" customHeight="1">
      <c r="A122" s="58" t="s">
        <v>492</v>
      </c>
      <c r="B122" s="27"/>
      <c r="C122" s="27"/>
      <c r="D122" s="49">
        <v>194</v>
      </c>
      <c r="E122" s="27"/>
      <c r="F122" s="27"/>
      <c r="G122" s="60"/>
      <c r="H122" s="3"/>
    </row>
    <row r="123" ht="15" customHeight="1">
      <c r="A123" s="45" t="s">
        <v>70</v>
      </c>
      <c r="B123" s="37"/>
      <c r="C123" s="37"/>
      <c r="D123" s="37">
        <f t="shared" si="0"/>
        <v>0.6804123711340206</v>
      </c>
      <c r="E123" s="37"/>
      <c r="F123" s="37"/>
      <c r="G123" s="59"/>
      <c r="H123" s="3"/>
    </row>
    <row r="124" ht="15" customHeight="1">
      <c r="A124" s="45" t="s">
        <v>493</v>
      </c>
      <c r="B124" s="37"/>
      <c r="C124" s="37"/>
      <c r="D124" s="37">
        <f>D121/D128</f>
        <v>0.029193158413181697</v>
      </c>
      <c r="E124" s="37"/>
      <c r="F124" s="37"/>
      <c r="G124" s="59"/>
      <c r="H124" s="3"/>
    </row>
    <row r="125" ht="15" customHeight="1">
      <c r="A125" s="45" t="s">
        <v>102</v>
      </c>
      <c r="B125" s="37"/>
      <c r="C125" s="37"/>
      <c r="D125" s="37" t="s">
        <v>103</v>
      </c>
      <c r="E125" s="37"/>
      <c r="F125" s="37"/>
      <c r="G125" s="59"/>
      <c r="H125" s="3"/>
    </row>
    <row r="126" ht="15" customHeight="1">
      <c r="A126" s="45" t="s">
        <v>77</v>
      </c>
      <c r="B126" s="37"/>
      <c r="C126" s="37"/>
      <c r="D126" s="37" t="s">
        <v>103</v>
      </c>
      <c r="E126" s="37"/>
      <c r="F126" s="37"/>
      <c r="G126" s="59"/>
      <c r="H126" s="3"/>
    </row>
    <row r="127" ht="15" customHeight="1">
      <c r="A127" s="45" t="s">
        <v>79</v>
      </c>
      <c r="B127" s="37"/>
      <c r="C127" s="37"/>
      <c r="D127" s="37" t="s">
        <v>103</v>
      </c>
      <c r="E127" s="37"/>
      <c r="F127" s="37"/>
      <c r="G127" s="59"/>
      <c r="H127" s="3"/>
    </row>
    <row r="128" ht="15" customHeight="1">
      <c r="A128" s="29" t="s">
        <v>511</v>
      </c>
      <c r="B128" s="62"/>
      <c r="C128" s="62"/>
      <c r="D128" s="62">
        <f t="shared" si="3" ref="D128:D129">D30+D37+D79+D86+D93+D100+D107+D114+D121</f>
        <v>11167</v>
      </c>
      <c r="E128" s="62"/>
      <c r="F128" s="62"/>
      <c r="G128" s="63"/>
      <c r="H128" s="3"/>
    </row>
    <row r="129" ht="15" customHeight="1">
      <c r="A129" s="58" t="s">
        <v>492</v>
      </c>
      <c r="B129" s="27"/>
      <c r="C129" s="27"/>
      <c r="D129" s="27">
        <f t="shared" si="3"/>
        <v>10387</v>
      </c>
      <c r="E129" s="27"/>
      <c r="F129" s="27"/>
      <c r="G129" s="60"/>
      <c r="H129" s="3"/>
    </row>
    <row r="130" ht="15" customHeight="1">
      <c r="A130" s="45" t="s">
        <v>70</v>
      </c>
      <c r="B130" s="37"/>
      <c r="C130" s="37"/>
      <c r="D130" s="37">
        <f t="shared" si="0"/>
        <v>0.07509386733416767</v>
      </c>
      <c r="E130" s="37"/>
      <c r="F130" s="37"/>
      <c r="G130" s="59"/>
      <c r="H130" s="3"/>
    </row>
    <row r="131" ht="15" customHeight="1">
      <c r="A131" s="58" t="s">
        <v>512</v>
      </c>
      <c r="B131" s="27"/>
      <c r="C131" s="27"/>
      <c r="D131" s="26">
        <f>'Revenue summary'!D33</f>
        <v>11167</v>
      </c>
      <c r="E131" s="27"/>
      <c r="F131" s="27"/>
      <c r="G131" s="60"/>
      <c r="H131" s="3"/>
    </row>
    <row r="132" ht="15" customHeight="1">
      <c r="A132" s="45" t="s">
        <v>513</v>
      </c>
      <c r="B132" s="47"/>
      <c r="C132" s="47"/>
      <c r="D132" s="47">
        <f>D128-D131</f>
        <v>0</v>
      </c>
      <c r="E132" s="47"/>
      <c r="F132" s="47"/>
      <c r="G132" s="64"/>
      <c r="H132" s="3"/>
    </row>
    <row r="133" ht="23.25" customHeight="1">
      <c r="A133" s="21" t="s">
        <v>514</v>
      </c>
      <c r="B133" s="54"/>
      <c r="C133" s="54"/>
      <c r="D133" s="54"/>
      <c r="E133" s="54"/>
      <c r="F133" s="54"/>
      <c r="G133" s="72"/>
      <c r="H133" s="18" t="s">
        <v>515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7CBC538-5F18-4508-3823-A407CA748EB6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516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3"/>
      <c r="B7" s="3"/>
      <c r="C7" s="3"/>
      <c r="D7" s="3"/>
      <c r="E7" s="3"/>
      <c r="F7" s="3"/>
      <c r="G7" s="3"/>
      <c r="H7" s="3"/>
    </row>
    <row r="8" ht="15" customHeight="1">
      <c r="A8" s="55" t="s">
        <v>517</v>
      </c>
      <c r="B8" s="20"/>
      <c r="C8" s="20"/>
      <c r="D8" s="20"/>
      <c r="E8" s="20"/>
      <c r="F8" s="20"/>
      <c r="G8" s="56"/>
      <c r="H8" s="3"/>
    </row>
    <row r="9" ht="48.75" customHeight="1">
      <c r="A9" s="22" t="s">
        <v>518</v>
      </c>
      <c r="B9" s="27"/>
      <c r="C9" s="27"/>
      <c r="D9" s="27"/>
      <c r="E9" s="27"/>
      <c r="F9" s="27"/>
      <c r="G9" s="60">
        <f>F16</f>
        <v>168.91</v>
      </c>
      <c r="H9" s="38" t="s">
        <v>519</v>
      </c>
    </row>
    <row r="10" ht="15" customHeight="1">
      <c r="A10" s="22" t="s">
        <v>520</v>
      </c>
      <c r="B10" s="26">
        <f>-'Cash Flow Statement'!B34</f>
        <v>0</v>
      </c>
      <c r="C10" s="26">
        <f>-'Cash Flow Statement'!C34</f>
        <v>75</v>
      </c>
      <c r="D10" s="26">
        <f>-'Cash Flow Statement'!D34</f>
        <v>223</v>
      </c>
      <c r="E10" s="26">
        <f>-'Cash Flow Statement'!E34</f>
        <v>242</v>
      </c>
      <c r="F10" s="26">
        <f>-'Cash Flow Statement'!F34</f>
        <v>215</v>
      </c>
      <c r="G10" s="73">
        <v>200</v>
      </c>
      <c r="H10" s="18" t="s">
        <v>521</v>
      </c>
    </row>
    <row r="11" ht="15" customHeight="1">
      <c r="A11" s="22" t="s">
        <v>522</v>
      </c>
      <c r="B11" s="34" t="str">
        <f>IF(B12&gt;0,B10/B12,"n.a.")</f>
        <v>n.a.</v>
      </c>
      <c r="C11" s="34">
        <f t="shared" si="0" ref="C11:F11">C10/C12</f>
        <v>187.49999999999994</v>
      </c>
      <c r="D11" s="34">
        <f t="shared" si="0"/>
        <v>202.72727272727272</v>
      </c>
      <c r="E11" s="34">
        <f t="shared" si="0"/>
        <v>242</v>
      </c>
      <c r="F11" s="34">
        <f t="shared" si="0"/>
        <v>262.1951219512195</v>
      </c>
      <c r="G11" s="87">
        <v>287</v>
      </c>
      <c r="H11" s="18" t="s">
        <v>523</v>
      </c>
    </row>
    <row r="12" ht="37.5" customHeight="1">
      <c r="A12" s="22" t="s">
        <v>524</v>
      </c>
      <c r="B12" s="49">
        <v>0</v>
      </c>
      <c r="C12" s="27">
        <f>D12-D13</f>
        <v>0.40000000000000013</v>
      </c>
      <c r="D12" s="49">
        <v>1.1</v>
      </c>
      <c r="E12" s="49">
        <v>1</v>
      </c>
      <c r="F12" s="49">
        <v>0.82</v>
      </c>
      <c r="G12" s="60">
        <f>G10/G11</f>
        <v>0.6968641114982579</v>
      </c>
      <c r="H12" s="38" t="s">
        <v>525</v>
      </c>
    </row>
    <row r="13" ht="15" customHeight="1">
      <c r="A13" s="66" t="s">
        <v>526</v>
      </c>
      <c r="B13" s="27"/>
      <c r="C13" s="27"/>
      <c r="D13" s="49">
        <v>0.7</v>
      </c>
      <c r="E13" s="27"/>
      <c r="F13" s="27"/>
      <c r="G13" s="60"/>
      <c r="H13" s="3"/>
    </row>
    <row r="14" ht="23.25" customHeight="1">
      <c r="A14" s="22" t="s">
        <v>527</v>
      </c>
      <c r="B14" s="27"/>
      <c r="C14" s="27"/>
      <c r="D14" s="27"/>
      <c r="E14" s="27"/>
      <c r="F14" s="27"/>
      <c r="G14" s="73">
        <v>0.1</v>
      </c>
      <c r="H14" s="18" t="s">
        <v>528</v>
      </c>
    </row>
    <row r="15" ht="23.25" customHeight="1">
      <c r="A15" s="22" t="s">
        <v>529</v>
      </c>
      <c r="B15" s="88"/>
      <c r="C15" s="88"/>
      <c r="D15" s="88"/>
      <c r="E15" s="88"/>
      <c r="F15" s="88"/>
      <c r="G15" s="89">
        <v>0.5</v>
      </c>
      <c r="H15" s="18" t="s">
        <v>530</v>
      </c>
    </row>
    <row r="16" ht="23.25" customHeight="1">
      <c r="A16" s="22" t="s">
        <v>531</v>
      </c>
      <c r="B16" s="49">
        <v>170.96</v>
      </c>
      <c r="C16" s="49">
        <v>170.6</v>
      </c>
      <c r="D16" s="27">
        <f t="shared" si="1" ref="D16:D17">C16</f>
        <v>170.6</v>
      </c>
      <c r="E16" s="49">
        <v>169.68</v>
      </c>
      <c r="F16" s="49">
        <v>168.91</v>
      </c>
      <c r="G16" s="60">
        <f>G9-G12+G14</f>
        <v>168.31313588850173</v>
      </c>
      <c r="H16" s="18" t="s">
        <v>532</v>
      </c>
    </row>
    <row r="17" ht="37.5" customHeight="1">
      <c r="A17" s="66" t="s">
        <v>533</v>
      </c>
      <c r="B17" s="27" t="s">
        <v>103</v>
      </c>
      <c r="C17" s="49">
        <v>171.3</v>
      </c>
      <c r="D17" s="27">
        <f t="shared" si="1"/>
        <v>171.3</v>
      </c>
      <c r="E17" s="27" t="s">
        <v>103</v>
      </c>
      <c r="F17" s="27" t="s">
        <v>103</v>
      </c>
      <c r="G17" s="60">
        <f t="shared" si="4" ref="G17:G26">B16</f>
        <v>170.96</v>
      </c>
      <c r="H17" s="38" t="s">
        <v>534</v>
      </c>
    </row>
    <row r="18" ht="15" customHeight="1">
      <c r="A18" s="58" t="s">
        <v>535</v>
      </c>
      <c r="B18" s="27" t="s">
        <v>103</v>
      </c>
      <c r="C18" s="27">
        <f t="shared" si="2" ref="C18:G18">C16-C17</f>
        <v>-0.700000000000017</v>
      </c>
      <c r="D18" s="27">
        <f t="shared" si="2"/>
        <v>-0.700000000000017</v>
      </c>
      <c r="E18" s="27" t="s">
        <v>103</v>
      </c>
      <c r="F18" s="27" t="s">
        <v>103</v>
      </c>
      <c r="G18" s="60">
        <f t="shared" si="2"/>
        <v>-2.6468641114982745</v>
      </c>
      <c r="H18" s="3"/>
    </row>
    <row r="19" ht="15" customHeight="1">
      <c r="A19" s="58" t="s">
        <v>536</v>
      </c>
      <c r="B19" s="27" t="s">
        <v>103</v>
      </c>
      <c r="C19" s="27">
        <f t="shared" si="3" ref="C19:G28">C16-B16</f>
        <v>-0.36000000000001364</v>
      </c>
      <c r="D19" s="27"/>
      <c r="E19" s="27">
        <f t="shared" si="6" ref="E19:E28">E16-C16</f>
        <v>-0.9199999999999875</v>
      </c>
      <c r="F19" s="27">
        <f t="shared" si="3"/>
        <v>-0.7700000000000102</v>
      </c>
      <c r="G19" s="60">
        <f t="shared" si="3"/>
        <v>-0.5968641114982631</v>
      </c>
      <c r="H19" s="3"/>
    </row>
    <row r="20" ht="15" customHeight="1">
      <c r="A20" s="29" t="s">
        <v>537</v>
      </c>
      <c r="B20" s="74">
        <v>170.5</v>
      </c>
      <c r="C20" s="74">
        <v>170.3</v>
      </c>
      <c r="D20" s="74">
        <v>170.5</v>
      </c>
      <c r="E20" s="74">
        <v>170</v>
      </c>
      <c r="F20" s="74">
        <v>169.1</v>
      </c>
      <c r="G20" s="63">
        <f>G9-G15*G12+G15*G14</f>
        <v>168.61156794425088</v>
      </c>
      <c r="H20" s="18" t="s">
        <v>538</v>
      </c>
    </row>
    <row r="21" ht="15" customHeight="1">
      <c r="A21" s="58" t="s">
        <v>69</v>
      </c>
      <c r="B21" s="49">
        <v>173.4</v>
      </c>
      <c r="C21" s="49">
        <v>171.2</v>
      </c>
      <c r="D21" s="49">
        <v>174.1</v>
      </c>
      <c r="E21" s="49">
        <v>170.5</v>
      </c>
      <c r="F21" s="49">
        <v>170.6</v>
      </c>
      <c r="G21" s="60">
        <f t="shared" si="4"/>
        <v>170.5</v>
      </c>
      <c r="H21" s="3"/>
    </row>
    <row r="22" ht="15" customHeight="1">
      <c r="A22" s="45" t="s">
        <v>70</v>
      </c>
      <c r="B22" s="37">
        <f t="shared" si="5" ref="B22:G27">B20/B21-1</f>
        <v>-0.016724336793541017</v>
      </c>
      <c r="C22" s="37">
        <f t="shared" si="5"/>
        <v>-0.005257009345794206</v>
      </c>
      <c r="D22" s="37">
        <f t="shared" si="5"/>
        <v>-0.020677771395749556</v>
      </c>
      <c r="E22" s="37">
        <f t="shared" si="5"/>
        <v>-0.0029325513196480912</v>
      </c>
      <c r="F22" s="37">
        <f t="shared" si="5"/>
        <v>-0.008792497069167626</v>
      </c>
      <c r="G22" s="59">
        <f t="shared" si="5"/>
        <v>-0.011075847834305708</v>
      </c>
      <c r="H22" s="3"/>
    </row>
    <row r="23" ht="15" customHeight="1">
      <c r="A23" s="58" t="s">
        <v>536</v>
      </c>
      <c r="B23" s="27">
        <f t="shared" si="8" ref="B23:B28">B20-F21</f>
        <v>-0.09999999999999432</v>
      </c>
      <c r="C23" s="27">
        <f t="shared" si="3"/>
        <v>-0.19999999999998863</v>
      </c>
      <c r="D23" s="27"/>
      <c r="E23" s="27">
        <f t="shared" si="6"/>
        <v>-0.30000000000001137</v>
      </c>
      <c r="F23" s="27">
        <f t="shared" si="3"/>
        <v>-0.9000000000000057</v>
      </c>
      <c r="G23" s="60">
        <f t="shared" si="3"/>
        <v>-0.4884320557491151</v>
      </c>
      <c r="H23" s="3"/>
    </row>
    <row r="24" ht="15" customHeight="1">
      <c r="A24" s="22" t="s">
        <v>539</v>
      </c>
      <c r="B24" s="27">
        <f t="shared" si="7" ref="B24:F24">B25-B20</f>
        <v>0.5999999999999943</v>
      </c>
      <c r="C24" s="27">
        <f t="shared" si="7"/>
        <v>0.6999999999999886</v>
      </c>
      <c r="D24" s="27">
        <f t="shared" si="7"/>
        <v>0.5999999999999943</v>
      </c>
      <c r="E24" s="27">
        <f t="shared" si="7"/>
        <v>0.6999999999999886</v>
      </c>
      <c r="F24" s="27">
        <f t="shared" si="7"/>
        <v>0.5</v>
      </c>
      <c r="G24" s="73">
        <v>0.5</v>
      </c>
      <c r="H24" s="18" t="s">
        <v>540</v>
      </c>
    </row>
    <row r="25" ht="15" customHeight="1">
      <c r="A25" s="29" t="s">
        <v>541</v>
      </c>
      <c r="B25" s="74">
        <v>171.1</v>
      </c>
      <c r="C25" s="74">
        <v>171</v>
      </c>
      <c r="D25" s="74">
        <v>171.1</v>
      </c>
      <c r="E25" s="74">
        <v>170.7</v>
      </c>
      <c r="F25" s="74">
        <v>169.6</v>
      </c>
      <c r="G25" s="63">
        <f>G20+G24</f>
        <v>169.11156794425088</v>
      </c>
      <c r="H25" s="18" t="s">
        <v>542</v>
      </c>
    </row>
    <row r="26" ht="15" customHeight="1">
      <c r="A26" s="58" t="s">
        <v>69</v>
      </c>
      <c r="B26" s="49">
        <v>174.1</v>
      </c>
      <c r="C26" s="49">
        <v>172</v>
      </c>
      <c r="D26" s="49">
        <v>174.8</v>
      </c>
      <c r="E26" s="49">
        <v>171.3</v>
      </c>
      <c r="F26" s="49">
        <v>171.2</v>
      </c>
      <c r="G26" s="60">
        <f t="shared" si="4"/>
        <v>171.1</v>
      </c>
      <c r="H26" s="3"/>
    </row>
    <row r="27" ht="15" customHeight="1">
      <c r="A27" s="45" t="s">
        <v>70</v>
      </c>
      <c r="B27" s="37">
        <f t="shared" si="5"/>
        <v>-0.017231476163124593</v>
      </c>
      <c r="C27" s="37">
        <f t="shared" si="5"/>
        <v>-0.005813953488372103</v>
      </c>
      <c r="D27" s="37">
        <f t="shared" si="5"/>
        <v>-0.02116704805491998</v>
      </c>
      <c r="E27" s="37">
        <f t="shared" si="5"/>
        <v>-0.003502626970227851</v>
      </c>
      <c r="F27" s="37">
        <f t="shared" si="5"/>
        <v>-0.009345794392523366</v>
      </c>
      <c r="G27" s="59">
        <f t="shared" si="5"/>
        <v>-0.011621461459667581</v>
      </c>
      <c r="H27" s="3"/>
    </row>
    <row r="28" ht="15" customHeight="1">
      <c r="A28" s="58" t="s">
        <v>536</v>
      </c>
      <c r="B28" s="27">
        <f t="shared" si="8"/>
        <v>-0.09999999999999432</v>
      </c>
      <c r="C28" s="27">
        <f t="shared" si="3"/>
        <v>-0.09999999999999432</v>
      </c>
      <c r="D28" s="27"/>
      <c r="E28" s="27">
        <f t="shared" si="6"/>
        <v>-0.30000000000001137</v>
      </c>
      <c r="F28" s="27">
        <f t="shared" si="3"/>
        <v>-1.0999999999999943</v>
      </c>
      <c r="G28" s="60">
        <f t="shared" si="3"/>
        <v>-0.4884320557491151</v>
      </c>
      <c r="H28" s="3"/>
    </row>
    <row r="29" ht="15" customHeight="1">
      <c r="A29" s="22"/>
      <c r="B29" s="3"/>
      <c r="C29" s="3"/>
      <c r="D29" s="3"/>
      <c r="E29" s="3"/>
      <c r="F29" s="3"/>
      <c r="G29" s="65"/>
      <c r="H29" s="3"/>
    </row>
    <row r="30" ht="15" customHeight="1">
      <c r="A30" s="55" t="s">
        <v>543</v>
      </c>
      <c r="B30" s="20"/>
      <c r="C30" s="20"/>
      <c r="D30" s="20"/>
      <c r="E30" s="20"/>
      <c r="F30" s="20"/>
      <c r="G30" s="56"/>
      <c r="H30" s="3"/>
    </row>
    <row r="31" ht="15" customHeight="1">
      <c r="A31" s="22" t="s">
        <v>544</v>
      </c>
      <c r="B31" s="48">
        <v>0.25</v>
      </c>
      <c r="C31" s="48">
        <v>0.25</v>
      </c>
      <c r="D31" s="48">
        <v>1</v>
      </c>
      <c r="E31" s="48">
        <v>0.31</v>
      </c>
      <c r="F31" s="48">
        <v>0.31</v>
      </c>
      <c r="G31" s="87">
        <v>0.31</v>
      </c>
      <c r="H31" s="18" t="s">
        <v>545</v>
      </c>
    </row>
    <row r="32" ht="15" customHeight="1">
      <c r="A32" s="22" t="s">
        <v>546</v>
      </c>
      <c r="B32" s="26">
        <f>-'Cash Flow Statement'!B35</f>
        <v>43</v>
      </c>
      <c r="C32" s="26">
        <f>-'Cash Flow Statement'!C35</f>
        <v>43</v>
      </c>
      <c r="D32" s="26">
        <f>-'Cash Flow Statement'!D35</f>
        <v>173</v>
      </c>
      <c r="E32" s="26">
        <f>-'Cash Flow Statement'!E35</f>
        <v>53</v>
      </c>
      <c r="F32" s="26">
        <f>-'Cash Flow Statement'!F35</f>
        <v>53</v>
      </c>
      <c r="G32" s="57">
        <f>-'Cash Flow Statement'!G35</f>
        <v>52.26958606271777</v>
      </c>
      <c r="H32" s="3"/>
    </row>
    <row r="33" ht="15" customHeight="1">
      <c r="A33" s="22"/>
      <c r="B33" s="3"/>
      <c r="C33" s="3"/>
      <c r="D33" s="3"/>
      <c r="E33" s="3"/>
      <c r="F33" s="3"/>
      <c r="G33" s="65"/>
      <c r="H33" s="3"/>
    </row>
    <row r="34" ht="15" customHeight="1">
      <c r="A34" s="55" t="s">
        <v>547</v>
      </c>
      <c r="B34" s="20"/>
      <c r="C34" s="20"/>
      <c r="D34" s="20"/>
      <c r="E34" s="20"/>
      <c r="F34" s="20"/>
      <c r="G34" s="56"/>
      <c r="H34" s="3"/>
    </row>
    <row r="35" ht="15" customHeight="1">
      <c r="A35" s="22" t="s">
        <v>548</v>
      </c>
      <c r="B35" s="26">
        <f>'Income Statement'!B92</f>
        <v>398</v>
      </c>
      <c r="C35" s="26">
        <f>'Income Statement'!C92</f>
        <v>358</v>
      </c>
      <c r="D35" s="26">
        <f>'Income Statement'!D92</f>
        <v>1537</v>
      </c>
      <c r="E35" s="26">
        <f>'Income Statement'!E92</f>
        <v>462</v>
      </c>
      <c r="F35" s="26">
        <f>'Income Statement'!F92</f>
        <v>469</v>
      </c>
      <c r="G35" s="57">
        <f>'Income Statement'!G92</f>
        <v>459.46819702500005</v>
      </c>
      <c r="H35" s="3"/>
    </row>
    <row r="36" ht="15" customHeight="1">
      <c r="A36" s="22" t="s">
        <v>549</v>
      </c>
      <c r="B36" s="34">
        <f t="shared" si="9" ref="B36:G36">B35/B25</f>
        <v>2.326125073056692</v>
      </c>
      <c r="C36" s="34">
        <f t="shared" si="9"/>
        <v>2.0935672514619883</v>
      </c>
      <c r="D36" s="34">
        <f t="shared" si="9"/>
        <v>8.983050847457628</v>
      </c>
      <c r="E36" s="34">
        <f t="shared" si="9"/>
        <v>2.7065026362038664</v>
      </c>
      <c r="F36" s="34">
        <f t="shared" si="9"/>
        <v>2.765330188679245</v>
      </c>
      <c r="G36" s="79">
        <f t="shared" si="9"/>
        <v>2.716953089669583</v>
      </c>
      <c r="H36" s="3"/>
    </row>
    <row r="37" ht="15" customHeight="1">
      <c r="A37" s="45" t="s">
        <v>550</v>
      </c>
      <c r="B37" s="90" t="b">
        <f>ABS(B36-'Income Statement'!B99)&lt;0.000001</f>
        <v>1</v>
      </c>
      <c r="C37" s="90" t="b">
        <f>ABS(C36-'Income Statement'!C99)&lt;0.000001</f>
        <v>1</v>
      </c>
      <c r="D37" s="90" t="b">
        <f>ABS(D36-'Income Statement'!D99)&lt;0.000001</f>
        <v>1</v>
      </c>
      <c r="E37" s="90" t="b">
        <f>ABS(E36-'Income Statement'!E99)&lt;0.000001</f>
        <v>1</v>
      </c>
      <c r="F37" s="90" t="b">
        <f>ABS(F36-'Income Statement'!F99)&lt;0.000001</f>
        <v>1</v>
      </c>
      <c r="G37" s="91" t="b">
        <f>ABS(G36-'Income Statement'!G99)&lt;0.000001</f>
        <v>1</v>
      </c>
      <c r="H37" s="3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B7D0505-3338-D6E8-F018-B4110D8A6C6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8" width="12.00390625" customWidth="1"/>
    <col min="9" max="9" width="6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  <c r="I1" s="3"/>
    </row>
    <row r="2" ht="15" customHeight="1">
      <c r="A2" s="53" t="s">
        <v>551</v>
      </c>
      <c r="B2" s="3"/>
      <c r="C2" s="3"/>
      <c r="D2" s="3"/>
      <c r="E2" s="3"/>
      <c r="F2" s="3"/>
      <c r="G2" s="3"/>
      <c r="H2" s="3"/>
      <c r="I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  <c r="I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8"/>
      <c r="I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  <c r="I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  <c r="I6" s="15"/>
    </row>
    <row r="7" ht="15" customHeight="1">
      <c r="A7" s="18" t="s">
        <v>552</v>
      </c>
      <c r="B7" s="3"/>
      <c r="C7" s="3"/>
      <c r="D7" s="3"/>
      <c r="E7" s="3"/>
      <c r="F7" s="3"/>
      <c r="G7" s="3"/>
      <c r="H7" s="3"/>
      <c r="I7" s="3"/>
    </row>
    <row r="8" ht="15" customHeight="1">
      <c r="A8" s="24" t="s">
        <v>553</v>
      </c>
      <c r="B8" s="25" t="s">
        <v>554</v>
      </c>
      <c r="C8" s="25" t="s">
        <v>3</v>
      </c>
      <c r="D8" s="25" t="s">
        <v>555</v>
      </c>
      <c r="E8" s="25" t="s">
        <v>556</v>
      </c>
      <c r="F8" s="25" t="s">
        <v>557</v>
      </c>
      <c r="G8" s="25" t="s">
        <v>558</v>
      </c>
      <c r="H8" s="25" t="s">
        <v>559</v>
      </c>
      <c r="I8" s="24"/>
    </row>
    <row r="9" ht="15" customHeight="1">
      <c r="A9" s="22" t="s">
        <v>560</v>
      </c>
      <c r="B9" s="50">
        <v>45700</v>
      </c>
      <c r="C9" s="51" t="s">
        <v>561</v>
      </c>
      <c r="D9" s="49">
        <v>10725</v>
      </c>
      <c r="E9" s="49">
        <v>11025</v>
      </c>
      <c r="F9" s="27">
        <f t="shared" si="0" ref="F9:F26">AVERAGE(D9,E9)</f>
        <v>10875</v>
      </c>
      <c r="G9" s="26">
        <f>'Income Statement'!D9</f>
        <v>11167</v>
      </c>
      <c r="H9" s="51" t="str">
        <f t="shared" si="1" ref="H9:H17">IF(G9="","pending",IF(G9&gt;F9,"Beat",IF(G9&lt;F9,"Miss","In line")))</f>
        <v>Beat</v>
      </c>
      <c r="I9" s="18" t="s">
        <v>563</v>
      </c>
    </row>
    <row r="10" ht="15" customHeight="1">
      <c r="A10" s="22" t="s">
        <v>564</v>
      </c>
      <c r="B10" s="50">
        <v>45700</v>
      </c>
      <c r="C10" s="51" t="s">
        <v>561</v>
      </c>
      <c r="D10" s="48">
        <v>8.35</v>
      </c>
      <c r="E10" s="48">
        <v>8.75</v>
      </c>
      <c r="F10" s="34">
        <f t="shared" si="0"/>
        <v>8.55</v>
      </c>
      <c r="G10" s="33">
        <f>'Income Statement'!D105</f>
        <v>8.97</v>
      </c>
      <c r="H10" s="51" t="str">
        <f t="shared" si="1"/>
        <v>Beat</v>
      </c>
      <c r="I10" s="18" t="s">
        <v>563</v>
      </c>
    </row>
    <row r="11" ht="15" customHeight="1">
      <c r="A11" s="21" t="s">
        <v>565</v>
      </c>
      <c r="B11" s="92">
        <v>45700</v>
      </c>
      <c r="C11" s="82" t="s">
        <v>561</v>
      </c>
      <c r="D11" s="86">
        <v>0.9</v>
      </c>
      <c r="E11" s="37"/>
      <c r="F11" s="37">
        <f>D11</f>
        <v>0.9</v>
      </c>
      <c r="G11" s="35">
        <f>'Cash Flow Statement'!D57</f>
        <v>1.0445368171021379</v>
      </c>
      <c r="H11" s="82" t="str">
        <f t="shared" si="1"/>
        <v>Beat</v>
      </c>
      <c r="I11" s="18" t="s">
        <v>563</v>
      </c>
    </row>
    <row r="12" ht="15" customHeight="1">
      <c r="A12" s="22" t="s">
        <v>560</v>
      </c>
      <c r="B12" s="50">
        <v>45770</v>
      </c>
      <c r="C12" s="51" t="s">
        <v>561</v>
      </c>
      <c r="D12" s="49">
        <v>10725</v>
      </c>
      <c r="E12" s="49">
        <v>11025</v>
      </c>
      <c r="F12" s="27">
        <f t="shared" si="0"/>
        <v>10875</v>
      </c>
      <c r="G12" s="26">
        <f>'Income Statement'!D9</f>
        <v>11167</v>
      </c>
      <c r="H12" s="51" t="str">
        <f t="shared" si="1"/>
        <v>Beat</v>
      </c>
      <c r="I12" s="18" t="s">
        <v>566</v>
      </c>
    </row>
    <row r="13" ht="15" customHeight="1">
      <c r="A13" s="22" t="s">
        <v>564</v>
      </c>
      <c r="B13" s="50">
        <v>45770</v>
      </c>
      <c r="C13" s="51" t="s">
        <v>561</v>
      </c>
      <c r="D13" s="48">
        <v>8.35</v>
      </c>
      <c r="E13" s="48">
        <v>8.95</v>
      </c>
      <c r="F13" s="34">
        <f t="shared" si="0"/>
        <v>8.649999999999999</v>
      </c>
      <c r="G13" s="33">
        <f>'Income Statement'!D105</f>
        <v>8.97</v>
      </c>
      <c r="H13" s="51" t="str">
        <f t="shared" si="1"/>
        <v>Beat</v>
      </c>
      <c r="I13" s="18" t="s">
        <v>566</v>
      </c>
    </row>
    <row r="14" ht="15" customHeight="1">
      <c r="A14" s="22" t="s">
        <v>560</v>
      </c>
      <c r="B14" s="50">
        <v>45862</v>
      </c>
      <c r="C14" s="51" t="s">
        <v>561</v>
      </c>
      <c r="D14" s="49">
        <v>10925</v>
      </c>
      <c r="E14" s="49">
        <v>11225</v>
      </c>
      <c r="F14" s="27">
        <f t="shared" si="0"/>
        <v>11075</v>
      </c>
      <c r="G14" s="26">
        <f>'Income Statement'!D9</f>
        <v>11167</v>
      </c>
      <c r="H14" s="51" t="str">
        <f t="shared" si="1"/>
        <v>Beat</v>
      </c>
      <c r="I14" s="18" t="s">
        <v>567</v>
      </c>
    </row>
    <row r="15" ht="15" customHeight="1">
      <c r="A15" s="22" t="s">
        <v>564</v>
      </c>
      <c r="B15" s="50">
        <v>45862</v>
      </c>
      <c r="C15" s="51" t="s">
        <v>561</v>
      </c>
      <c r="D15" s="48">
        <v>8.55</v>
      </c>
      <c r="E15" s="48">
        <v>9.15</v>
      </c>
      <c r="F15" s="34">
        <f t="shared" si="0"/>
        <v>8.850000000000001</v>
      </c>
      <c r="G15" s="33">
        <f>'Income Statement'!D105</f>
        <v>8.97</v>
      </c>
      <c r="H15" s="51" t="str">
        <f t="shared" si="1"/>
        <v>Beat</v>
      </c>
      <c r="I15" s="18" t="s">
        <v>567</v>
      </c>
    </row>
    <row r="16" ht="15" customHeight="1">
      <c r="A16" s="22" t="s">
        <v>560</v>
      </c>
      <c r="B16" s="50">
        <v>45952</v>
      </c>
      <c r="C16" s="51" t="s">
        <v>561</v>
      </c>
      <c r="D16" s="49">
        <v>10925</v>
      </c>
      <c r="E16" s="49">
        <v>11225</v>
      </c>
      <c r="F16" s="27">
        <f t="shared" si="0"/>
        <v>11075</v>
      </c>
      <c r="G16" s="26">
        <f>'Income Statement'!D9</f>
        <v>11167</v>
      </c>
      <c r="H16" s="51" t="str">
        <f t="shared" si="1"/>
        <v>Beat</v>
      </c>
      <c r="I16" s="18" t="s">
        <v>568</v>
      </c>
    </row>
    <row r="17" ht="15" customHeight="1">
      <c r="A17" s="22" t="s">
        <v>564</v>
      </c>
      <c r="B17" s="50">
        <v>45952</v>
      </c>
      <c r="C17" s="51" t="s">
        <v>561</v>
      </c>
      <c r="D17" s="48">
        <v>8.85</v>
      </c>
      <c r="E17" s="48">
        <v>9.05</v>
      </c>
      <c r="F17" s="34">
        <f t="shared" si="0"/>
        <v>8.95</v>
      </c>
      <c r="G17" s="33">
        <f>'Income Statement'!D105</f>
        <v>8.97</v>
      </c>
      <c r="H17" s="51" t="str">
        <f t="shared" si="1"/>
        <v>Beat</v>
      </c>
      <c r="I17" s="18" t="s">
        <v>568</v>
      </c>
    </row>
    <row r="18" ht="15" customHeight="1">
      <c r="A18" s="22" t="s">
        <v>560</v>
      </c>
      <c r="B18" s="50">
        <v>46064</v>
      </c>
      <c r="C18" s="51" t="s">
        <v>569</v>
      </c>
      <c r="D18" s="49">
        <v>12190</v>
      </c>
      <c r="E18" s="49">
        <v>12490</v>
      </c>
      <c r="F18" s="27">
        <f t="shared" si="0"/>
        <v>12340</v>
      </c>
      <c r="G18" s="27"/>
      <c r="H18" s="51" t="s">
        <v>570</v>
      </c>
      <c r="I18" s="18" t="s">
        <v>571</v>
      </c>
    </row>
    <row r="19" ht="15" customHeight="1">
      <c r="A19" s="22" t="s">
        <v>564</v>
      </c>
      <c r="B19" s="50">
        <v>46064</v>
      </c>
      <c r="C19" s="51" t="s">
        <v>569</v>
      </c>
      <c r="D19" s="48">
        <v>10.05</v>
      </c>
      <c r="E19" s="48">
        <v>10.45</v>
      </c>
      <c r="F19" s="34">
        <f t="shared" si="0"/>
        <v>10.25</v>
      </c>
      <c r="G19" s="34"/>
      <c r="H19" s="51" t="s">
        <v>570</v>
      </c>
      <c r="I19" s="18" t="s">
        <v>571</v>
      </c>
    </row>
    <row r="20" ht="15" customHeight="1">
      <c r="A20" s="22" t="s">
        <v>560</v>
      </c>
      <c r="B20" s="50">
        <v>46134</v>
      </c>
      <c r="C20" s="51" t="s">
        <v>569</v>
      </c>
      <c r="D20" s="49">
        <v>12190</v>
      </c>
      <c r="E20" s="49">
        <v>12490</v>
      </c>
      <c r="F20" s="27">
        <f t="shared" si="0"/>
        <v>12340</v>
      </c>
      <c r="G20" s="27"/>
      <c r="H20" s="51" t="s">
        <v>570</v>
      </c>
      <c r="I20" s="18" t="s">
        <v>572</v>
      </c>
    </row>
    <row r="21" ht="15" customHeight="1">
      <c r="A21" s="22" t="s">
        <v>564</v>
      </c>
      <c r="B21" s="50">
        <v>46134</v>
      </c>
      <c r="C21" s="51" t="s">
        <v>569</v>
      </c>
      <c r="D21" s="48">
        <v>10.25</v>
      </c>
      <c r="E21" s="48">
        <v>10.65</v>
      </c>
      <c r="F21" s="34">
        <f t="shared" si="0"/>
        <v>10.45</v>
      </c>
      <c r="G21" s="34"/>
      <c r="H21" s="51" t="s">
        <v>570</v>
      </c>
      <c r="I21" s="18" t="s">
        <v>572</v>
      </c>
    </row>
    <row r="22" ht="15" customHeight="1">
      <c r="A22" s="22" t="s">
        <v>560</v>
      </c>
      <c r="B22" s="50">
        <v>46225</v>
      </c>
      <c r="C22" s="51" t="s">
        <v>569</v>
      </c>
      <c r="D22" s="49">
        <v>12300</v>
      </c>
      <c r="E22" s="49">
        <v>12600</v>
      </c>
      <c r="F22" s="27">
        <f t="shared" si="0"/>
        <v>12450</v>
      </c>
      <c r="G22" s="27"/>
      <c r="H22" s="51" t="s">
        <v>570</v>
      </c>
      <c r="I22" s="18" t="s">
        <v>573</v>
      </c>
    </row>
    <row r="23" ht="15" customHeight="1">
      <c r="A23" s="22" t="s">
        <v>564</v>
      </c>
      <c r="B23" s="50">
        <v>46225</v>
      </c>
      <c r="C23" s="51" t="s">
        <v>569</v>
      </c>
      <c r="D23" s="48">
        <v>10.6</v>
      </c>
      <c r="E23" s="48">
        <v>10.9</v>
      </c>
      <c r="F23" s="34">
        <f t="shared" si="0"/>
        <v>10.75</v>
      </c>
      <c r="G23" s="34"/>
      <c r="H23" s="51" t="s">
        <v>570</v>
      </c>
      <c r="I23" s="18" t="s">
        <v>573</v>
      </c>
    </row>
    <row r="24" ht="15" customHeight="1">
      <c r="A24" s="21" t="s">
        <v>574</v>
      </c>
      <c r="B24" s="92">
        <v>46225</v>
      </c>
      <c r="C24" s="82" t="s">
        <v>569</v>
      </c>
      <c r="D24" s="86">
        <v>0.245</v>
      </c>
      <c r="E24" s="86">
        <v>0.245</v>
      </c>
      <c r="F24" s="37">
        <f t="shared" si="0"/>
        <v>0.245</v>
      </c>
      <c r="G24" s="37"/>
      <c r="H24" s="82" t="s">
        <v>570</v>
      </c>
      <c r="I24" s="18" t="s">
        <v>575</v>
      </c>
    </row>
    <row r="25" ht="15" customHeight="1">
      <c r="A25" s="21" t="s">
        <v>576</v>
      </c>
      <c r="B25" s="92">
        <v>46225</v>
      </c>
      <c r="C25" s="82" t="s">
        <v>569</v>
      </c>
      <c r="D25" s="86">
        <v>0.02</v>
      </c>
      <c r="E25" s="86">
        <v>0.02</v>
      </c>
      <c r="F25" s="37">
        <f t="shared" si="0"/>
        <v>0.02</v>
      </c>
      <c r="G25" s="37"/>
      <c r="H25" s="82" t="s">
        <v>570</v>
      </c>
      <c r="I25" s="18" t="s">
        <v>575</v>
      </c>
    </row>
    <row r="26" ht="37.5" customHeight="1">
      <c r="A26" s="21" t="s">
        <v>577</v>
      </c>
      <c r="B26" s="92">
        <v>46225</v>
      </c>
      <c r="C26" s="82" t="s">
        <v>578</v>
      </c>
      <c r="D26" s="86">
        <v>0.005</v>
      </c>
      <c r="E26" s="86">
        <v>0.005</v>
      </c>
      <c r="F26" s="37">
        <f t="shared" si="0"/>
        <v>0.005</v>
      </c>
      <c r="G26" s="37"/>
      <c r="H26" s="82" t="s">
        <v>570</v>
      </c>
      <c r="I26" s="38" t="s">
        <v>579</v>
      </c>
    </row>
    <row r="27" ht="15" customHeight="1">
      <c r="A27" s="22"/>
      <c r="B27" s="3"/>
      <c r="C27" s="3"/>
      <c r="D27" s="3"/>
      <c r="E27" s="3"/>
      <c r="F27" s="3"/>
      <c r="G27" s="3"/>
      <c r="H27" s="3"/>
      <c r="I27" s="3"/>
    </row>
    <row r="28" ht="15" customHeight="1">
      <c r="A28" s="55" t="s">
        <v>580</v>
      </c>
      <c r="B28" s="20"/>
      <c r="C28" s="20"/>
      <c r="D28" s="20"/>
      <c r="E28" s="20"/>
      <c r="F28" s="20"/>
      <c r="G28" s="20"/>
      <c r="H28" s="3"/>
      <c r="I28" s="3"/>
    </row>
    <row r="29" ht="15" customHeight="1">
      <c r="A29" s="22" t="s">
        <v>581</v>
      </c>
      <c r="B29" s="27"/>
      <c r="C29" s="27"/>
      <c r="D29" s="27"/>
      <c r="E29" s="27"/>
      <c r="F29" s="27">
        <f>F22</f>
        <v>12450</v>
      </c>
      <c r="G29" s="27"/>
      <c r="H29" s="3"/>
      <c r="I29" s="3"/>
    </row>
    <row r="30" ht="15" customHeight="1">
      <c r="A30" s="22" t="s">
        <v>582</v>
      </c>
      <c r="B30" s="27"/>
      <c r="C30" s="27"/>
      <c r="D30" s="27"/>
      <c r="E30" s="27"/>
      <c r="F30" s="26">
        <f>'Income Statement'!E9+'Income Statement'!F9</f>
        <v>6129</v>
      </c>
      <c r="G30" s="27"/>
      <c r="H30" s="3"/>
      <c r="I30" s="3"/>
    </row>
    <row r="31" ht="15" customHeight="1">
      <c r="A31" s="29" t="s">
        <v>583</v>
      </c>
      <c r="B31" s="93"/>
      <c r="C31" s="93"/>
      <c r="D31" s="93"/>
      <c r="E31" s="93"/>
      <c r="F31" s="93">
        <f t="shared" si="2" ref="F31:F36">F29-F30</f>
        <v>6321</v>
      </c>
      <c r="G31" s="93"/>
      <c r="H31" s="3"/>
      <c r="I31" s="3"/>
    </row>
    <row r="32" ht="15" customHeight="1">
      <c r="A32" s="22" t="s">
        <v>584</v>
      </c>
      <c r="B32" s="27"/>
      <c r="C32" s="27"/>
      <c r="D32" s="27"/>
      <c r="E32" s="27"/>
      <c r="F32" s="26">
        <f>'Income Statement'!G9</f>
        <v>3160.465</v>
      </c>
      <c r="G32" s="27"/>
      <c r="H32" s="3"/>
      <c r="I32" s="3"/>
    </row>
    <row r="33" ht="15" customHeight="1">
      <c r="A33" s="21" t="s">
        <v>585</v>
      </c>
      <c r="B33" s="37"/>
      <c r="C33" s="37"/>
      <c r="D33" s="37"/>
      <c r="E33" s="37"/>
      <c r="F33" s="37">
        <f t="shared" si="3" ref="F33:F38">F32/F31</f>
        <v>0.4999944629014397</v>
      </c>
      <c r="G33" s="37"/>
      <c r="H33" s="54"/>
      <c r="I33" s="3"/>
    </row>
    <row r="34" ht="15" customHeight="1">
      <c r="A34" s="22" t="s">
        <v>586</v>
      </c>
      <c r="B34" s="34"/>
      <c r="C34" s="34"/>
      <c r="D34" s="34"/>
      <c r="E34" s="34"/>
      <c r="F34" s="34">
        <f>F23</f>
        <v>10.75</v>
      </c>
      <c r="G34" s="34"/>
      <c r="H34" s="3"/>
      <c r="I34" s="3"/>
    </row>
    <row r="35" ht="37.5" customHeight="1">
      <c r="A35" s="22" t="s">
        <v>587</v>
      </c>
      <c r="B35" s="34"/>
      <c r="C35" s="34"/>
      <c r="D35" s="34"/>
      <c r="E35" s="34"/>
      <c r="F35" s="48">
        <v>5.46</v>
      </c>
      <c r="G35" s="34"/>
      <c r="H35" s="3"/>
      <c r="I35" s="38" t="s">
        <v>588</v>
      </c>
    </row>
    <row r="36" ht="37.5" customHeight="1">
      <c r="A36" s="29" t="s">
        <v>589</v>
      </c>
      <c r="B36" s="31"/>
      <c r="C36" s="31"/>
      <c r="D36" s="31"/>
      <c r="E36" s="31"/>
      <c r="F36" s="31">
        <f t="shared" si="2"/>
        <v>5.29</v>
      </c>
      <c r="G36" s="31"/>
      <c r="H36" s="3"/>
      <c r="I36" s="38" t="s">
        <v>590</v>
      </c>
    </row>
    <row r="37" ht="15" customHeight="1">
      <c r="A37" s="22" t="s">
        <v>591</v>
      </c>
      <c r="B37" s="34"/>
      <c r="C37" s="34"/>
      <c r="D37" s="34"/>
      <c r="E37" s="34"/>
      <c r="F37" s="33">
        <f>'Income Statement'!G99</f>
        <v>2.716953089669583</v>
      </c>
      <c r="G37" s="34"/>
      <c r="H37" s="3"/>
      <c r="I37" s="3"/>
    </row>
    <row r="38" ht="15" customHeight="1">
      <c r="A38" s="21" t="s">
        <v>585</v>
      </c>
      <c r="B38" s="37"/>
      <c r="C38" s="37"/>
      <c r="D38" s="37"/>
      <c r="E38" s="37"/>
      <c r="F38" s="37">
        <f t="shared" si="3"/>
        <v>0.5136017182740232</v>
      </c>
      <c r="G38" s="37"/>
      <c r="H38" s="54"/>
      <c r="I38" s="3"/>
    </row>
    <row r="39" ht="26.25" customHeight="1">
      <c r="A39" s="22" t="s">
        <v>592</v>
      </c>
      <c r="B39" s="34"/>
      <c r="C39" s="34"/>
      <c r="D39" s="34"/>
      <c r="E39" s="34"/>
      <c r="F39" s="34">
        <f>G10-F10</f>
        <v>0.41999999999999993</v>
      </c>
      <c r="G39" s="34"/>
      <c r="H39" s="3"/>
      <c r="I39" s="38" t="s">
        <v>593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legacyDrawing r:id="rId2"/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C1761802-00AF-3EA8-96B8-FAFBC0CD5D8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3" width="12.00390625" customWidth="1"/>
    <col min="4" max="4" width="24.00390625" customWidth="1"/>
    <col min="5" max="7" width="12.00390625" customWidth="1"/>
    <col min="8" max="8" width="7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</row>
    <row r="2" ht="15" customHeight="1">
      <c r="A2" s="53" t="s">
        <v>594</v>
      </c>
      <c r="B2" s="3"/>
      <c r="C2" s="3"/>
      <c r="D2" s="3"/>
      <c r="E2" s="3"/>
      <c r="F2" s="3"/>
      <c r="G2" s="3"/>
      <c r="H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8"/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</row>
    <row r="7" ht="15" customHeight="1">
      <c r="A7" s="18" t="s">
        <v>552</v>
      </c>
      <c r="B7" s="3"/>
      <c r="C7" s="3"/>
      <c r="D7" s="3"/>
      <c r="E7" s="3"/>
      <c r="F7" s="3"/>
      <c r="G7" s="3"/>
      <c r="H7" s="3"/>
    </row>
    <row r="8" ht="15" customHeight="1">
      <c r="A8" s="24" t="s">
        <v>595</v>
      </c>
      <c r="B8" s="25" t="s">
        <v>596</v>
      </c>
      <c r="C8" s="94" t="s">
        <v>597</v>
      </c>
      <c r="D8" s="94" t="s">
        <v>598</v>
      </c>
      <c r="E8" s="94" t="s">
        <v>599</v>
      </c>
      <c r="F8" s="25"/>
      <c r="G8" s="25"/>
      <c r="H8" s="25"/>
    </row>
    <row r="9" ht="27.75" customHeight="1">
      <c r="A9" s="22" t="s">
        <v>600</v>
      </c>
      <c r="B9" s="95">
        <v>46313</v>
      </c>
      <c r="C9" s="22" t="s">
        <v>601</v>
      </c>
      <c r="D9" s="22" t="s">
        <v>602</v>
      </c>
      <c r="E9" s="96" t="s">
        <v>603</v>
      </c>
      <c r="F9" s="3"/>
      <c r="G9" s="3"/>
      <c r="H9" s="3"/>
    </row>
    <row r="10" ht="39.75" customHeight="1">
      <c r="A10" s="22" t="s">
        <v>604</v>
      </c>
      <c r="B10" s="95">
        <v>46313</v>
      </c>
      <c r="C10" s="22" t="s">
        <v>601</v>
      </c>
      <c r="D10" s="22" t="s">
        <v>605</v>
      </c>
      <c r="E10" s="96" t="s">
        <v>606</v>
      </c>
      <c r="F10" s="3"/>
      <c r="G10" s="3"/>
      <c r="H10" s="3"/>
    </row>
    <row r="11" ht="27.75" customHeight="1">
      <c r="A11" s="22" t="s">
        <v>607</v>
      </c>
      <c r="B11" s="95">
        <v>45952</v>
      </c>
      <c r="C11" s="22" t="s">
        <v>608</v>
      </c>
      <c r="D11" s="22" t="s">
        <v>609</v>
      </c>
      <c r="E11" s="96" t="s">
        <v>610</v>
      </c>
      <c r="F11" s="3"/>
      <c r="G11" s="3"/>
      <c r="H11" s="3"/>
    </row>
    <row r="12" ht="40.5" customHeight="1">
      <c r="A12" s="22" t="s">
        <v>611</v>
      </c>
      <c r="B12" s="95">
        <v>45952</v>
      </c>
      <c r="C12" s="22" t="s">
        <v>608</v>
      </c>
      <c r="D12" s="22" t="s">
        <v>612</v>
      </c>
      <c r="E12" s="96" t="s">
        <v>613</v>
      </c>
      <c r="F12" s="3"/>
      <c r="G12" s="3"/>
      <c r="H12" s="3"/>
    </row>
    <row r="13" ht="27.75" customHeight="1">
      <c r="A13" s="22" t="s">
        <v>614</v>
      </c>
      <c r="B13" s="95">
        <v>46064</v>
      </c>
      <c r="C13" s="22" t="s">
        <v>608</v>
      </c>
      <c r="D13" s="22" t="s">
        <v>615</v>
      </c>
      <c r="E13" s="96" t="s">
        <v>616</v>
      </c>
      <c r="F13" s="3"/>
      <c r="G13" s="3"/>
      <c r="H13" s="3"/>
    </row>
    <row r="14" ht="32.25" customHeight="1">
      <c r="A14" s="22" t="s">
        <v>617</v>
      </c>
      <c r="B14" s="95">
        <v>46066</v>
      </c>
      <c r="C14" s="22" t="s">
        <v>608</v>
      </c>
      <c r="D14" s="22" t="s">
        <v>618</v>
      </c>
      <c r="E14" s="96" t="s">
        <v>619</v>
      </c>
      <c r="F14" s="3"/>
      <c r="G14" s="3"/>
      <c r="H14" s="3"/>
    </row>
    <row r="15" ht="23.25" customHeight="1">
      <c r="A15" s="22" t="s">
        <v>620</v>
      </c>
      <c r="B15" s="95">
        <v>46134</v>
      </c>
      <c r="C15" s="22" t="s">
        <v>608</v>
      </c>
      <c r="D15" s="22" t="s">
        <v>621</v>
      </c>
      <c r="E15" s="96" t="s">
        <v>622</v>
      </c>
      <c r="F15" s="3"/>
      <c r="G15" s="3"/>
      <c r="H15" s="3"/>
    </row>
    <row r="16" ht="40.5" customHeight="1">
      <c r="A16" s="22" t="s">
        <v>623</v>
      </c>
      <c r="B16" s="95">
        <v>46134</v>
      </c>
      <c r="C16" s="22" t="s">
        <v>608</v>
      </c>
      <c r="D16" s="22" t="s">
        <v>624</v>
      </c>
      <c r="E16" s="96" t="s">
        <v>625</v>
      </c>
      <c r="F16" s="3"/>
      <c r="G16" s="3"/>
      <c r="H16" s="3"/>
    </row>
    <row r="17" ht="32.25" customHeight="1">
      <c r="A17" s="22" t="s">
        <v>626</v>
      </c>
      <c r="B17" s="95">
        <v>46225</v>
      </c>
      <c r="C17" s="22" t="s">
        <v>608</v>
      </c>
      <c r="D17" s="22" t="s">
        <v>627</v>
      </c>
      <c r="E17" s="96" t="s">
        <v>628</v>
      </c>
      <c r="F17" s="3"/>
      <c r="G17" s="3"/>
      <c r="H17" s="3"/>
    </row>
    <row r="18" ht="32.25" customHeight="1">
      <c r="A18" s="22" t="s">
        <v>629</v>
      </c>
      <c r="B18" s="95">
        <v>46225</v>
      </c>
      <c r="C18" s="22" t="s">
        <v>608</v>
      </c>
      <c r="D18" s="22" t="s">
        <v>630</v>
      </c>
      <c r="E18" s="96" t="s">
        <v>631</v>
      </c>
      <c r="F18" s="3"/>
      <c r="G18" s="3"/>
      <c r="H18" s="3"/>
    </row>
    <row r="19" ht="32.25" customHeight="1">
      <c r="A19" s="22" t="s">
        <v>632</v>
      </c>
      <c r="B19" s="95">
        <v>46225</v>
      </c>
      <c r="C19" s="22" t="s">
        <v>608</v>
      </c>
      <c r="D19" s="22" t="s">
        <v>633</v>
      </c>
      <c r="E19" s="96" t="s">
        <v>634</v>
      </c>
      <c r="F19" s="3"/>
      <c r="G19" s="3"/>
      <c r="H19" s="3"/>
    </row>
    <row r="20" ht="32.25" customHeight="1">
      <c r="A20" s="22" t="s">
        <v>635</v>
      </c>
      <c r="B20" s="95">
        <v>46225</v>
      </c>
      <c r="C20" s="22" t="s">
        <v>636</v>
      </c>
      <c r="D20" s="22" t="s">
        <v>637</v>
      </c>
      <c r="E20" s="96" t="s">
        <v>638</v>
      </c>
      <c r="F20" s="3"/>
      <c r="G20" s="3"/>
      <c r="H20" s="3"/>
    </row>
    <row r="21" ht="27.75" customHeight="1">
      <c r="A21" s="22" t="s">
        <v>639</v>
      </c>
      <c r="B21" s="95">
        <v>46296</v>
      </c>
      <c r="C21" s="22" t="s">
        <v>640</v>
      </c>
      <c r="D21" s="22" t="s">
        <v>641</v>
      </c>
      <c r="E21" s="96" t="s">
        <v>642</v>
      </c>
      <c r="F21" s="3"/>
      <c r="G21" s="3"/>
      <c r="H21" s="3"/>
    </row>
    <row r="22" ht="27.75" customHeight="1">
      <c r="A22" s="22" t="s">
        <v>643</v>
      </c>
      <c r="B22" s="95">
        <v>45700</v>
      </c>
      <c r="C22" s="22" t="s">
        <v>608</v>
      </c>
      <c r="D22" s="22" t="s">
        <v>644</v>
      </c>
      <c r="E22" s="96" t="s">
        <v>645</v>
      </c>
      <c r="F22" s="3"/>
      <c r="G22" s="3"/>
      <c r="H22" s="3"/>
    </row>
    <row r="23" ht="15.75" customHeight="1">
      <c r="A23" s="22" t="s">
        <v>646</v>
      </c>
      <c r="B23" s="95">
        <v>45770</v>
      </c>
      <c r="C23" s="22" t="s">
        <v>608</v>
      </c>
      <c r="D23" s="22" t="s">
        <v>644</v>
      </c>
      <c r="E23" s="96" t="s">
        <v>647</v>
      </c>
      <c r="F23" s="3"/>
      <c r="G23" s="3"/>
      <c r="H23" s="3"/>
    </row>
    <row r="24" ht="27.75" customHeight="1">
      <c r="A24" s="22" t="s">
        <v>648</v>
      </c>
      <c r="B24" s="95">
        <v>45862</v>
      </c>
      <c r="C24" s="22" t="s">
        <v>608</v>
      </c>
      <c r="D24" s="22" t="s">
        <v>649</v>
      </c>
      <c r="E24" s="96" t="s">
        <v>650</v>
      </c>
      <c r="F24" s="3"/>
      <c r="G24" s="3"/>
      <c r="H24" s="3"/>
    </row>
    <row r="25" ht="39.75" customHeight="1">
      <c r="A25" s="22" t="s">
        <v>651</v>
      </c>
      <c r="B25" s="95">
        <v>45992</v>
      </c>
      <c r="C25" s="22" t="s">
        <v>640</v>
      </c>
      <c r="D25" s="22" t="s">
        <v>652</v>
      </c>
      <c r="E25" s="96" t="s">
        <v>653</v>
      </c>
      <c r="F25" s="3"/>
      <c r="G25" s="3"/>
      <c r="H25" s="3"/>
    </row>
    <row r="26" ht="27.75" customHeight="1">
      <c r="A26" s="22" t="s">
        <v>654</v>
      </c>
      <c r="B26" s="95">
        <v>45839</v>
      </c>
      <c r="C26" s="22" t="s">
        <v>608</v>
      </c>
      <c r="D26" s="22" t="s">
        <v>655</v>
      </c>
      <c r="E26" s="96" t="s">
        <v>656</v>
      </c>
      <c r="F26" s="3"/>
      <c r="G26" s="3"/>
      <c r="H26" s="3"/>
    </row>
    <row r="27" ht="27.75" customHeight="1">
      <c r="A27" s="22" t="s">
        <v>657</v>
      </c>
      <c r="B27" s="95">
        <v>46064</v>
      </c>
      <c r="C27" s="22" t="s">
        <v>640</v>
      </c>
      <c r="D27" s="22" t="s">
        <v>658</v>
      </c>
      <c r="E27" s="96" t="s">
        <v>659</v>
      </c>
      <c r="F27" s="3"/>
      <c r="G27" s="3"/>
      <c r="H27" s="3"/>
    </row>
    <row r="28" ht="32.25" customHeight="1">
      <c r="A28" s="22" t="s">
        <v>660</v>
      </c>
      <c r="B28" s="95">
        <v>46311</v>
      </c>
      <c r="C28" s="22" t="s">
        <v>661</v>
      </c>
      <c r="D28" s="22" t="s">
        <v>662</v>
      </c>
      <c r="E28" s="96" t="s">
        <v>663</v>
      </c>
      <c r="F28" s="3"/>
      <c r="G28" s="3"/>
      <c r="H28" s="3"/>
    </row>
    <row r="29" ht="51.75" customHeight="1">
      <c r="A29" s="22" t="s">
        <v>664</v>
      </c>
      <c r="B29" s="95">
        <v>46311</v>
      </c>
      <c r="C29" s="22" t="s">
        <v>661</v>
      </c>
      <c r="D29" s="22" t="s">
        <v>665</v>
      </c>
      <c r="E29" s="96" t="s">
        <v>666</v>
      </c>
      <c r="F29" s="3"/>
      <c r="G29" s="3"/>
      <c r="H29" s="3"/>
    </row>
    <row r="30" ht="51.75" customHeight="1">
      <c r="A30" s="22" t="s">
        <v>667</v>
      </c>
      <c r="B30" s="95">
        <v>46309</v>
      </c>
      <c r="C30" s="22" t="s">
        <v>668</v>
      </c>
      <c r="D30" s="22" t="s">
        <v>669</v>
      </c>
      <c r="E30" s="96" t="s">
        <v>670</v>
      </c>
      <c r="F30" s="3"/>
      <c r="G30" s="3"/>
      <c r="H30" s="3"/>
    </row>
    <row r="31" ht="39.75" customHeight="1">
      <c r="A31" s="22" t="s">
        <v>671</v>
      </c>
      <c r="B31" s="95">
        <v>46313</v>
      </c>
      <c r="C31" s="22" t="s">
        <v>672</v>
      </c>
      <c r="D31" s="22" t="s">
        <v>673</v>
      </c>
      <c r="E31" s="96" t="s">
        <v>674</v>
      </c>
      <c r="F31" s="3"/>
      <c r="G31" s="3"/>
      <c r="H31" s="3"/>
    </row>
    <row r="32" ht="27.75" customHeight="1">
      <c r="A32" s="22" t="s">
        <v>675</v>
      </c>
      <c r="B32" s="95">
        <v>43517</v>
      </c>
      <c r="C32" s="22" t="s">
        <v>676</v>
      </c>
      <c r="D32" s="22" t="s">
        <v>677</v>
      </c>
      <c r="E32" s="96" t="s">
        <v>678</v>
      </c>
      <c r="F32" s="3"/>
      <c r="G32" s="3"/>
      <c r="H32" s="3"/>
    </row>
    <row r="33" ht="27.75" customHeight="1">
      <c r="A33" s="22" t="s">
        <v>679</v>
      </c>
      <c r="B33" s="95">
        <v>46304</v>
      </c>
      <c r="C33" s="22" t="s">
        <v>680</v>
      </c>
      <c r="D33" s="22" t="s">
        <v>681</v>
      </c>
      <c r="E33" s="96" t="s">
        <v>682</v>
      </c>
      <c r="F33" s="3"/>
      <c r="G33" s="3"/>
      <c r="H33" s="3"/>
    </row>
    <row r="34" ht="39.75" customHeight="1">
      <c r="A34" s="22" t="s">
        <v>683</v>
      </c>
      <c r="B34" s="95">
        <v>46295</v>
      </c>
      <c r="C34" s="22" t="s">
        <v>684</v>
      </c>
      <c r="D34" s="22" t="s">
        <v>685</v>
      </c>
      <c r="E34" s="96" t="s">
        <v>686</v>
      </c>
      <c r="F34" s="3"/>
      <c r="G34" s="3"/>
      <c r="H34" s="3"/>
    </row>
    <row r="35" ht="39.75" customHeight="1">
      <c r="A35" s="22" t="s">
        <v>687</v>
      </c>
      <c r="B35" s="95">
        <v>46310</v>
      </c>
      <c r="C35" s="22" t="s">
        <v>688</v>
      </c>
      <c r="D35" s="22" t="s">
        <v>689</v>
      </c>
      <c r="E35" s="96" t="s">
        <v>690</v>
      </c>
      <c r="F35" s="3"/>
      <c r="G35" s="3"/>
      <c r="H35" s="3"/>
    </row>
    <row r="36" ht="27.75" customHeight="1">
      <c r="A36" s="22" t="s">
        <v>691</v>
      </c>
      <c r="B36" s="95">
        <v>46288</v>
      </c>
      <c r="C36" s="22" t="s">
        <v>640</v>
      </c>
      <c r="D36" s="22" t="s">
        <v>692</v>
      </c>
      <c r="E36" s="96" t="s">
        <v>693</v>
      </c>
      <c r="F36" s="3"/>
      <c r="G36" s="3"/>
      <c r="H36" s="3"/>
    </row>
    <row r="37" ht="27.75" customHeight="1">
      <c r="A37" s="22" t="s">
        <v>694</v>
      </c>
      <c r="B37" s="95">
        <v>46287</v>
      </c>
      <c r="C37" s="22" t="s">
        <v>695</v>
      </c>
      <c r="D37" s="22" t="s">
        <v>696</v>
      </c>
      <c r="E37" s="96" t="s">
        <v>697</v>
      </c>
      <c r="F37" s="3"/>
      <c r="G37" s="3"/>
      <c r="H37" s="3"/>
    </row>
    <row r="38" ht="51.75" customHeight="1">
      <c r="A38" s="22" t="s">
        <v>698</v>
      </c>
      <c r="B38" s="95">
        <v>46309</v>
      </c>
      <c r="C38" s="22" t="s">
        <v>699</v>
      </c>
      <c r="D38" s="22" t="s">
        <v>669</v>
      </c>
      <c r="E38" s="96" t="s">
        <v>700</v>
      </c>
      <c r="F38" s="3"/>
      <c r="G38" s="3"/>
      <c r="H38" s="3"/>
    </row>
    <row r="39" ht="27.75" customHeight="1">
      <c r="A39" s="22" t="s">
        <v>701</v>
      </c>
      <c r="B39" s="95">
        <v>46289</v>
      </c>
      <c r="C39" s="22" t="s">
        <v>702</v>
      </c>
      <c r="D39" s="22" t="s">
        <v>703</v>
      </c>
      <c r="E39" s="96" t="s">
        <v>704</v>
      </c>
      <c r="F39" s="3"/>
      <c r="G39" s="3"/>
      <c r="H39" s="3"/>
    </row>
    <row r="40" ht="32.25" customHeight="1">
      <c r="A40" s="22" t="s">
        <v>705</v>
      </c>
      <c r="B40" s="95">
        <v>46311</v>
      </c>
      <c r="C40" s="22" t="s">
        <v>706</v>
      </c>
      <c r="D40" s="22" t="s">
        <v>707</v>
      </c>
      <c r="E40" s="96" t="s">
        <v>708</v>
      </c>
      <c r="F40" s="3"/>
      <c r="G40" s="3"/>
      <c r="H40" s="3"/>
    </row>
    <row r="41" ht="27.75" customHeight="1">
      <c r="A41" s="22" t="s">
        <v>709</v>
      </c>
      <c r="B41" s="95">
        <v>46309</v>
      </c>
      <c r="C41" s="22" t="s">
        <v>640</v>
      </c>
      <c r="D41" s="22" t="s">
        <v>710</v>
      </c>
      <c r="E41" s="96" t="s">
        <v>711</v>
      </c>
      <c r="F41" s="3"/>
      <c r="G41" s="3"/>
      <c r="H41" s="3"/>
    </row>
    <row r="42" ht="15" customHeight="1">
      <c r="A42" s="22"/>
      <c r="B42" s="3"/>
      <c r="C42" s="3"/>
      <c r="D42" s="3"/>
      <c r="E42" s="3"/>
      <c r="F42" s="3"/>
      <c r="G42" s="3"/>
      <c r="H42" s="3"/>
    </row>
    <row r="43" ht="23.25" customHeight="1">
      <c r="A43" s="21" t="s">
        <v>712</v>
      </c>
      <c r="B43" s="7"/>
      <c r="C43" s="7"/>
      <c r="D43" s="7"/>
      <c r="E43" s="7"/>
      <c r="F43" s="7"/>
      <c r="G43" s="7"/>
      <c r="H43" s="3"/>
    </row>
    <row r="44" ht="52.5" customHeight="1">
      <c r="A44" s="21" t="s">
        <v>713</v>
      </c>
      <c r="B44" s="7"/>
      <c r="C44" s="7"/>
      <c r="D44" s="7"/>
      <c r="E44" s="7"/>
      <c r="F44" s="7"/>
      <c r="G44" s="7"/>
      <c r="H44" s="3"/>
    </row>
    <row r="45" ht="93" customHeight="1">
      <c r="A45" s="21" t="s">
        <v>714</v>
      </c>
      <c r="B45" s="7"/>
      <c r="C45" s="7"/>
      <c r="D45" s="7"/>
      <c r="E45" s="7"/>
      <c r="F45" s="7"/>
      <c r="G45" s="7"/>
      <c r="H45" s="3"/>
    </row>
    <row r="46" ht="32.25" customHeight="1">
      <c r="A46" s="21" t="s">
        <v>715</v>
      </c>
      <c r="B46" s="7"/>
      <c r="C46" s="7"/>
      <c r="D46" s="7"/>
      <c r="E46" s="7"/>
      <c r="F46" s="7"/>
      <c r="G46" s="7"/>
      <c r="H46" s="3"/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07A4332B-7FE8-5654-12D8-B8B4363FC718}" mc:Ignorable="x14ac xr xr2 xr3">
  <dimension ref="A1:CV10000"/>
  <sheetViews>
    <sheetView showGridLines="0" topLeftCell="A1" workbookViewId="0">
      <selection activeCell="A1" sqref="A1"/>
    </sheetView>
  </sheetViews>
  <sheetFormatPr defaultRowHeight="15" defaultColWidth="8.421875" customHeight="1"/>
  <cols>
    <col min="1" max="1" width="32.00390625" customWidth="1"/>
    <col min="2" max="8" width="12.00390625" customWidth="1"/>
    <col min="9" max="9" width="4.00390625" customWidth="1"/>
    <col min="10" max="10" width="60.00390625" customWidth="1"/>
  </cols>
  <sheetData>
    <row r="1" ht="15" customHeight="1">
      <c r="A1" s="5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" customHeight="1">
      <c r="A2" s="53" t="s">
        <v>716</v>
      </c>
      <c r="B2" s="3"/>
      <c r="C2" s="3"/>
      <c r="D2" s="3"/>
      <c r="E2" s="3"/>
      <c r="F2" s="3"/>
      <c r="G2" s="3"/>
      <c r="H2" s="3"/>
      <c r="I2" s="3"/>
      <c r="J2" s="3"/>
    </row>
    <row r="3" ht="15" customHeight="1">
      <c r="A3" s="54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15" customHeight="1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10" t="s">
        <v>9</v>
      </c>
      <c r="H4" s="8"/>
      <c r="I4" s="8"/>
      <c r="J4" s="11" t="s">
        <v>10</v>
      </c>
    </row>
    <row r="5" ht="15" customHeight="1">
      <c r="A5" s="12" t="s">
        <v>11</v>
      </c>
      <c r="B5" s="13">
        <v>45930</v>
      </c>
      <c r="C5" s="13">
        <v>46022</v>
      </c>
      <c r="D5" s="13">
        <v>46022</v>
      </c>
      <c r="E5" s="13">
        <v>46112</v>
      </c>
      <c r="F5" s="13">
        <v>46203</v>
      </c>
      <c r="G5" s="14">
        <v>46295</v>
      </c>
      <c r="H5" s="12"/>
      <c r="I5" s="12"/>
      <c r="J5" s="12"/>
    </row>
    <row r="6" ht="15" customHeight="1">
      <c r="A6" s="15" t="s">
        <v>12</v>
      </c>
      <c r="B6" s="16">
        <v>92</v>
      </c>
      <c r="C6" s="16">
        <v>92</v>
      </c>
      <c r="D6" s="16">
        <v>365</v>
      </c>
      <c r="E6" s="16">
        <v>90</v>
      </c>
      <c r="F6" s="16">
        <v>91</v>
      </c>
      <c r="G6" s="17">
        <v>92</v>
      </c>
      <c r="H6" s="15"/>
      <c r="I6" s="15"/>
      <c r="J6" s="15"/>
    </row>
    <row r="7" ht="15" customHeight="1">
      <c r="A7" s="18" t="s">
        <v>552</v>
      </c>
      <c r="B7" s="3"/>
      <c r="C7" s="3"/>
      <c r="D7" s="3"/>
      <c r="E7" s="3"/>
      <c r="F7" s="3"/>
      <c r="G7" s="3"/>
      <c r="H7" s="3"/>
      <c r="I7" s="3"/>
      <c r="J7" s="3"/>
    </row>
    <row r="8" ht="15" customHeight="1">
      <c r="A8" s="55" t="s">
        <v>717</v>
      </c>
      <c r="B8" s="20"/>
      <c r="C8" s="20"/>
      <c r="D8" s="20"/>
      <c r="E8" s="20"/>
      <c r="F8" s="20"/>
      <c r="G8" s="20"/>
      <c r="H8" s="3"/>
      <c r="I8" s="3"/>
      <c r="J8" s="3"/>
    </row>
    <row r="9" ht="15" customHeight="1">
      <c r="A9" s="24" t="s">
        <v>718</v>
      </c>
      <c r="B9" s="25" t="s">
        <v>719</v>
      </c>
      <c r="C9" s="25"/>
      <c r="D9" s="25"/>
      <c r="E9" s="25"/>
      <c r="F9" s="25"/>
      <c r="G9" s="25"/>
      <c r="H9" s="25"/>
      <c r="I9" s="24"/>
      <c r="J9" s="24"/>
    </row>
    <row r="10" ht="15" customHeight="1">
      <c r="A10" s="22" t="s">
        <v>720</v>
      </c>
      <c r="B10" s="23" t="s">
        <v>721</v>
      </c>
      <c r="C10" s="23"/>
      <c r="D10" s="23"/>
      <c r="E10" s="23"/>
      <c r="F10" s="23"/>
      <c r="G10" s="23"/>
      <c r="H10" s="3"/>
      <c r="I10" s="3"/>
      <c r="J10" s="3"/>
    </row>
    <row r="11" ht="15" customHeight="1">
      <c r="A11" s="22" t="s">
        <v>722</v>
      </c>
      <c r="B11" s="23" t="s">
        <v>723</v>
      </c>
      <c r="C11" s="23"/>
      <c r="D11" s="23"/>
      <c r="E11" s="23"/>
      <c r="F11" s="23"/>
      <c r="G11" s="23"/>
      <c r="H11" s="3"/>
      <c r="I11" s="3"/>
      <c r="J11" s="3"/>
    </row>
    <row r="12" ht="15" customHeight="1">
      <c r="A12" s="22" t="s">
        <v>724</v>
      </c>
      <c r="B12" s="23" t="s">
        <v>725</v>
      </c>
      <c r="C12" s="23"/>
      <c r="D12" s="23"/>
      <c r="E12" s="23"/>
      <c r="F12" s="23"/>
      <c r="G12" s="23"/>
      <c r="H12" s="3"/>
      <c r="I12" s="3"/>
      <c r="J12" s="3"/>
    </row>
    <row r="13" ht="15" customHeight="1">
      <c r="A13" s="22" t="s">
        <v>726</v>
      </c>
      <c r="B13" s="97">
        <v>36437</v>
      </c>
      <c r="C13" s="23"/>
      <c r="D13" s="23"/>
      <c r="E13" s="23"/>
      <c r="F13" s="23"/>
      <c r="G13" s="23"/>
      <c r="H13" s="3"/>
      <c r="I13" s="3"/>
      <c r="J13" s="3"/>
    </row>
    <row r="14" ht="15" customHeight="1">
      <c r="A14" s="22" t="s">
        <v>727</v>
      </c>
      <c r="B14" s="23" t="s">
        <v>728</v>
      </c>
      <c r="C14" s="23"/>
      <c r="D14" s="23"/>
      <c r="E14" s="23"/>
      <c r="F14" s="23"/>
      <c r="G14" s="23"/>
      <c r="H14" s="3"/>
      <c r="I14" s="3"/>
      <c r="J14" s="3"/>
    </row>
    <row r="15" ht="15" customHeight="1">
      <c r="A15" s="22" t="s">
        <v>729</v>
      </c>
      <c r="B15" s="23" t="s">
        <v>730</v>
      </c>
      <c r="C15" s="23"/>
      <c r="D15" s="23"/>
      <c r="E15" s="23"/>
      <c r="F15" s="23"/>
      <c r="G15" s="23"/>
      <c r="H15" s="3"/>
      <c r="I15" s="3"/>
      <c r="J15" s="3"/>
    </row>
    <row r="16" ht="15" customHeight="1">
      <c r="A16" s="22" t="s">
        <v>731</v>
      </c>
      <c r="B16" s="23" t="s">
        <v>732</v>
      </c>
      <c r="C16" s="23"/>
      <c r="D16" s="23"/>
      <c r="E16" s="23"/>
      <c r="F16" s="23"/>
      <c r="G16" s="23"/>
      <c r="H16" s="3"/>
      <c r="I16" s="3"/>
      <c r="J16" s="3"/>
    </row>
    <row r="17" ht="15" customHeight="1">
      <c r="A17" s="22" t="s">
        <v>733</v>
      </c>
      <c r="B17" s="50">
        <v>46295</v>
      </c>
      <c r="C17" s="23"/>
      <c r="D17" s="23"/>
      <c r="E17" s="23"/>
      <c r="F17" s="23"/>
      <c r="G17" s="23"/>
      <c r="H17" s="3"/>
      <c r="I17" s="3"/>
      <c r="J17" s="3"/>
    </row>
    <row r="18" ht="15" customHeight="1">
      <c r="A18" s="22" t="s">
        <v>734</v>
      </c>
      <c r="B18" s="50">
        <v>46316</v>
      </c>
      <c r="C18" s="23"/>
      <c r="D18" s="23"/>
      <c r="E18" s="23"/>
      <c r="F18" s="23"/>
      <c r="G18" s="23"/>
      <c r="H18" s="3"/>
      <c r="I18" s="3"/>
      <c r="J18" s="3"/>
    </row>
    <row r="19" ht="15" customHeight="1">
      <c r="A19" s="22" t="s">
        <v>735</v>
      </c>
      <c r="B19" s="23" t="s">
        <v>736</v>
      </c>
      <c r="C19" s="23"/>
      <c r="D19" s="23"/>
      <c r="E19" s="23"/>
      <c r="F19" s="23"/>
      <c r="G19" s="23"/>
      <c r="H19" s="3"/>
      <c r="I19" s="3"/>
      <c r="J19" s="3"/>
    </row>
    <row r="20" ht="15" customHeight="1">
      <c r="A20" s="22" t="s">
        <v>737</v>
      </c>
      <c r="B20" s="97">
        <v>11</v>
      </c>
      <c r="C20" s="23"/>
      <c r="D20" s="23"/>
      <c r="E20" s="23"/>
      <c r="F20" s="23"/>
      <c r="G20" s="23"/>
      <c r="H20" s="3"/>
      <c r="I20" s="3"/>
      <c r="J20" s="3"/>
    </row>
    <row r="21" ht="15" customHeight="1">
      <c r="A21" s="22" t="s">
        <v>738</v>
      </c>
      <c r="B21" s="97">
        <v>11</v>
      </c>
      <c r="C21" s="23"/>
      <c r="D21" s="23"/>
      <c r="E21" s="23"/>
      <c r="F21" s="23"/>
      <c r="G21" s="23"/>
      <c r="H21" s="3"/>
      <c r="I21" s="3"/>
      <c r="J21" s="3"/>
    </row>
    <row r="22" ht="15" customHeight="1">
      <c r="A22" s="22" t="s">
        <v>739</v>
      </c>
      <c r="B22" s="23"/>
      <c r="C22" s="23"/>
      <c r="D22" s="23"/>
      <c r="E22" s="23"/>
      <c r="F22" s="23"/>
      <c r="G22" s="23"/>
      <c r="H22" s="3"/>
      <c r="I22" s="3"/>
      <c r="J22" s="18" t="s">
        <v>740</v>
      </c>
    </row>
    <row r="23" ht="15" customHeight="1">
      <c r="A23" s="22" t="s">
        <v>741</v>
      </c>
      <c r="B23" s="97">
        <v>2.74</v>
      </c>
      <c r="C23" s="23"/>
      <c r="D23" s="23"/>
      <c r="E23" s="23"/>
      <c r="F23" s="23"/>
      <c r="G23" s="23"/>
      <c r="H23" s="3"/>
      <c r="I23" s="3"/>
      <c r="J23" s="3"/>
    </row>
    <row r="24" ht="15" customHeight="1">
      <c r="A24" s="22" t="s">
        <v>742</v>
      </c>
      <c r="B24" s="97">
        <v>2.75</v>
      </c>
      <c r="C24" s="23"/>
      <c r="D24" s="23"/>
      <c r="E24" s="23"/>
      <c r="F24" s="23"/>
      <c r="G24" s="23"/>
      <c r="H24" s="3"/>
      <c r="I24" s="3"/>
      <c r="J24" s="3"/>
    </row>
    <row r="25" ht="15" customHeight="1">
      <c r="A25" s="22" t="s">
        <v>743</v>
      </c>
      <c r="B25" s="97">
        <v>2.82</v>
      </c>
      <c r="C25" s="23"/>
      <c r="D25" s="23"/>
      <c r="E25" s="23"/>
      <c r="F25" s="23"/>
      <c r="G25" s="23"/>
      <c r="H25" s="3"/>
      <c r="I25" s="3"/>
      <c r="J25" s="3"/>
    </row>
    <row r="26" ht="15" customHeight="1">
      <c r="A26" s="22" t="s">
        <v>744</v>
      </c>
      <c r="B26" s="97">
        <v>2.65</v>
      </c>
      <c r="C26" s="23"/>
      <c r="D26" s="23"/>
      <c r="E26" s="23"/>
      <c r="F26" s="23"/>
      <c r="G26" s="23"/>
      <c r="H26" s="3"/>
      <c r="I26" s="3"/>
      <c r="J26" s="3"/>
    </row>
    <row r="27" ht="15" customHeight="1">
      <c r="A27" s="22" t="s">
        <v>745</v>
      </c>
      <c r="B27" s="97">
        <v>0.05</v>
      </c>
      <c r="C27" s="23"/>
      <c r="D27" s="23"/>
      <c r="E27" s="23"/>
      <c r="F27" s="23"/>
      <c r="G27" s="23"/>
      <c r="H27" s="3"/>
      <c r="I27" s="3"/>
      <c r="J27" s="3"/>
    </row>
    <row r="28" ht="15" customHeight="1">
      <c r="A28" s="22" t="s">
        <v>746</v>
      </c>
      <c r="B28" s="97">
        <v>11</v>
      </c>
      <c r="C28" s="23"/>
      <c r="D28" s="23"/>
      <c r="E28" s="23"/>
      <c r="F28" s="23"/>
      <c r="G28" s="23"/>
      <c r="H28" s="3"/>
      <c r="I28" s="3"/>
      <c r="J28" s="3"/>
    </row>
    <row r="29" ht="15" customHeight="1">
      <c r="A29" s="22" t="s">
        <v>747</v>
      </c>
      <c r="B29" s="23"/>
      <c r="C29" s="23"/>
      <c r="D29" s="23"/>
      <c r="E29" s="23"/>
      <c r="F29" s="23"/>
      <c r="G29" s="23"/>
      <c r="H29" s="3"/>
      <c r="I29" s="3"/>
      <c r="J29" s="18" t="s">
        <v>740</v>
      </c>
    </row>
    <row r="30" ht="15" customHeight="1">
      <c r="A30" s="22" t="s">
        <v>748</v>
      </c>
      <c r="B30" s="23"/>
      <c r="C30" s="23"/>
      <c r="D30" s="23"/>
      <c r="E30" s="23"/>
      <c r="F30" s="23"/>
      <c r="G30" s="23"/>
      <c r="H30" s="3"/>
      <c r="I30" s="3"/>
      <c r="J30" s="18" t="s">
        <v>740</v>
      </c>
    </row>
    <row r="31" ht="15" customHeight="1">
      <c r="A31" s="22" t="s">
        <v>749</v>
      </c>
      <c r="B31" s="23"/>
      <c r="C31" s="23"/>
      <c r="D31" s="23"/>
      <c r="E31" s="23"/>
      <c r="F31" s="23"/>
      <c r="G31" s="23"/>
      <c r="H31" s="3"/>
      <c r="I31" s="3"/>
      <c r="J31" s="18" t="s">
        <v>740</v>
      </c>
    </row>
    <row r="32" ht="15" customHeight="1">
      <c r="A32" s="22" t="s">
        <v>750</v>
      </c>
      <c r="B32" s="97">
        <v>2.52</v>
      </c>
      <c r="C32" s="23"/>
      <c r="D32" s="23"/>
      <c r="E32" s="23"/>
      <c r="F32" s="23"/>
      <c r="G32" s="23"/>
      <c r="H32" s="3"/>
      <c r="I32" s="3"/>
      <c r="J32" s="3"/>
    </row>
    <row r="33" ht="15" customHeight="1">
      <c r="A33" s="22" t="s">
        <v>751</v>
      </c>
      <c r="B33" s="97">
        <v>2.45</v>
      </c>
      <c r="C33" s="23"/>
      <c r="D33" s="23"/>
      <c r="E33" s="23"/>
      <c r="F33" s="23"/>
      <c r="G33" s="23"/>
      <c r="H33" s="3"/>
      <c r="I33" s="3"/>
      <c r="J33" s="3"/>
    </row>
    <row r="34" ht="15" customHeight="1">
      <c r="A34" s="22" t="s">
        <v>752</v>
      </c>
      <c r="B34" s="97">
        <v>2.82</v>
      </c>
      <c r="C34" s="23"/>
      <c r="D34" s="23"/>
      <c r="E34" s="23"/>
      <c r="F34" s="23"/>
      <c r="G34" s="23"/>
      <c r="H34" s="3"/>
      <c r="I34" s="3"/>
      <c r="J34" s="3"/>
    </row>
    <row r="35" ht="15" customHeight="1">
      <c r="A35" s="22" t="s">
        <v>753</v>
      </c>
      <c r="B35" s="97">
        <v>2.27</v>
      </c>
      <c r="C35" s="23"/>
      <c r="D35" s="23"/>
      <c r="E35" s="23"/>
      <c r="F35" s="23"/>
      <c r="G35" s="23"/>
      <c r="H35" s="3"/>
      <c r="I35" s="3"/>
      <c r="J35" s="3"/>
    </row>
    <row r="36" ht="15" customHeight="1">
      <c r="A36" s="22" t="s">
        <v>754</v>
      </c>
      <c r="B36" s="97">
        <v>0.2</v>
      </c>
      <c r="C36" s="23"/>
      <c r="D36" s="23"/>
      <c r="E36" s="23"/>
      <c r="F36" s="23"/>
      <c r="G36" s="23"/>
      <c r="H36" s="3"/>
      <c r="I36" s="3"/>
      <c r="J36" s="3"/>
    </row>
    <row r="37" ht="15" customHeight="1">
      <c r="A37" s="22" t="s">
        <v>755</v>
      </c>
      <c r="B37" s="97">
        <v>6</v>
      </c>
      <c r="C37" s="23"/>
      <c r="D37" s="23"/>
      <c r="E37" s="23"/>
      <c r="F37" s="23"/>
      <c r="G37" s="23"/>
      <c r="H37" s="3"/>
      <c r="I37" s="3"/>
      <c r="J37" s="3"/>
    </row>
    <row r="38" ht="15" customHeight="1">
      <c r="A38" s="22" t="s">
        <v>756</v>
      </c>
      <c r="B38" s="23"/>
      <c r="C38" s="23"/>
      <c r="D38" s="23"/>
      <c r="E38" s="23"/>
      <c r="F38" s="23"/>
      <c r="G38" s="23"/>
      <c r="H38" s="3"/>
      <c r="I38" s="3"/>
      <c r="J38" s="18" t="s">
        <v>740</v>
      </c>
    </row>
    <row r="39" ht="15" customHeight="1">
      <c r="A39" s="22" t="s">
        <v>757</v>
      </c>
      <c r="B39" s="23"/>
      <c r="C39" s="23"/>
      <c r="D39" s="23"/>
      <c r="E39" s="23"/>
      <c r="F39" s="23"/>
      <c r="G39" s="23"/>
      <c r="H39" s="3"/>
      <c r="I39" s="3"/>
      <c r="J39" s="18" t="s">
        <v>740</v>
      </c>
    </row>
    <row r="40" ht="15" customHeight="1">
      <c r="A40" s="22" t="s">
        <v>758</v>
      </c>
      <c r="B40" s="23"/>
      <c r="C40" s="23"/>
      <c r="D40" s="23"/>
      <c r="E40" s="23"/>
      <c r="F40" s="23"/>
      <c r="G40" s="23"/>
      <c r="H40" s="3"/>
      <c r="I40" s="3"/>
      <c r="J40" s="18" t="s">
        <v>740</v>
      </c>
    </row>
    <row r="41" ht="15" customHeight="1">
      <c r="A41" s="22" t="s">
        <v>759</v>
      </c>
      <c r="B41" s="97">
        <v>3196.68</v>
      </c>
      <c r="C41" s="23"/>
      <c r="D41" s="23"/>
      <c r="E41" s="23"/>
      <c r="F41" s="23"/>
      <c r="G41" s="23"/>
      <c r="H41" s="3"/>
      <c r="I41" s="3"/>
      <c r="J41" s="3"/>
    </row>
    <row r="42" ht="15" customHeight="1">
      <c r="A42" s="22" t="s">
        <v>760</v>
      </c>
      <c r="B42" s="97">
        <v>3195</v>
      </c>
      <c r="C42" s="23"/>
      <c r="D42" s="23"/>
      <c r="E42" s="23"/>
      <c r="F42" s="23"/>
      <c r="G42" s="23"/>
      <c r="H42" s="3"/>
      <c r="I42" s="3"/>
      <c r="J42" s="3"/>
    </row>
    <row r="43" ht="15" customHeight="1">
      <c r="A43" s="22" t="s">
        <v>761</v>
      </c>
      <c r="B43" s="97">
        <v>3235.6</v>
      </c>
      <c r="C43" s="23"/>
      <c r="D43" s="23"/>
      <c r="E43" s="23"/>
      <c r="F43" s="23"/>
      <c r="G43" s="23"/>
      <c r="H43" s="3"/>
      <c r="I43" s="3"/>
      <c r="J43" s="3"/>
    </row>
    <row r="44" ht="15" customHeight="1">
      <c r="A44" s="22" t="s">
        <v>762</v>
      </c>
      <c r="B44" s="97">
        <v>3154</v>
      </c>
      <c r="C44" s="23"/>
      <c r="D44" s="23"/>
      <c r="E44" s="23"/>
      <c r="F44" s="23"/>
      <c r="G44" s="23"/>
      <c r="H44" s="3"/>
      <c r="I44" s="3"/>
      <c r="J44" s="3"/>
    </row>
    <row r="45" ht="15" customHeight="1">
      <c r="A45" s="22" t="s">
        <v>763</v>
      </c>
      <c r="B45" s="97">
        <v>24.01</v>
      </c>
      <c r="C45" s="23"/>
      <c r="D45" s="23"/>
      <c r="E45" s="23"/>
      <c r="F45" s="23"/>
      <c r="G45" s="23"/>
      <c r="H45" s="3"/>
      <c r="I45" s="3"/>
      <c r="J45" s="3"/>
    </row>
    <row r="46" ht="15" customHeight="1">
      <c r="A46" s="22" t="s">
        <v>764</v>
      </c>
      <c r="B46" s="97">
        <v>10</v>
      </c>
      <c r="C46" s="23"/>
      <c r="D46" s="23"/>
      <c r="E46" s="23"/>
      <c r="F46" s="23"/>
      <c r="G46" s="23"/>
      <c r="H46" s="3"/>
      <c r="I46" s="3"/>
      <c r="J46" s="3"/>
    </row>
    <row r="47" ht="15" customHeight="1">
      <c r="A47" s="22" t="s">
        <v>765</v>
      </c>
      <c r="B47" s="23"/>
      <c r="C47" s="23"/>
      <c r="D47" s="23"/>
      <c r="E47" s="23"/>
      <c r="F47" s="23"/>
      <c r="G47" s="23"/>
      <c r="H47" s="3"/>
      <c r="I47" s="3"/>
      <c r="J47" s="18" t="s">
        <v>740</v>
      </c>
    </row>
    <row r="48" ht="15" customHeight="1">
      <c r="A48" s="22" t="s">
        <v>766</v>
      </c>
      <c r="B48" s="23"/>
      <c r="C48" s="23"/>
      <c r="D48" s="23"/>
      <c r="E48" s="23"/>
      <c r="F48" s="23"/>
      <c r="G48" s="23"/>
      <c r="H48" s="3"/>
      <c r="I48" s="3"/>
      <c r="J48" s="18" t="s">
        <v>740</v>
      </c>
    </row>
    <row r="49" ht="15" customHeight="1">
      <c r="A49" s="22" t="s">
        <v>767</v>
      </c>
      <c r="B49" s="23"/>
      <c r="C49" s="23"/>
      <c r="D49" s="23"/>
      <c r="E49" s="23"/>
      <c r="F49" s="23"/>
      <c r="G49" s="23"/>
      <c r="H49" s="3"/>
      <c r="I49" s="3"/>
      <c r="J49" s="18" t="s">
        <v>740</v>
      </c>
    </row>
    <row r="50" ht="15" customHeight="1">
      <c r="A50" s="22" t="s">
        <v>768</v>
      </c>
      <c r="B50" s="97">
        <v>764.24</v>
      </c>
      <c r="C50" s="23"/>
      <c r="D50" s="23"/>
      <c r="E50" s="23"/>
      <c r="F50" s="23"/>
      <c r="G50" s="23"/>
      <c r="H50" s="3"/>
      <c r="I50" s="3"/>
      <c r="J50" s="3"/>
    </row>
    <row r="51" ht="15" customHeight="1">
      <c r="A51" s="22" t="s">
        <v>769</v>
      </c>
      <c r="B51" s="97">
        <v>700.08</v>
      </c>
      <c r="C51" s="23"/>
      <c r="D51" s="23"/>
      <c r="E51" s="23"/>
      <c r="F51" s="23"/>
      <c r="G51" s="23"/>
      <c r="H51" s="3"/>
      <c r="I51" s="3"/>
      <c r="J51" s="3"/>
    </row>
    <row r="52" ht="15" customHeight="1">
      <c r="A52" s="22" t="s">
        <v>770</v>
      </c>
      <c r="B52" s="97">
        <v>625.75</v>
      </c>
      <c r="C52" s="23"/>
      <c r="D52" s="23"/>
      <c r="E52" s="23"/>
      <c r="F52" s="23"/>
      <c r="G52" s="23"/>
      <c r="H52" s="3"/>
      <c r="I52" s="3"/>
      <c r="J52" s="3"/>
    </row>
    <row r="53" ht="15" customHeight="1">
      <c r="A53" s="22" t="s">
        <v>771</v>
      </c>
      <c r="B53" s="97">
        <v>570.42</v>
      </c>
      <c r="C53" s="23"/>
      <c r="D53" s="23"/>
      <c r="E53" s="23"/>
      <c r="F53" s="23"/>
      <c r="G53" s="23"/>
      <c r="H53" s="3"/>
      <c r="I53" s="3"/>
      <c r="J53" s="3"/>
    </row>
    <row r="54" ht="15" customHeight="1">
      <c r="A54" s="22" t="s">
        <v>772</v>
      </c>
      <c r="B54" s="97">
        <v>463.87</v>
      </c>
      <c r="C54" s="23"/>
      <c r="D54" s="23"/>
      <c r="E54" s="23"/>
      <c r="F54" s="23"/>
      <c r="G54" s="23"/>
      <c r="H54" s="3"/>
      <c r="I54" s="3"/>
      <c r="J54" s="3"/>
    </row>
    <row r="55" ht="15" customHeight="1">
      <c r="A55" s="22" t="s">
        <v>773</v>
      </c>
      <c r="B55" s="97">
        <v>443.65</v>
      </c>
      <c r="C55" s="23"/>
      <c r="D55" s="23"/>
      <c r="E55" s="23"/>
      <c r="F55" s="23"/>
      <c r="G55" s="23"/>
      <c r="H55" s="3"/>
      <c r="I55" s="3"/>
      <c r="J55" s="3"/>
    </row>
    <row r="56" ht="15" customHeight="1">
      <c r="A56" s="22" t="s">
        <v>774</v>
      </c>
      <c r="B56" s="23"/>
      <c r="C56" s="23"/>
      <c r="D56" s="23"/>
      <c r="E56" s="23"/>
      <c r="F56" s="23"/>
      <c r="G56" s="23"/>
      <c r="H56" s="3"/>
      <c r="I56" s="3"/>
      <c r="J56" s="18" t="s">
        <v>740</v>
      </c>
    </row>
    <row r="57" ht="15" customHeight="1">
      <c r="A57" s="22" t="s">
        <v>775</v>
      </c>
      <c r="B57" s="23"/>
      <c r="C57" s="23"/>
      <c r="D57" s="23"/>
      <c r="E57" s="23"/>
      <c r="F57" s="23"/>
      <c r="G57" s="23"/>
      <c r="H57" s="3"/>
      <c r="I57" s="3"/>
      <c r="J57" s="18" t="s">
        <v>740</v>
      </c>
    </row>
    <row r="58" ht="15" customHeight="1">
      <c r="A58" s="22" t="s">
        <v>776</v>
      </c>
      <c r="B58" s="97">
        <v>139</v>
      </c>
      <c r="C58" s="23"/>
      <c r="D58" s="23"/>
      <c r="E58" s="23"/>
      <c r="F58" s="23"/>
      <c r="G58" s="23"/>
      <c r="H58" s="3"/>
      <c r="I58" s="3"/>
      <c r="J58" s="3"/>
    </row>
    <row r="59" ht="15" customHeight="1">
      <c r="A59" s="22" t="s">
        <v>777</v>
      </c>
      <c r="B59" s="23"/>
      <c r="C59" s="23"/>
      <c r="D59" s="23"/>
      <c r="E59" s="23"/>
      <c r="F59" s="23"/>
      <c r="G59" s="23"/>
      <c r="H59" s="3"/>
      <c r="I59" s="3"/>
      <c r="J59" s="18" t="s">
        <v>740</v>
      </c>
    </row>
    <row r="60" ht="15" customHeight="1">
      <c r="A60" s="22" t="s">
        <v>778</v>
      </c>
      <c r="B60" s="23"/>
      <c r="C60" s="23"/>
      <c r="D60" s="23"/>
      <c r="E60" s="23"/>
      <c r="F60" s="23"/>
      <c r="G60" s="23"/>
      <c r="H60" s="3"/>
      <c r="I60" s="3"/>
      <c r="J60" s="18" t="s">
        <v>740</v>
      </c>
    </row>
    <row r="61" ht="15" customHeight="1">
      <c r="A61" s="22" t="s">
        <v>779</v>
      </c>
      <c r="B61" s="23"/>
      <c r="C61" s="23"/>
      <c r="D61" s="23"/>
      <c r="E61" s="23"/>
      <c r="F61" s="23"/>
      <c r="G61" s="23"/>
      <c r="H61" s="3"/>
      <c r="I61" s="3"/>
      <c r="J61" s="18" t="s">
        <v>740</v>
      </c>
    </row>
    <row r="62" ht="15" customHeight="1">
      <c r="A62" s="22" t="s">
        <v>780</v>
      </c>
      <c r="B62" s="97">
        <v>-74.66</v>
      </c>
      <c r="C62" s="23"/>
      <c r="D62" s="23"/>
      <c r="E62" s="23"/>
      <c r="F62" s="23"/>
      <c r="G62" s="23"/>
      <c r="H62" s="3"/>
      <c r="I62" s="3"/>
      <c r="J62" s="3"/>
    </row>
    <row r="63" ht="15" customHeight="1">
      <c r="A63" s="22" t="s">
        <v>781</v>
      </c>
      <c r="B63" s="23"/>
      <c r="C63" s="23"/>
      <c r="D63" s="23"/>
      <c r="E63" s="23"/>
      <c r="F63" s="23"/>
      <c r="G63" s="23"/>
      <c r="H63" s="3"/>
      <c r="I63" s="3"/>
      <c r="J63" s="18" t="s">
        <v>740</v>
      </c>
    </row>
    <row r="64" ht="15" customHeight="1">
      <c r="A64" s="22" t="s">
        <v>782</v>
      </c>
      <c r="B64" s="23"/>
      <c r="C64" s="23"/>
      <c r="D64" s="23"/>
      <c r="E64" s="23"/>
      <c r="F64" s="23"/>
      <c r="G64" s="23"/>
      <c r="H64" s="3"/>
      <c r="I64" s="3"/>
      <c r="J64" s="18" t="s">
        <v>740</v>
      </c>
    </row>
    <row r="65" ht="15" customHeight="1">
      <c r="A65" s="22" t="s">
        <v>783</v>
      </c>
      <c r="B65" s="23"/>
      <c r="C65" s="23"/>
      <c r="D65" s="23"/>
      <c r="E65" s="23"/>
      <c r="F65" s="23"/>
      <c r="G65" s="23"/>
      <c r="H65" s="3"/>
      <c r="I65" s="3"/>
      <c r="J65" s="18" t="s">
        <v>740</v>
      </c>
    </row>
    <row r="66" ht="15" customHeight="1">
      <c r="A66" s="22" t="s">
        <v>784</v>
      </c>
      <c r="B66" s="97">
        <v>330</v>
      </c>
      <c r="C66" s="23"/>
      <c r="D66" s="23"/>
      <c r="E66" s="23"/>
      <c r="F66" s="23"/>
      <c r="G66" s="23"/>
      <c r="H66" s="3"/>
      <c r="I66" s="3"/>
      <c r="J66" s="3"/>
    </row>
    <row r="67" ht="15" customHeight="1">
      <c r="A67" s="22" t="s">
        <v>785</v>
      </c>
      <c r="B67" s="97">
        <v>334</v>
      </c>
      <c r="C67" s="23"/>
      <c r="D67" s="23"/>
      <c r="E67" s="23"/>
      <c r="F67" s="23"/>
      <c r="G67" s="23"/>
      <c r="H67" s="3"/>
      <c r="I67" s="3"/>
      <c r="J67" s="3"/>
    </row>
    <row r="68" ht="15" customHeight="1">
      <c r="A68" s="22" t="s">
        <v>786</v>
      </c>
      <c r="B68" s="97">
        <v>355</v>
      </c>
      <c r="C68" s="23"/>
      <c r="D68" s="23"/>
      <c r="E68" s="23"/>
      <c r="F68" s="23"/>
      <c r="G68" s="23"/>
      <c r="H68" s="3"/>
      <c r="I68" s="3"/>
      <c r="J68" s="3"/>
    </row>
    <row r="69" ht="15" customHeight="1">
      <c r="A69" s="22" t="s">
        <v>787</v>
      </c>
      <c r="B69" s="97">
        <v>292</v>
      </c>
      <c r="C69" s="23"/>
      <c r="D69" s="23"/>
      <c r="E69" s="23"/>
      <c r="F69" s="23"/>
      <c r="G69" s="23"/>
      <c r="H69" s="3"/>
      <c r="I69" s="3"/>
      <c r="J69" s="3"/>
    </row>
    <row r="70" ht="15" customHeight="1">
      <c r="A70" s="22" t="s">
        <v>788</v>
      </c>
      <c r="B70" s="97">
        <v>17.9</v>
      </c>
      <c r="C70" s="23"/>
      <c r="D70" s="23"/>
      <c r="E70" s="23"/>
      <c r="F70" s="23"/>
      <c r="G70" s="23"/>
      <c r="H70" s="3"/>
      <c r="I70" s="3"/>
      <c r="J70" s="3"/>
    </row>
    <row r="71" ht="15" customHeight="1">
      <c r="A71" s="22" t="s">
        <v>789</v>
      </c>
      <c r="B71" s="97">
        <v>12</v>
      </c>
      <c r="C71" s="23"/>
      <c r="D71" s="23"/>
      <c r="E71" s="23"/>
      <c r="F71" s="23"/>
      <c r="G71" s="23"/>
      <c r="H71" s="3"/>
      <c r="I71" s="3"/>
      <c r="J71" s="3"/>
    </row>
    <row r="72" ht="15" customHeight="1">
      <c r="A72" s="22" t="s">
        <v>790</v>
      </c>
      <c r="B72" s="23" t="s">
        <v>791</v>
      </c>
      <c r="C72" s="23"/>
      <c r="D72" s="23"/>
      <c r="E72" s="23"/>
      <c r="F72" s="23"/>
      <c r="G72" s="23"/>
      <c r="H72" s="3"/>
      <c r="I72" s="3"/>
      <c r="J72" s="3"/>
    </row>
    <row r="73" ht="15" customHeight="1">
      <c r="A73" s="22" t="s">
        <v>792</v>
      </c>
      <c r="B73" s="97">
        <v>1.42</v>
      </c>
      <c r="C73" s="23"/>
      <c r="D73" s="23"/>
      <c r="E73" s="23"/>
      <c r="F73" s="23"/>
      <c r="G73" s="23"/>
      <c r="H73" s="3"/>
      <c r="I73" s="3"/>
      <c r="J73" s="3"/>
    </row>
    <row r="74" ht="15" customHeight="1">
      <c r="A74" s="22" t="s">
        <v>793</v>
      </c>
      <c r="B74" s="97">
        <v>286.82</v>
      </c>
      <c r="C74" s="23"/>
      <c r="D74" s="23"/>
      <c r="E74" s="23"/>
      <c r="F74" s="23"/>
      <c r="G74" s="23"/>
      <c r="H74" s="3"/>
      <c r="I74" s="3"/>
      <c r="J74" s="3"/>
    </row>
    <row r="75" ht="15" customHeight="1">
      <c r="A75" s="22" t="s">
        <v>794</v>
      </c>
      <c r="B75" s="23" t="s">
        <v>795</v>
      </c>
      <c r="C75" s="23"/>
      <c r="D75" s="23"/>
      <c r="E75" s="23"/>
      <c r="F75" s="23"/>
      <c r="G75" s="23"/>
      <c r="H75" s="3"/>
      <c r="I75" s="3"/>
      <c r="J75" s="3"/>
    </row>
    <row r="76" ht="15" customHeight="1">
      <c r="A76" s="22" t="s">
        <v>796</v>
      </c>
      <c r="B76" s="50">
        <v>46313</v>
      </c>
      <c r="C76" s="23"/>
      <c r="D76" s="23"/>
      <c r="E76" s="23"/>
      <c r="F76" s="23"/>
      <c r="G76" s="23"/>
      <c r="H76" s="3"/>
      <c r="I76" s="3"/>
      <c r="J76" s="3"/>
    </row>
    <row r="77" ht="15" customHeight="1">
      <c r="A77" s="22" t="s">
        <v>797</v>
      </c>
      <c r="B77" s="23" t="s">
        <v>798</v>
      </c>
      <c r="C77" s="23"/>
      <c r="D77" s="23"/>
      <c r="E77" s="23"/>
      <c r="F77" s="23"/>
      <c r="G77" s="23"/>
      <c r="H77" s="3"/>
      <c r="I77" s="3"/>
      <c r="J77" s="3"/>
    </row>
    <row r="78" ht="15" customHeight="1">
      <c r="A78" s="22"/>
      <c r="B78" s="3"/>
      <c r="C78" s="3"/>
      <c r="D78" s="3"/>
      <c r="E78" s="3"/>
      <c r="F78" s="3"/>
      <c r="G78" s="3"/>
      <c r="H78" s="3"/>
      <c r="I78" s="3"/>
      <c r="J78" s="3"/>
    </row>
    <row r="79" ht="15" customHeight="1">
      <c r="A79" s="55" t="s">
        <v>799</v>
      </c>
      <c r="B79" s="20"/>
      <c r="C79" s="20"/>
      <c r="D79" s="20"/>
      <c r="E79" s="20"/>
      <c r="F79" s="20"/>
      <c r="G79" s="20"/>
      <c r="H79" s="3"/>
      <c r="I79" s="3"/>
      <c r="J79" s="3"/>
    </row>
    <row r="80" ht="15" customHeight="1">
      <c r="A80" s="22" t="s">
        <v>800</v>
      </c>
      <c r="B80" s="23" t="s">
        <v>601</v>
      </c>
      <c r="C80" s="23"/>
      <c r="D80" s="23"/>
      <c r="E80" s="23"/>
      <c r="F80" s="23"/>
      <c r="G80" s="23"/>
      <c r="H80" s="3"/>
      <c r="I80" s="3"/>
      <c r="J80" s="3"/>
    </row>
    <row r="81" ht="15" customHeight="1">
      <c r="A81" s="22" t="s">
        <v>720</v>
      </c>
      <c r="B81" s="23" t="s">
        <v>721</v>
      </c>
      <c r="C81" s="23"/>
      <c r="D81" s="23"/>
      <c r="E81" s="23"/>
      <c r="F81" s="23"/>
      <c r="G81" s="23"/>
      <c r="H81" s="3"/>
      <c r="I81" s="3"/>
      <c r="J81" s="3"/>
    </row>
    <row r="82" ht="15" customHeight="1">
      <c r="A82" s="22" t="s">
        <v>801</v>
      </c>
      <c r="B82" s="23" t="s">
        <v>723</v>
      </c>
      <c r="C82" s="23"/>
      <c r="D82" s="23"/>
      <c r="E82" s="23"/>
      <c r="F82" s="23"/>
      <c r="G82" s="23"/>
      <c r="H82" s="3"/>
      <c r="I82" s="3"/>
      <c r="J82" s="3"/>
    </row>
    <row r="83" ht="15" customHeight="1">
      <c r="A83" s="22" t="s">
        <v>802</v>
      </c>
      <c r="B83" s="23" t="s">
        <v>732</v>
      </c>
      <c r="C83" s="23"/>
      <c r="D83" s="23"/>
      <c r="E83" s="23"/>
      <c r="F83" s="23"/>
      <c r="G83" s="23"/>
      <c r="H83" s="3"/>
      <c r="I83" s="3"/>
      <c r="J83" s="3"/>
    </row>
    <row r="84" ht="15" customHeight="1">
      <c r="A84" s="22" t="s">
        <v>803</v>
      </c>
      <c r="B84" s="50">
        <v>46295</v>
      </c>
      <c r="C84" s="23"/>
      <c r="D84" s="23"/>
      <c r="E84" s="23"/>
      <c r="F84" s="23"/>
      <c r="G84" s="23"/>
      <c r="H84" s="3"/>
      <c r="I84" s="3"/>
      <c r="J84" s="3"/>
    </row>
    <row r="85" ht="15" customHeight="1">
      <c r="A85" s="22" t="s">
        <v>804</v>
      </c>
      <c r="B85" s="50">
        <v>46313</v>
      </c>
      <c r="C85" s="23"/>
      <c r="D85" s="23"/>
      <c r="E85" s="23"/>
      <c r="F85" s="23"/>
      <c r="G85" s="23"/>
      <c r="H85" s="3"/>
      <c r="I85" s="3"/>
      <c r="J85" s="3"/>
    </row>
    <row r="86" ht="15" customHeight="1">
      <c r="A86" s="22" t="s">
        <v>805</v>
      </c>
      <c r="B86" s="97">
        <v>11</v>
      </c>
      <c r="C86" s="23"/>
      <c r="D86" s="23"/>
      <c r="E86" s="23"/>
      <c r="F86" s="23"/>
      <c r="G86" s="23"/>
      <c r="H86" s="3"/>
      <c r="I86" s="3"/>
      <c r="J86" s="3"/>
    </row>
    <row r="87" ht="15" customHeight="1">
      <c r="A87" s="22" t="s">
        <v>806</v>
      </c>
      <c r="B87" s="97">
        <v>2.74</v>
      </c>
      <c r="C87" s="23"/>
      <c r="D87" s="23"/>
      <c r="E87" s="23"/>
      <c r="F87" s="23"/>
      <c r="G87" s="23"/>
      <c r="H87" s="3"/>
      <c r="I87" s="3"/>
      <c r="J87" s="3"/>
    </row>
    <row r="88" ht="15" customHeight="1">
      <c r="A88" s="22" t="s">
        <v>735</v>
      </c>
      <c r="B88" s="23" t="s">
        <v>807</v>
      </c>
      <c r="C88" s="23"/>
      <c r="D88" s="23"/>
      <c r="E88" s="23"/>
      <c r="F88" s="23"/>
      <c r="G88" s="23"/>
      <c r="H88" s="3"/>
      <c r="I88" s="3"/>
      <c r="J88" s="3"/>
    </row>
    <row r="89" ht="15" customHeight="1">
      <c r="A89" s="22" t="s">
        <v>808</v>
      </c>
      <c r="B89" s="97">
        <v>3196.68</v>
      </c>
      <c r="C89" s="23"/>
      <c r="D89" s="23"/>
      <c r="E89" s="23"/>
      <c r="F89" s="23"/>
      <c r="G89" s="23"/>
      <c r="H89" s="3"/>
      <c r="I89" s="3"/>
      <c r="J89" s="3"/>
    </row>
    <row r="90" ht="15" customHeight="1">
      <c r="A90" s="22" t="s">
        <v>809</v>
      </c>
      <c r="B90" s="23" t="s">
        <v>728</v>
      </c>
      <c r="C90" s="23"/>
      <c r="D90" s="23"/>
      <c r="E90" s="23"/>
      <c r="F90" s="23"/>
      <c r="G90" s="23"/>
      <c r="H90" s="3"/>
      <c r="I90" s="3"/>
      <c r="J90" s="3"/>
    </row>
    <row r="91" ht="15" customHeight="1">
      <c r="A91" s="22" t="s">
        <v>810</v>
      </c>
      <c r="B91" s="23" t="s">
        <v>811</v>
      </c>
      <c r="C91" s="23"/>
      <c r="D91" s="23"/>
      <c r="E91" s="23"/>
      <c r="F91" s="23"/>
      <c r="G91" s="23"/>
      <c r="H91" s="3"/>
      <c r="I91" s="3"/>
      <c r="J91" s="3"/>
    </row>
    <row r="92" ht="15" customHeight="1">
      <c r="A92" s="22" t="s">
        <v>812</v>
      </c>
      <c r="B92" s="23" t="s">
        <v>813</v>
      </c>
      <c r="C92" s="23"/>
      <c r="D92" s="23"/>
      <c r="E92" s="23"/>
      <c r="F92" s="23"/>
      <c r="G92" s="23"/>
      <c r="H92" s="3"/>
      <c r="I92" s="3"/>
      <c r="J92" s="3"/>
    </row>
    <row r="93" ht="15" customHeight="1">
      <c r="A93" s="22" t="s">
        <v>814</v>
      </c>
      <c r="B93" s="23" t="s">
        <v>728</v>
      </c>
      <c r="C93" s="23"/>
      <c r="D93" s="23"/>
      <c r="E93" s="23"/>
      <c r="F93" s="23"/>
      <c r="G93" s="23"/>
      <c r="H93" s="3"/>
      <c r="I93" s="3"/>
      <c r="J93" s="3"/>
    </row>
    <row r="94" ht="15" customHeight="1">
      <c r="A94" s="22" t="s">
        <v>815</v>
      </c>
      <c r="B94" s="23" t="s">
        <v>728</v>
      </c>
      <c r="C94" s="23"/>
      <c r="D94" s="23"/>
      <c r="E94" s="23"/>
      <c r="F94" s="23"/>
      <c r="G94" s="23"/>
      <c r="H94" s="3"/>
      <c r="I94" s="3"/>
      <c r="J94" s="3"/>
    </row>
    <row r="95" ht="15" customHeight="1">
      <c r="A95" s="22" t="s">
        <v>816</v>
      </c>
      <c r="B95" s="23" t="s">
        <v>817</v>
      </c>
      <c r="C95" s="23"/>
      <c r="D95" s="23"/>
      <c r="E95" s="23"/>
      <c r="F95" s="23"/>
      <c r="G95" s="23"/>
      <c r="H95" s="3"/>
      <c r="I95" s="3"/>
      <c r="J95" s="3"/>
    </row>
    <row r="96" ht="15" customHeight="1">
      <c r="A96" s="22" t="s">
        <v>818</v>
      </c>
      <c r="B96" s="23" t="s">
        <v>728</v>
      </c>
      <c r="C96" s="23"/>
      <c r="D96" s="23"/>
      <c r="E96" s="23"/>
      <c r="F96" s="23"/>
      <c r="G96" s="23"/>
      <c r="H96" s="3"/>
      <c r="I96" s="3"/>
      <c r="J96" s="3"/>
    </row>
    <row r="97" ht="15" customHeight="1">
      <c r="A97" s="22" t="s">
        <v>819</v>
      </c>
      <c r="B97" s="23" t="s">
        <v>820</v>
      </c>
      <c r="C97" s="23"/>
      <c r="D97" s="23"/>
      <c r="E97" s="23"/>
      <c r="F97" s="23"/>
      <c r="G97" s="23"/>
      <c r="H97" s="3"/>
      <c r="I97" s="3"/>
      <c r="J97" s="3"/>
    </row>
    <row r="98" ht="15" customHeight="1">
      <c r="A98" s="22" t="s">
        <v>821</v>
      </c>
      <c r="B98" s="23" t="s">
        <v>822</v>
      </c>
      <c r="C98" s="23"/>
      <c r="D98" s="23"/>
      <c r="E98" s="23"/>
      <c r="F98" s="23"/>
      <c r="G98" s="23"/>
      <c r="H98" s="3"/>
      <c r="I98" s="3"/>
      <c r="J98" s="3"/>
    </row>
    <row r="99" ht="15" customHeight="1">
      <c r="A99" s="22" t="s">
        <v>823</v>
      </c>
      <c r="B99" s="23" t="s">
        <v>824</v>
      </c>
      <c r="C99" s="23"/>
      <c r="D99" s="23"/>
      <c r="E99" s="23"/>
      <c r="F99" s="23"/>
      <c r="G99" s="23"/>
      <c r="H99" s="3"/>
      <c r="I99" s="3"/>
      <c r="J99" s="3"/>
    </row>
    <row r="100" ht="15" customHeight="1">
      <c r="A100" s="22"/>
      <c r="B100" s="3"/>
      <c r="C100" s="3"/>
      <c r="D100" s="3"/>
      <c r="E100" s="3"/>
      <c r="F100" s="3"/>
      <c r="G100" s="3"/>
      <c r="H100" s="3"/>
      <c r="I100" s="3"/>
      <c r="J100" s="3"/>
    </row>
    <row r="101" ht="15" customHeight="1">
      <c r="A101" s="55" t="s">
        <v>825</v>
      </c>
      <c r="B101" s="20"/>
      <c r="C101" s="20"/>
      <c r="D101" s="20"/>
      <c r="E101" s="20"/>
      <c r="F101" s="20"/>
      <c r="G101" s="20"/>
      <c r="H101" s="3"/>
      <c r="I101" s="3"/>
      <c r="J101" s="3"/>
    </row>
    <row r="102" ht="15" customHeight="1">
      <c r="A102" s="24" t="s">
        <v>803</v>
      </c>
      <c r="B102" s="25" t="s">
        <v>826</v>
      </c>
      <c r="C102" s="25" t="s">
        <v>827</v>
      </c>
      <c r="D102" s="25" t="s">
        <v>828</v>
      </c>
      <c r="E102" s="25" t="s">
        <v>829</v>
      </c>
      <c r="F102" s="25" t="s">
        <v>830</v>
      </c>
      <c r="G102" s="25" t="s">
        <v>831</v>
      </c>
      <c r="H102" s="25" t="s">
        <v>832</v>
      </c>
      <c r="I102" s="24"/>
      <c r="J102" s="24"/>
    </row>
    <row r="103" ht="15" customHeight="1">
      <c r="A103" s="98">
        <v>45747</v>
      </c>
      <c r="B103" s="50">
        <v>45770</v>
      </c>
      <c r="C103" s="48">
        <v>2.03</v>
      </c>
      <c r="D103" s="48">
        <v>2.28</v>
      </c>
      <c r="E103" s="48">
        <v>1.75</v>
      </c>
      <c r="F103" s="48">
        <v>1.88</v>
      </c>
      <c r="G103" s="49">
        <v>2608.68</v>
      </c>
      <c r="H103" s="49">
        <v>2610</v>
      </c>
      <c r="I103" s="3"/>
      <c r="J103" s="3"/>
    </row>
    <row r="104" ht="15" customHeight="1">
      <c r="A104" s="98">
        <v>45838</v>
      </c>
      <c r="B104" s="50">
        <v>45862</v>
      </c>
      <c r="C104" s="48">
        <v>2.18</v>
      </c>
      <c r="D104" s="48">
        <v>2.27</v>
      </c>
      <c r="E104" s="48">
        <v>1.93</v>
      </c>
      <c r="F104" s="48">
        <v>1.96</v>
      </c>
      <c r="G104" s="49">
        <v>2771.64</v>
      </c>
      <c r="H104" s="49">
        <v>2706</v>
      </c>
      <c r="I104" s="3"/>
      <c r="J104" s="3"/>
    </row>
    <row r="105" ht="15" customHeight="1">
      <c r="A105" s="98">
        <v>45930</v>
      </c>
      <c r="B105" s="50">
        <v>45952</v>
      </c>
      <c r="C105" s="48">
        <v>2.28</v>
      </c>
      <c r="D105" s="48">
        <v>2.32</v>
      </c>
      <c r="E105" s="48">
        <v>2.01</v>
      </c>
      <c r="F105" s="48">
        <v>1.81</v>
      </c>
      <c r="G105" s="49">
        <v>2882.19</v>
      </c>
      <c r="H105" s="49">
        <v>2886</v>
      </c>
      <c r="I105" s="3"/>
      <c r="J105" s="3"/>
    </row>
    <row r="106" ht="15" customHeight="1">
      <c r="A106" s="98">
        <v>46022</v>
      </c>
      <c r="B106" s="50">
        <v>46064</v>
      </c>
      <c r="C106" s="48">
        <v>2.08</v>
      </c>
      <c r="D106" s="48">
        <v>2.1</v>
      </c>
      <c r="E106" s="48">
        <v>1.77</v>
      </c>
      <c r="F106" s="48">
        <v>1.18</v>
      </c>
      <c r="G106" s="49">
        <v>2864.7</v>
      </c>
      <c r="H106" s="49">
        <v>2965</v>
      </c>
      <c r="I106" s="3"/>
      <c r="J106" s="3"/>
    </row>
    <row r="107" ht="15" customHeight="1">
      <c r="A107" s="98">
        <v>46112</v>
      </c>
      <c r="B107" s="50">
        <v>46134</v>
      </c>
      <c r="C107" s="48">
        <v>2.52</v>
      </c>
      <c r="D107" s="48">
        <v>2.71</v>
      </c>
      <c r="E107" s="48">
        <v>2.19</v>
      </c>
      <c r="F107" s="48">
        <v>2.12</v>
      </c>
      <c r="G107" s="49">
        <v>2968.98</v>
      </c>
      <c r="H107" s="49">
        <v>2950</v>
      </c>
      <c r="I107" s="3"/>
      <c r="J107" s="3"/>
    </row>
    <row r="108" ht="15" customHeight="1">
      <c r="A108" s="98">
        <v>46203</v>
      </c>
      <c r="B108" s="50">
        <v>46225</v>
      </c>
      <c r="C108" s="48">
        <v>2.61</v>
      </c>
      <c r="D108" s="48">
        <v>2.76</v>
      </c>
      <c r="E108" s="48">
        <v>2.39</v>
      </c>
      <c r="F108" s="48">
        <v>2.33</v>
      </c>
      <c r="G108" s="49">
        <v>3073.96</v>
      </c>
      <c r="H108" s="49">
        <v>3179</v>
      </c>
      <c r="I108" s="3"/>
      <c r="J108" s="3"/>
    </row>
    <row r="109" ht="15" customHeight="1">
      <c r="A109" s="22"/>
      <c r="B109" s="3"/>
      <c r="C109" s="3"/>
      <c r="D109" s="3"/>
      <c r="E109" s="3"/>
      <c r="F109" s="3"/>
      <c r="G109" s="3"/>
      <c r="H109" s="3"/>
      <c r="I109" s="3"/>
      <c r="J109" s="3"/>
    </row>
    <row r="110" ht="15" customHeight="1">
      <c r="A110" s="55" t="s">
        <v>833</v>
      </c>
      <c r="B110" s="20"/>
      <c r="C110" s="20"/>
      <c r="D110" s="20"/>
      <c r="E110" s="20"/>
      <c r="F110" s="20"/>
      <c r="G110" s="20"/>
      <c r="H110" s="3"/>
      <c r="I110" s="3"/>
      <c r="J110" s="3"/>
    </row>
    <row r="111" ht="15" customHeight="1">
      <c r="A111" s="22" t="s">
        <v>834</v>
      </c>
      <c r="B111" s="34">
        <f>C103</f>
        <v>2.03</v>
      </c>
      <c r="C111" s="34"/>
      <c r="D111" s="34"/>
      <c r="E111" s="34"/>
      <c r="F111" s="34"/>
      <c r="G111" s="34"/>
      <c r="H111" s="3"/>
      <c r="I111" s="3"/>
      <c r="J111" s="3"/>
    </row>
    <row r="112" ht="15" customHeight="1">
      <c r="A112" s="22" t="s">
        <v>835</v>
      </c>
      <c r="B112" s="34">
        <f>D103</f>
        <v>2.28</v>
      </c>
      <c r="C112" s="34"/>
      <c r="D112" s="34"/>
      <c r="E112" s="34"/>
      <c r="F112" s="34"/>
      <c r="G112" s="34"/>
      <c r="H112" s="3"/>
      <c r="I112" s="3"/>
      <c r="J112" s="3"/>
    </row>
    <row r="113" ht="15" customHeight="1">
      <c r="A113" s="22" t="s">
        <v>836</v>
      </c>
      <c r="B113" s="34">
        <f>F103</f>
        <v>1.88</v>
      </c>
      <c r="C113" s="34"/>
      <c r="D113" s="34"/>
      <c r="E113" s="34"/>
      <c r="F113" s="34"/>
      <c r="G113" s="34"/>
      <c r="H113" s="3"/>
      <c r="I113" s="3"/>
      <c r="J113" s="3"/>
    </row>
    <row r="114" ht="15" customHeight="1">
      <c r="A114" s="22" t="s">
        <v>837</v>
      </c>
      <c r="B114" s="27">
        <f>H103</f>
        <v>2610</v>
      </c>
      <c r="C114" s="27"/>
      <c r="D114" s="27"/>
      <c r="E114" s="27"/>
      <c r="F114" s="27"/>
      <c r="G114" s="27"/>
      <c r="H114" s="3"/>
      <c r="I114" s="3"/>
      <c r="J114" s="3"/>
    </row>
    <row r="115" ht="15" customHeight="1">
      <c r="A115" s="22" t="s">
        <v>838</v>
      </c>
      <c r="B115" s="34">
        <f>C104</f>
        <v>2.18</v>
      </c>
      <c r="C115" s="34"/>
      <c r="D115" s="34"/>
      <c r="E115" s="34"/>
      <c r="F115" s="34"/>
      <c r="G115" s="34"/>
      <c r="H115" s="3"/>
      <c r="I115" s="3"/>
      <c r="J115" s="3"/>
    </row>
    <row r="116" ht="15" customHeight="1">
      <c r="A116" s="22" t="s">
        <v>839</v>
      </c>
      <c r="B116" s="34">
        <f>D104</f>
        <v>2.27</v>
      </c>
      <c r="C116" s="34"/>
      <c r="D116" s="34"/>
      <c r="E116" s="34"/>
      <c r="F116" s="34"/>
      <c r="G116" s="34"/>
      <c r="H116" s="3"/>
      <c r="I116" s="3"/>
      <c r="J116" s="3"/>
    </row>
    <row r="117" ht="15" customHeight="1">
      <c r="A117" s="22" t="s">
        <v>840</v>
      </c>
      <c r="B117" s="34">
        <f>F104</f>
        <v>1.96</v>
      </c>
      <c r="C117" s="34"/>
      <c r="D117" s="34"/>
      <c r="E117" s="34"/>
      <c r="F117" s="34"/>
      <c r="G117" s="34"/>
      <c r="H117" s="3"/>
      <c r="I117" s="3"/>
      <c r="J117" s="3"/>
    </row>
    <row r="118" ht="15" customHeight="1">
      <c r="A118" s="22" t="s">
        <v>841</v>
      </c>
      <c r="B118" s="27">
        <f>H104</f>
        <v>2706</v>
      </c>
      <c r="C118" s="27"/>
      <c r="D118" s="27"/>
      <c r="E118" s="27"/>
      <c r="F118" s="27"/>
      <c r="G118" s="27"/>
      <c r="H118" s="3"/>
      <c r="I118" s="3"/>
      <c r="J118" s="3"/>
    </row>
    <row r="119" ht="15" customHeight="1">
      <c r="A119" s="22" t="s">
        <v>842</v>
      </c>
      <c r="B119" s="34">
        <f>C105</f>
        <v>2.28</v>
      </c>
      <c r="C119" s="34"/>
      <c r="D119" s="34"/>
      <c r="E119" s="34"/>
      <c r="F119" s="34"/>
      <c r="G119" s="34"/>
      <c r="H119" s="3"/>
      <c r="I119" s="3"/>
      <c r="J119" s="3"/>
    </row>
    <row r="120" ht="15" customHeight="1">
      <c r="A120" s="22" t="s">
        <v>843</v>
      </c>
      <c r="B120" s="34">
        <f>D105</f>
        <v>2.32</v>
      </c>
      <c r="C120" s="34"/>
      <c r="D120" s="34"/>
      <c r="E120" s="34"/>
      <c r="F120" s="34"/>
      <c r="G120" s="34"/>
      <c r="H120" s="3"/>
      <c r="I120" s="3"/>
      <c r="J120" s="3"/>
    </row>
    <row r="121" ht="15" customHeight="1">
      <c r="A121" s="22" t="s">
        <v>844</v>
      </c>
      <c r="B121" s="34">
        <f>F105</f>
        <v>1.81</v>
      </c>
      <c r="C121" s="34"/>
      <c r="D121" s="34"/>
      <c r="E121" s="34"/>
      <c r="F121" s="34"/>
      <c r="G121" s="34"/>
      <c r="H121" s="3"/>
      <c r="I121" s="3"/>
      <c r="J121" s="3"/>
    </row>
    <row r="122" ht="15" customHeight="1">
      <c r="A122" s="22" t="s">
        <v>845</v>
      </c>
      <c r="B122" s="27">
        <f>H105</f>
        <v>2886</v>
      </c>
      <c r="C122" s="27"/>
      <c r="D122" s="27"/>
      <c r="E122" s="27"/>
      <c r="F122" s="27"/>
      <c r="G122" s="27"/>
      <c r="H122" s="3"/>
      <c r="I122" s="3"/>
      <c r="J122" s="3"/>
    </row>
    <row r="123" ht="15" customHeight="1">
      <c r="A123" s="22" t="s">
        <v>846</v>
      </c>
      <c r="B123" s="34">
        <f>C106</f>
        <v>2.08</v>
      </c>
      <c r="C123" s="34"/>
      <c r="D123" s="34"/>
      <c r="E123" s="34"/>
      <c r="F123" s="34"/>
      <c r="G123" s="34"/>
      <c r="H123" s="3"/>
      <c r="I123" s="3"/>
      <c r="J123" s="3"/>
    </row>
    <row r="124" ht="15" customHeight="1">
      <c r="A124" s="22" t="s">
        <v>847</v>
      </c>
      <c r="B124" s="34">
        <f>D106</f>
        <v>2.1</v>
      </c>
      <c r="C124" s="34"/>
      <c r="D124" s="34"/>
      <c r="E124" s="34"/>
      <c r="F124" s="34"/>
      <c r="G124" s="34"/>
      <c r="H124" s="3"/>
      <c r="I124" s="3"/>
      <c r="J124" s="3"/>
    </row>
    <row r="125" ht="15" customHeight="1">
      <c r="A125" s="22" t="s">
        <v>848</v>
      </c>
      <c r="B125" s="34">
        <f>F106</f>
        <v>1.18</v>
      </c>
      <c r="C125" s="34"/>
      <c r="D125" s="34"/>
      <c r="E125" s="34"/>
      <c r="F125" s="34"/>
      <c r="G125" s="34"/>
      <c r="H125" s="3"/>
      <c r="I125" s="3"/>
      <c r="J125" s="3"/>
    </row>
    <row r="126" ht="15" customHeight="1">
      <c r="A126" s="22" t="s">
        <v>849</v>
      </c>
      <c r="B126" s="27">
        <f>H106</f>
        <v>2965</v>
      </c>
      <c r="C126" s="27"/>
      <c r="D126" s="27"/>
      <c r="E126" s="27"/>
      <c r="F126" s="27"/>
      <c r="G126" s="27"/>
      <c r="H126" s="3"/>
      <c r="I126" s="3"/>
      <c r="J126" s="3"/>
    </row>
    <row r="127" ht="15" customHeight="1">
      <c r="A127" s="22" t="s">
        <v>850</v>
      </c>
      <c r="B127" s="34">
        <f>C107</f>
        <v>2.52</v>
      </c>
      <c r="C127" s="34"/>
      <c r="D127" s="34"/>
      <c r="E127" s="34"/>
      <c r="F127" s="34"/>
      <c r="G127" s="34"/>
      <c r="H127" s="3"/>
      <c r="I127" s="3"/>
      <c r="J127" s="3"/>
    </row>
    <row r="128" ht="15" customHeight="1">
      <c r="A128" s="22" t="s">
        <v>851</v>
      </c>
      <c r="B128" s="34">
        <f>D107</f>
        <v>2.71</v>
      </c>
      <c r="C128" s="34"/>
      <c r="D128" s="34"/>
      <c r="E128" s="34"/>
      <c r="F128" s="34"/>
      <c r="G128" s="34"/>
      <c r="H128" s="3"/>
      <c r="I128" s="3"/>
      <c r="J128" s="3"/>
    </row>
    <row r="129" ht="15" customHeight="1">
      <c r="A129" s="22" t="s">
        <v>852</v>
      </c>
      <c r="B129" s="34">
        <f>F107</f>
        <v>2.12</v>
      </c>
      <c r="C129" s="34"/>
      <c r="D129" s="34"/>
      <c r="E129" s="34"/>
      <c r="F129" s="34"/>
      <c r="G129" s="34"/>
      <c r="H129" s="3"/>
      <c r="I129" s="3"/>
      <c r="J129" s="3"/>
    </row>
    <row r="130" ht="15" customHeight="1">
      <c r="A130" s="22" t="s">
        <v>853</v>
      </c>
      <c r="B130" s="27">
        <f>H107</f>
        <v>2950</v>
      </c>
      <c r="C130" s="27"/>
      <c r="D130" s="27"/>
      <c r="E130" s="27"/>
      <c r="F130" s="27"/>
      <c r="G130" s="27"/>
      <c r="H130" s="3"/>
      <c r="I130" s="3"/>
      <c r="J130" s="3"/>
    </row>
    <row r="131" ht="15" customHeight="1">
      <c r="A131" s="22" t="s">
        <v>854</v>
      </c>
      <c r="B131" s="34">
        <f>C108</f>
        <v>2.61</v>
      </c>
      <c r="C131" s="34"/>
      <c r="D131" s="34"/>
      <c r="E131" s="34"/>
      <c r="F131" s="34"/>
      <c r="G131" s="34"/>
      <c r="H131" s="3"/>
      <c r="I131" s="3"/>
      <c r="J131" s="3"/>
    </row>
    <row r="132" ht="15" customHeight="1">
      <c r="A132" s="22" t="s">
        <v>855</v>
      </c>
      <c r="B132" s="34">
        <f>D108</f>
        <v>2.76</v>
      </c>
      <c r="C132" s="34"/>
      <c r="D132" s="34"/>
      <c r="E132" s="34"/>
      <c r="F132" s="34"/>
      <c r="G132" s="34"/>
      <c r="H132" s="3"/>
      <c r="I132" s="3"/>
      <c r="J132" s="3"/>
    </row>
    <row r="133" ht="15" customHeight="1">
      <c r="A133" s="22" t="s">
        <v>856</v>
      </c>
      <c r="B133" s="34">
        <f>F108</f>
        <v>2.33</v>
      </c>
      <c r="C133" s="34"/>
      <c r="D133" s="34"/>
      <c r="E133" s="34"/>
      <c r="F133" s="34"/>
      <c r="G133" s="34"/>
      <c r="H133" s="3"/>
      <c r="I133" s="3"/>
      <c r="J133" s="3"/>
    </row>
    <row r="134" ht="15" customHeight="1">
      <c r="A134" s="22" t="s">
        <v>857</v>
      </c>
      <c r="B134" s="27">
        <f>H108</f>
        <v>3179</v>
      </c>
      <c r="C134" s="27"/>
      <c r="D134" s="27"/>
      <c r="E134" s="27"/>
      <c r="F134" s="27"/>
      <c r="G134" s="27"/>
      <c r="H134" s="3"/>
      <c r="I134" s="3"/>
      <c r="J134" s="3"/>
    </row>
    <row r="135" ht="15" customHeight="1">
      <c r="A135" s="22"/>
      <c r="B135" s="3"/>
      <c r="C135" s="3"/>
      <c r="D135" s="3"/>
      <c r="E135" s="3"/>
      <c r="F135" s="3"/>
      <c r="G135" s="3"/>
      <c r="H135" s="3"/>
      <c r="I135" s="3"/>
      <c r="J135" s="3"/>
    </row>
    <row r="136" ht="15" customHeight="1">
      <c r="A136" s="55" t="s">
        <v>858</v>
      </c>
      <c r="B136" s="20"/>
      <c r="C136" s="20"/>
      <c r="D136" s="20"/>
      <c r="E136" s="20"/>
      <c r="F136" s="20"/>
      <c r="G136" s="20"/>
      <c r="H136" s="3"/>
      <c r="I136" s="3"/>
      <c r="J136" s="3"/>
    </row>
    <row r="137" ht="15" customHeight="1">
      <c r="A137" s="24" t="s">
        <v>11</v>
      </c>
      <c r="B137" s="25" t="s">
        <v>859</v>
      </c>
      <c r="C137" s="25" t="s">
        <v>860</v>
      </c>
      <c r="D137" s="25" t="s">
        <v>861</v>
      </c>
      <c r="E137" s="25" t="s">
        <v>862</v>
      </c>
      <c r="F137" s="25" t="s">
        <v>863</v>
      </c>
      <c r="G137" s="25"/>
      <c r="H137" s="25"/>
      <c r="I137" s="24"/>
      <c r="J137" s="24"/>
    </row>
    <row r="138" ht="15" customHeight="1">
      <c r="A138" s="99">
        <f t="shared" si="0" ref="A138:A143">A103</f>
        <v>45747</v>
      </c>
      <c r="B138" s="34">
        <f>B111</f>
        <v>2.03</v>
      </c>
      <c r="C138" s="34">
        <f>B112</f>
        <v>2.28</v>
      </c>
      <c r="D138" s="34">
        <f t="shared" si="1" ref="D138:D143">C138-B138</f>
        <v>0.25</v>
      </c>
      <c r="E138" s="100">
        <f t="shared" si="2" ref="E138:E143">IF(C138&gt;B138,1,0)</f>
        <v>1</v>
      </c>
      <c r="F138" s="28">
        <f t="shared" si="3" ref="F138:F143">D138/B138</f>
        <v>0.12315270935960593</v>
      </c>
      <c r="G138" s="51"/>
      <c r="H138" s="3"/>
      <c r="I138" s="3"/>
      <c r="J138" s="3"/>
    </row>
    <row r="139" ht="15" customHeight="1">
      <c r="A139" s="99">
        <f t="shared" si="0"/>
        <v>45838</v>
      </c>
      <c r="B139" s="34">
        <f>B115</f>
        <v>2.18</v>
      </c>
      <c r="C139" s="34">
        <f>B116</f>
        <v>2.27</v>
      </c>
      <c r="D139" s="34">
        <f t="shared" si="1"/>
        <v>0.08999999999999986</v>
      </c>
      <c r="E139" s="100">
        <f t="shared" si="2"/>
        <v>1</v>
      </c>
      <c r="F139" s="28">
        <f t="shared" si="3"/>
        <v>0.041284403669724704</v>
      </c>
      <c r="G139" s="51"/>
      <c r="H139" s="3"/>
      <c r="I139" s="3"/>
      <c r="J139" s="3"/>
    </row>
    <row r="140" ht="15" customHeight="1">
      <c r="A140" s="99">
        <f t="shared" si="0"/>
        <v>45930</v>
      </c>
      <c r="B140" s="34">
        <f>B119</f>
        <v>2.28</v>
      </c>
      <c r="C140" s="34">
        <f>B120</f>
        <v>2.32</v>
      </c>
      <c r="D140" s="34">
        <f t="shared" si="1"/>
        <v>0.040000000000000036</v>
      </c>
      <c r="E140" s="100">
        <f t="shared" si="2"/>
        <v>1</v>
      </c>
      <c r="F140" s="28">
        <f t="shared" si="3"/>
        <v>0.017543859649122823</v>
      </c>
      <c r="G140" s="51"/>
      <c r="H140" s="3"/>
      <c r="I140" s="3"/>
      <c r="J140" s="3"/>
    </row>
    <row r="141" ht="15" customHeight="1">
      <c r="A141" s="99">
        <f t="shared" si="0"/>
        <v>46022</v>
      </c>
      <c r="B141" s="34">
        <f>B123</f>
        <v>2.08</v>
      </c>
      <c r="C141" s="34">
        <f>B124</f>
        <v>2.1</v>
      </c>
      <c r="D141" s="34">
        <f t="shared" si="1"/>
        <v>0.020000000000000018</v>
      </c>
      <c r="E141" s="100">
        <f t="shared" si="2"/>
        <v>1</v>
      </c>
      <c r="F141" s="28">
        <f t="shared" si="3"/>
        <v>0.009615384615384623</v>
      </c>
      <c r="G141" s="51"/>
      <c r="H141" s="3"/>
      <c r="I141" s="3"/>
      <c r="J141" s="3"/>
    </row>
    <row r="142" ht="15" customHeight="1">
      <c r="A142" s="99">
        <f t="shared" si="0"/>
        <v>46112</v>
      </c>
      <c r="B142" s="34">
        <f>B127</f>
        <v>2.52</v>
      </c>
      <c r="C142" s="34">
        <f>B128</f>
        <v>2.71</v>
      </c>
      <c r="D142" s="34">
        <f t="shared" si="1"/>
        <v>0.18999999999999995</v>
      </c>
      <c r="E142" s="100">
        <f t="shared" si="2"/>
        <v>1</v>
      </c>
      <c r="F142" s="28">
        <f t="shared" si="3"/>
        <v>0.07539682539682538</v>
      </c>
      <c r="G142" s="51"/>
      <c r="H142" s="3"/>
      <c r="I142" s="3"/>
      <c r="J142" s="3"/>
    </row>
    <row r="143" ht="15" customHeight="1">
      <c r="A143" s="99">
        <f t="shared" si="0"/>
        <v>46203</v>
      </c>
      <c r="B143" s="34">
        <f>B131</f>
        <v>2.61</v>
      </c>
      <c r="C143" s="34">
        <f>B132</f>
        <v>2.76</v>
      </c>
      <c r="D143" s="34">
        <f t="shared" si="1"/>
        <v>0.1499999999999999</v>
      </c>
      <c r="E143" s="100">
        <f t="shared" si="2"/>
        <v>1</v>
      </c>
      <c r="F143" s="28">
        <f t="shared" si="3"/>
        <v>0.05747126436781606</v>
      </c>
      <c r="G143" s="51"/>
      <c r="H143" s="3"/>
      <c r="I143" s="3"/>
      <c r="J143" s="3"/>
    </row>
    <row r="144" ht="15" customHeight="1">
      <c r="A144" s="22" t="s">
        <v>864</v>
      </c>
      <c r="B144" s="100">
        <f>SUM(E138:E143)</f>
        <v>6</v>
      </c>
      <c r="C144" s="100"/>
      <c r="D144" s="100"/>
      <c r="E144" s="100"/>
      <c r="F144" s="100"/>
      <c r="G144" s="100"/>
      <c r="H144" s="3"/>
      <c r="I144" s="3"/>
      <c r="J144" s="3"/>
    </row>
    <row r="145" ht="23.25" customHeight="1">
      <c r="A145" s="22" t="s">
        <v>865</v>
      </c>
      <c r="B145" s="100">
        <f>COUNT(C138:C143)</f>
        <v>6</v>
      </c>
      <c r="C145" s="100"/>
      <c r="D145" s="100"/>
      <c r="E145" s="100"/>
      <c r="F145" s="100"/>
      <c r="G145" s="100"/>
      <c r="H145" s="3"/>
      <c r="I145" s="3"/>
      <c r="J145" s="3"/>
    </row>
    <row r="146" ht="15" customHeight="1">
      <c r="A146" s="22" t="s">
        <v>866</v>
      </c>
      <c r="B146" s="34">
        <f>AVERAGE(D138:D143)</f>
        <v>0.1233333333333333</v>
      </c>
      <c r="C146" s="34"/>
      <c r="D146" s="34"/>
      <c r="E146" s="34"/>
      <c r="F146" s="34"/>
      <c r="G146" s="34"/>
      <c r="H146" s="3"/>
      <c r="I146" s="3"/>
      <c r="J146" s="3"/>
    </row>
    <row r="147" ht="15" customHeight="1">
      <c r="A147" s="22" t="s">
        <v>867</v>
      </c>
      <c r="B147" s="34">
        <f>MIN(D138:D143)</f>
        <v>0.020000000000000018</v>
      </c>
      <c r="C147" s="34">
        <f>MAX(D138:D143)</f>
        <v>0.25</v>
      </c>
      <c r="D147" s="34"/>
      <c r="E147" s="34"/>
      <c r="F147" s="34"/>
      <c r="G147" s="34"/>
      <c r="H147" s="3"/>
      <c r="I147" s="3"/>
      <c r="J147" s="3"/>
    </row>
    <row r="148" ht="15" customHeight="1">
      <c r="A148" s="22" t="s">
        <v>868</v>
      </c>
      <c r="B148" s="34">
        <f>D140</f>
        <v>0.040000000000000036</v>
      </c>
      <c r="C148" s="34"/>
      <c r="D148" s="34"/>
      <c r="E148" s="34"/>
      <c r="F148" s="34"/>
      <c r="G148" s="34"/>
      <c r="H148" s="3"/>
      <c r="I148" s="3"/>
      <c r="J148" s="3"/>
    </row>
    <row r="149" ht="26.25" customHeight="1">
      <c r="A149" s="22" t="s">
        <v>869</v>
      </c>
      <c r="B149" s="101">
        <v>48.45</v>
      </c>
      <c r="C149" s="88"/>
      <c r="D149" s="88"/>
      <c r="E149" s="88"/>
      <c r="F149" s="88"/>
      <c r="G149" s="88"/>
      <c r="H149" s="3"/>
      <c r="I149" s="3"/>
      <c r="J149" s="38" t="s">
        <v>870</v>
      </c>
    </row>
    <row r="150" ht="48.75" customHeight="1">
      <c r="A150" s="22" t="s">
        <v>871</v>
      </c>
      <c r="B150" s="102" t="b">
        <v>1</v>
      </c>
      <c r="C150" s="23"/>
      <c r="D150" s="23"/>
      <c r="E150" s="23"/>
      <c r="F150" s="23"/>
      <c r="G150" s="23"/>
      <c r="H150" s="3"/>
      <c r="I150" s="3"/>
      <c r="J150" s="38" t="s">
        <v>872</v>
      </c>
    </row>
    <row r="151" ht="15" customHeight="1">
      <c r="A151" s="22" t="s">
        <v>873</v>
      </c>
      <c r="B151" s="101">
        <v>10</v>
      </c>
      <c r="C151" s="88"/>
      <c r="D151" s="88"/>
      <c r="E151" s="88"/>
      <c r="F151" s="88"/>
      <c r="G151" s="88"/>
      <c r="H151" s="3"/>
      <c r="I151" s="3"/>
      <c r="J151" s="3"/>
    </row>
    <row r="152" ht="15" customHeight="1">
      <c r="A152" s="22" t="s">
        <v>874</v>
      </c>
      <c r="B152" s="101">
        <v>2</v>
      </c>
      <c r="C152" s="88"/>
      <c r="D152" s="88"/>
      <c r="E152" s="88"/>
      <c r="F152" s="88"/>
      <c r="G152" s="88"/>
      <c r="H152" s="3"/>
      <c r="I152" s="3"/>
      <c r="J152" s="3"/>
    </row>
    <row r="153" ht="15" customHeight="1">
      <c r="A153" s="21" t="s">
        <v>875</v>
      </c>
      <c r="B153" s="86">
        <v>0.78</v>
      </c>
      <c r="C153" s="37"/>
      <c r="D153" s="37"/>
      <c r="E153" s="37"/>
      <c r="F153" s="37"/>
      <c r="G153" s="37"/>
      <c r="H153" s="3"/>
      <c r="I153" s="3"/>
      <c r="J153" s="3"/>
    </row>
    <row r="154" ht="15" customHeight="1">
      <c r="A154" s="21" t="s">
        <v>876</v>
      </c>
      <c r="B154" s="86">
        <v>0.7</v>
      </c>
      <c r="C154" s="37"/>
      <c r="D154" s="37"/>
      <c r="E154" s="37"/>
      <c r="F154" s="37"/>
      <c r="G154" s="37"/>
      <c r="H154" s="3"/>
      <c r="I154" s="3"/>
      <c r="J154" s="3"/>
    </row>
    <row r="155" ht="15" customHeight="1">
      <c r="A155" s="21" t="s">
        <v>877</v>
      </c>
      <c r="B155" s="86">
        <v>0.6</v>
      </c>
      <c r="C155" s="37"/>
      <c r="D155" s="37"/>
      <c r="E155" s="37"/>
      <c r="F155" s="37"/>
      <c r="G155" s="37"/>
      <c r="H155" s="3"/>
      <c r="I155" s="3"/>
      <c r="J155" s="3"/>
    </row>
    <row r="156" ht="15" customHeight="1">
      <c r="A156" s="22" t="s">
        <v>878</v>
      </c>
      <c r="B156" s="23" t="str">
        <f>IF(B149&gt;B151,"large",IF(B149&gt;=B152,"mid","small"))</f>
        <v>large</v>
      </c>
      <c r="C156" s="23"/>
      <c r="D156" s="23"/>
      <c r="E156" s="23"/>
      <c r="F156" s="23"/>
      <c r="G156" s="23"/>
      <c r="H156" s="3"/>
      <c r="I156" s="3"/>
      <c r="J156" s="3"/>
    </row>
    <row r="157" ht="15" customHeight="1">
      <c r="A157" s="21" t="s">
        <v>880</v>
      </c>
      <c r="B157" s="37">
        <f>IF(OR(B156="large",B150),B153,IF(B156="mid",B154,B155))</f>
        <v>0.78</v>
      </c>
      <c r="C157" s="37"/>
      <c r="D157" s="37"/>
      <c r="E157" s="37"/>
      <c r="F157" s="37"/>
      <c r="G157" s="37"/>
      <c r="H157" s="3"/>
      <c r="I157" s="3"/>
      <c r="J157" s="3"/>
    </row>
    <row r="158" ht="15" customHeight="1">
      <c r="A158" s="22" t="s">
        <v>881</v>
      </c>
      <c r="B158" s="103">
        <v>8</v>
      </c>
      <c r="C158" s="100"/>
      <c r="D158" s="100"/>
      <c r="E158" s="100"/>
      <c r="F158" s="100"/>
      <c r="G158" s="100"/>
      <c r="H158" s="3"/>
      <c r="I158" s="3"/>
      <c r="J158" s="3"/>
    </row>
    <row r="159" ht="15" customHeight="1">
      <c r="A159" s="41" t="s">
        <v>882</v>
      </c>
      <c r="B159" s="104">
        <f>(B158*B157+B144)/(B158+B145)</f>
        <v>0.8742857142857143</v>
      </c>
      <c r="C159" s="104"/>
      <c r="D159" s="104"/>
      <c r="E159" s="104"/>
      <c r="F159" s="104"/>
      <c r="G159" s="104"/>
      <c r="H159" s="3"/>
      <c r="I159" s="3"/>
      <c r="J159" s="3"/>
    </row>
    <row r="160" ht="15" customHeight="1">
      <c r="A160" s="22" t="s">
        <v>883</v>
      </c>
      <c r="B160" s="33">
        <f>'Income Statement'!G99</f>
        <v>2.716953089669583</v>
      </c>
      <c r="C160" s="34"/>
      <c r="D160" s="34"/>
      <c r="E160" s="34"/>
      <c r="F160" s="34"/>
      <c r="G160" s="34"/>
      <c r="H160" s="3"/>
      <c r="I160" s="3"/>
      <c r="J160" s="3"/>
    </row>
    <row r="161" ht="23.25" customHeight="1">
      <c r="A161" s="22" t="s">
        <v>884</v>
      </c>
      <c r="B161" s="34">
        <f>B23</f>
        <v>2.74</v>
      </c>
      <c r="C161" s="34"/>
      <c r="D161" s="34"/>
      <c r="E161" s="34"/>
      <c r="F161" s="34"/>
      <c r="G161" s="34"/>
      <c r="H161" s="3"/>
      <c r="I161" s="3"/>
      <c r="J161" s="3"/>
    </row>
    <row r="162" ht="23.25" customHeight="1">
      <c r="A162" s="22" t="s">
        <v>885</v>
      </c>
      <c r="B162" s="48">
        <v>0.005</v>
      </c>
      <c r="C162" s="34"/>
      <c r="D162" s="34"/>
      <c r="E162" s="34"/>
      <c r="F162" s="34"/>
      <c r="G162" s="34"/>
      <c r="H162" s="3"/>
      <c r="I162" s="3"/>
      <c r="J162" s="3"/>
    </row>
    <row r="163" ht="27" customHeight="1">
      <c r="A163" s="22" t="s">
        <v>886</v>
      </c>
      <c r="B163" s="34">
        <f>B161+B162</f>
        <v>2.745</v>
      </c>
      <c r="C163" s="34"/>
      <c r="D163" s="34"/>
      <c r="E163" s="34"/>
      <c r="F163" s="34"/>
      <c r="G163" s="34"/>
      <c r="H163" s="3"/>
      <c r="I163" s="3"/>
      <c r="J163" s="3"/>
    </row>
    <row r="164" ht="15" customHeight="1">
      <c r="A164" s="22" t="s">
        <v>887</v>
      </c>
      <c r="B164" s="48">
        <v>0.07</v>
      </c>
      <c r="C164" s="34"/>
      <c r="D164" s="34"/>
      <c r="E164" s="34"/>
      <c r="F164" s="34"/>
      <c r="G164" s="34"/>
      <c r="H164" s="3"/>
      <c r="I164" s="3"/>
      <c r="J164" s="18" t="s">
        <v>888</v>
      </c>
    </row>
    <row r="165" ht="15" customHeight="1">
      <c r="A165" s="21" t="s">
        <v>889</v>
      </c>
      <c r="B165" s="37">
        <f>1-_xlfn.NORM.DIST(B163,B160,B164,TRUE)</f>
        <v>0.34433149614070135</v>
      </c>
      <c r="C165" s="37"/>
      <c r="D165" s="37"/>
      <c r="E165" s="37"/>
      <c r="F165" s="37"/>
      <c r="G165" s="37"/>
      <c r="H165" s="3"/>
      <c r="I165" s="3"/>
      <c r="J165" s="3"/>
    </row>
    <row r="166" ht="26.25" customHeight="1">
      <c r="A166" s="21" t="s">
        <v>890</v>
      </c>
      <c r="B166" s="86">
        <v>0.5</v>
      </c>
      <c r="C166" s="37"/>
      <c r="D166" s="37"/>
      <c r="E166" s="37"/>
      <c r="F166" s="37"/>
      <c r="G166" s="37"/>
      <c r="H166" s="3"/>
      <c r="I166" s="3"/>
      <c r="J166" s="38" t="s">
        <v>891</v>
      </c>
    </row>
    <row r="167" ht="37.5" customHeight="1">
      <c r="A167" s="41" t="s">
        <v>892</v>
      </c>
      <c r="B167" s="104">
        <f>B166*B159+(1-B166)*B165</f>
        <v>0.6093086052132078</v>
      </c>
      <c r="C167" s="104"/>
      <c r="D167" s="104"/>
      <c r="E167" s="104"/>
      <c r="F167" s="104"/>
      <c r="G167" s="104"/>
      <c r="H167" s="3"/>
      <c r="I167" s="3"/>
      <c r="J167" s="38" t="s">
        <v>893</v>
      </c>
    </row>
  </sheetData>
  <printOptions/>
  <pageMargins left="0.7" right="0.7" top="0.75" bottom="0.75" header="0.3" footer="0.3"/>
  <pageSetup paperSize="1" orientation="portrait"/>
  <headerFooter>
    <oddHeader>&amp;L&amp;C&amp;R</oddHeader>
    <oddFooter>&amp;L&amp;C&amp;R</oddFooter>
  </headerFooter>
  <extLst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2026-10-19T23:01:35Z</dcterms:created>
</cp:coreProperties>
</file>