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omments1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General Rentals" sheetId="3"/>
    <sheet r:id="rId4" name="Segment - Specialty" sheetId="4"/>
    <sheet r:id="rId5" name="Income Statement" sheetId="5"/>
    <sheet r:id="rId6" name="Balance Sheet" sheetId="6"/>
    <sheet r:id="rId7" name="Cash Flow Statement" sheetId="7"/>
    <sheet r:id="rId8" name="Share Count" sheetId="8"/>
    <sheet r:id="rId9" name="Guidance" sheetId="9"/>
    <sheet r:id="rId10" name="Sources" sheetId="10"/>
    <sheet r:id="rId11" name="Inputs" sheetId="11"/>
  </sheets>
  <calcPr calcId="0" iterateCount="100" iterateDelta="0.00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84" authorId="0">
      <text>
        <r>
          <rPr>
            <sz val="9"/>
            <color rgb="FF000000"/>
            <rFont val="Arial"/>
            <family val="2"/>
          </rPr>
          <t>URI 3Q25 earnings call transcript | + Gross rental capex (fleet additions) | 1,490</t>
        </r>
      </text>
    </comment>
    <comment ref="E84" authorId="0">
      <text>
        <r>
          <rPr>
            <sz val="9"/>
            <color rgb="FF000000"/>
            <rFont val="Arial"/>
            <family val="2"/>
          </rPr>
          <t>URI 3Q25 earnings call transcript | + Gross rental capex (fleet additions) | 874</t>
        </r>
      </text>
    </comment>
    <comment ref="G84" authorId="0">
      <text>
        <r>
          <rPr>
            <sz val="9"/>
            <color rgb="FF000000"/>
            <rFont val="Arial"/>
            <family val="2"/>
          </rPr>
          <t>URI 3Q25 earnings call transcript | + Gross rental capex (fleet additions) | 4,189</t>
        </r>
      </text>
    </comment>
    <comment ref="H84" authorId="0">
      <text>
        <r>
          <rPr>
            <sz val="9"/>
            <color rgb="FF000000"/>
            <rFont val="Arial"/>
            <family val="2"/>
          </rPr>
          <t>URI 3Q25 earnings call transcript | + Gross rental capex (fleet additions) | 1,590</t>
        </r>
      </text>
    </comment>
    <comment ref="C87" authorId="0">
      <text>
        <r>
          <rPr>
            <sz val="9"/>
            <color rgb="FF000000"/>
            <rFont val="Arial"/>
            <family val="2"/>
          </rPr>
          <t>URI 3Q25 earnings call transcript | - OEC sold (fleet disposals) | 619</t>
        </r>
      </text>
    </comment>
    <comment ref="E87" authorId="0">
      <text>
        <r>
          <rPr>
            <sz val="9"/>
            <color rgb="FF000000"/>
            <rFont val="Arial"/>
            <family val="2"/>
          </rPr>
          <t>URI 1Q26 earnings call transcript | - OEC sold (fleet disposals) | 680</t>
        </r>
      </text>
    </comment>
    <comment ref="F87" authorId="0">
      <text>
        <r>
          <rPr>
            <sz val="9"/>
            <color rgb="FF000000"/>
            <rFont val="Arial"/>
            <family val="2"/>
          </rPr>
          <t>URI 2Q26 earnings call transcript | - OEC sold (fleet disposals) | 624</t>
        </r>
      </text>
    </comment>
    <comment ref="H87" authorId="0">
      <text>
        <r>
          <rPr>
            <sz val="9"/>
            <color rgb="FF000000"/>
            <rFont val="Arial"/>
            <family val="2"/>
          </rPr>
          <t>URI 3Q25 earnings call transcript | - OEC sold (fleet disposals) | 675</t>
        </r>
      </text>
    </comment>
    <comment ref="C93" authorId="0">
      <text>
        <r>
          <rPr>
            <sz val="9"/>
            <color rgb="FF000000"/>
            <rFont val="Arial"/>
            <family val="2"/>
          </rPr>
          <t>URI 3Q25 earnings release (Ex.99.1) | Closing fleet OEC | 22,820</t>
        </r>
      </text>
    </comment>
    <comment ref="D93" authorId="0">
      <text>
        <r>
          <rPr>
            <sz val="9"/>
            <color rgb="FF000000"/>
            <rFont val="Arial"/>
            <family val="2"/>
          </rPr>
          <t>URI 4Q25/FY25 earnings release (Ex.99.1) | Closing fleet OEC | 22,480</t>
        </r>
      </text>
    </comment>
    <comment ref="E93" authorId="0">
      <text>
        <r>
          <rPr>
            <sz val="9"/>
            <color rgb="FF000000"/>
            <rFont val="Arial"/>
            <family val="2"/>
          </rPr>
          <t>URI 1Q26 earnings release (Ex.99.1) | Closing fleet OEC | 22,590</t>
        </r>
      </text>
    </comment>
    <comment ref="F93" authorId="0">
      <text>
        <r>
          <rPr>
            <sz val="9"/>
            <color rgb="FF000000"/>
            <rFont val="Arial"/>
            <family val="2"/>
          </rPr>
          <t>URI 2Q26 earnings release (Ex.99.1) | Closing fleet OEC | 23,750</t>
        </r>
      </text>
    </comment>
    <comment ref="C100" authorId="0">
      <text>
        <r>
          <rPr>
            <sz val="9"/>
            <color rgb="FF000000"/>
            <rFont val="Arial"/>
            <family val="2"/>
          </rPr>
          <t>URI 3Q25 earnings release (Ex.99.1) | Avg. OEC % Y/Y (reported; E = model) | 4.2%</t>
        </r>
      </text>
    </comment>
    <comment ref="D100" authorId="0">
      <text>
        <r>
          <rPr>
            <sz val="9"/>
            <color rgb="FF000000"/>
            <rFont val="Arial"/>
            <family val="2"/>
          </rPr>
          <t>URI 4Q25/FY25 earnings release (Ex.99.1) | Avg. OEC % Y/Y (reported; E = model) | 4.5%</t>
        </r>
      </text>
    </comment>
    <comment ref="E100" authorId="0">
      <text>
        <r>
          <rPr>
            <sz val="9"/>
            <color rgb="FF000000"/>
            <rFont val="Arial"/>
            <family val="2"/>
          </rPr>
          <t>URI 1Q26 earnings release (Ex.99.1) | Avg. OEC % Y/Y (reported; E = model) | 5.7%</t>
        </r>
      </text>
    </comment>
    <comment ref="F100" authorId="0">
      <text>
        <r>
          <rPr>
            <sz val="9"/>
            <color rgb="FF000000"/>
            <rFont val="Arial"/>
            <family val="2"/>
          </rPr>
          <t>URI 2Q26 earnings release (Ex.99.1) | Avg. OEC % Y/Y (reported; E = model) | 7.1%</t>
        </r>
      </text>
    </comment>
    <comment ref="G100" authorId="0">
      <text>
        <r>
          <rPr>
            <sz val="9"/>
            <color rgb="FF000000"/>
            <rFont val="Arial"/>
            <family val="2"/>
          </rPr>
          <t>URI 4Q25/FY25 earnings release (Ex.99.1) | Avg. OEC % Y/Y (reported; E = model) | 3.9%</t>
        </r>
      </text>
    </comment>
    <comment ref="C102" authorId="0">
      <text>
        <r>
          <rPr>
            <sz val="9"/>
            <color rgb="FF000000"/>
            <rFont val="Arial"/>
            <family val="2"/>
          </rPr>
          <t>URI 3Q25 earnings release (Ex.99.1) | Assumed fleet inflation impact | -1.5%</t>
        </r>
      </text>
    </comment>
    <comment ref="D102" authorId="0">
      <text>
        <r>
          <rPr>
            <sz val="9"/>
            <color rgb="FF000000"/>
            <rFont val="Arial"/>
            <family val="2"/>
          </rPr>
          <t>URI 4Q25/FY25 earnings release (Ex.99.1) | Assumed fleet inflation impact | -1.5%</t>
        </r>
      </text>
    </comment>
    <comment ref="E102" authorId="0">
      <text>
        <r>
          <rPr>
            <sz val="9"/>
            <color rgb="FF000000"/>
            <rFont val="Arial"/>
            <family val="2"/>
          </rPr>
          <t>URI 1Q26 earnings release (Ex.99.1) | Assumed fleet inflation impact | -1.5%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URI 2Q26 earnings release (Ex.99.1) | Assumed fleet inflation impact | -1.5%</t>
        </r>
      </text>
    </comment>
    <comment ref="G102" authorId="0">
      <text>
        <r>
          <rPr>
            <sz val="9"/>
            <color rgb="FF000000"/>
            <rFont val="Arial"/>
            <family val="2"/>
          </rPr>
          <t>URI 4Q25/FY25 earnings release (Ex.99.1) | Assumed fleet inflation impact | -1.5%</t>
        </r>
      </text>
    </comment>
    <comment ref="H102" authorId="0">
      <text>
        <r>
          <rPr>
            <sz val="9"/>
            <color rgb="FF000000"/>
            <rFont val="Arial"/>
            <family val="2"/>
          </rPr>
          <t>URI 3Q25 earnings release (Ex.99.1) | Assumed fleet inflation impact | -1.5%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URI 3Q25 earnings release (Ex.99.1) | Fleet productivity | 2.0%</t>
        </r>
      </text>
    </comment>
    <comment ref="D104" authorId="0">
      <text>
        <r>
          <rPr>
            <sz val="9"/>
            <color rgb="FF000000"/>
            <rFont val="Arial"/>
            <family val="2"/>
          </rPr>
          <t>URI 4Q25/FY25 earnings release (Ex.99.1) | Fleet productivity | 0.5%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URI 1Q26 earnings release (Ex.99.1) | Fleet productivity | 2.3%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URI 2Q26 earnings release (Ex.99.1) | Fleet productivity | 3.4%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URI 4Q25/FY25 earnings release (Ex.99.1) | Fleet productivity | 2.2%</t>
        </r>
      </text>
    </comment>
    <comment ref="H104" authorId="0">
      <text>
        <r>
          <rPr>
            <sz val="9"/>
            <color rgb="FF000000"/>
            <rFont val="Arial"/>
            <family val="2"/>
          </rPr>
          <t>URI 3Q25 earnings release (Ex.99.1) | Fleet productivity | 2.8%</t>
        </r>
      </text>
    </comment>
    <comment ref="C106" authorId="0">
      <text>
        <r>
          <rPr>
            <sz val="9"/>
            <color rgb="FF000000"/>
            <rFont val="Arial"/>
            <family val="2"/>
          </rPr>
          <t>URI 3Q25 earnings release (Ex.99.1) | Ancillary &amp; re-rent contribution | 1.1%</t>
        </r>
      </text>
    </comment>
    <comment ref="D106" authorId="0">
      <text>
        <r>
          <rPr>
            <sz val="9"/>
            <color rgb="FF000000"/>
            <rFont val="Arial"/>
            <family val="2"/>
          </rPr>
          <t>URI 4Q25/FY25 earnings release (Ex.99.1) | Ancillary &amp; re-rent contribution | 1.1%</t>
        </r>
      </text>
    </comment>
    <comment ref="E106" authorId="0">
      <text>
        <r>
          <rPr>
            <sz val="9"/>
            <color rgb="FF000000"/>
            <rFont val="Arial"/>
            <family val="2"/>
          </rPr>
          <t>URI 1Q26 earnings release (Ex.99.1) | Ancillary &amp; re-rent contribution | 2.2%</t>
        </r>
      </text>
    </comment>
    <comment ref="F106" authorId="0">
      <text>
        <r>
          <rPr>
            <sz val="9"/>
            <color rgb="FF000000"/>
            <rFont val="Arial"/>
            <family val="2"/>
          </rPr>
          <t>URI 2Q26 earnings release (Ex.99.1) | Ancillary &amp; re-rent contribution | 3.7%</t>
        </r>
      </text>
    </comment>
    <comment ref="G106" authorId="0">
      <text>
        <r>
          <rPr>
            <sz val="9"/>
            <color rgb="FF000000"/>
            <rFont val="Arial"/>
            <family val="2"/>
          </rPr>
          <t>URI 4Q25/FY25 earnings release (Ex.99.1) | Ancillary &amp; re-rent contribution | 1.4%</t>
        </r>
      </text>
    </comment>
    <comment ref="C108" authorId="0">
      <text>
        <r>
          <rPr>
            <sz val="9"/>
            <color rgb="FF000000"/>
            <rFont val="Arial"/>
            <family val="2"/>
          </rPr>
          <t>URI 3Q25 earnings release (Ex.99.1) | Total change in equipment rentals | 5.8%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URI 4Q25/FY25 earnings release (Ex.99.1) | Total change in equipment rentals | 4.6%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URI 1Q26 earnings release (Ex.99.1) | Total change in equipment rentals | 8.7%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URI 2Q26 earnings release (Ex.99.1) | Total change in equipment rentals | 12.7%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URI 4Q25/FY25 earnings release (Ex.99.1) | Total change in equipment rentals | 6.0%</t>
        </r>
      </text>
    </comment>
    <comment ref="C112" authorId="0">
      <text>
        <r>
          <rPr>
            <sz val="9"/>
            <color rgb="FF000000"/>
            <rFont val="Arial"/>
            <family val="2"/>
          </rPr>
          <t>URI Form 10-Q 3Q25 | Owned equipment rentals (OER) | 2,937</t>
        </r>
      </text>
    </comment>
    <comment ref="E112" authorId="0">
      <text>
        <r>
          <rPr>
            <sz val="9"/>
            <color rgb="FF000000"/>
            <rFont val="Arial"/>
            <family val="2"/>
          </rPr>
          <t>URI Form 10-Q 1Q26 | Owned equipment rentals (OER) | 2,685</t>
        </r>
      </text>
    </comment>
    <comment ref="F112" authorId="0">
      <text>
        <r>
          <rPr>
            <sz val="9"/>
            <color rgb="FF000000"/>
            <rFont val="Arial"/>
            <family val="2"/>
          </rPr>
          <t>URI Form 10-Q 2Q26 | Owned equipment rentals (OER) | 2,991</t>
        </r>
      </text>
    </comment>
    <comment ref="G112" authorId="0">
      <text>
        <r>
          <rPr>
            <sz val="9"/>
            <color rgb="FF000000"/>
            <rFont val="Arial"/>
            <family val="2"/>
          </rPr>
          <t>URI Form 10-K FY25 (incl. XBRL R47/R51/R52/R54) | Owned equipment rentals (OER) | 11,048</t>
        </r>
      </text>
    </comment>
    <comment ref="C119" authorId="0">
      <text>
        <r>
          <rPr>
            <sz val="9"/>
            <color rgb="FF000000"/>
            <rFont val="Arial"/>
            <family val="2"/>
          </rPr>
          <t>URI Form 10-Q 3Q25 | Re-rent revenue | 73</t>
        </r>
      </text>
    </comment>
    <comment ref="E119" authorId="0">
      <text>
        <r>
          <rPr>
            <sz val="9"/>
            <color rgb="FF000000"/>
            <rFont val="Arial"/>
            <family val="2"/>
          </rPr>
          <t>URI Form 10-Q 1Q26 | Re-rent revenue | 78</t>
        </r>
      </text>
    </comment>
    <comment ref="F119" authorId="0">
      <text>
        <r>
          <rPr>
            <sz val="9"/>
            <color rgb="FF000000"/>
            <rFont val="Arial"/>
            <family val="2"/>
          </rPr>
          <t>URI Form 10-Q 2Q26 | Re-rent revenue | 88</t>
        </r>
      </text>
    </comment>
    <comment ref="G119" authorId="0">
      <text>
        <r>
          <rPr>
            <sz val="9"/>
            <color rgb="FF000000"/>
            <rFont val="Arial"/>
            <family val="2"/>
          </rPr>
          <t>URI Form 10-K FY25 (incl. XBRL R47/R51/R52/R54) | Re-rent revenue | 275</t>
        </r>
      </text>
    </comment>
    <comment ref="C122" authorId="0">
      <text>
        <r>
          <rPr>
            <sz val="9"/>
            <color rgb="FF000000"/>
            <rFont val="Arial"/>
            <family val="2"/>
          </rPr>
          <t>URI Form 10-Q 3Q25 | Delivery and pick-up | 313</t>
        </r>
      </text>
    </comment>
    <comment ref="E122" authorId="0">
      <text>
        <r>
          <rPr>
            <sz val="9"/>
            <color rgb="FF000000"/>
            <rFont val="Arial"/>
            <family val="2"/>
          </rPr>
          <t>URI Form 10-Q 1Q26 | Delivery and pick-up | 274</t>
        </r>
      </text>
    </comment>
    <comment ref="F122" authorId="0">
      <text>
        <r>
          <rPr>
            <sz val="9"/>
            <color rgb="FF000000"/>
            <rFont val="Arial"/>
            <family val="2"/>
          </rPr>
          <t>URI Form 10-Q 2Q26 | Delivery and pick-up | 341</t>
        </r>
      </text>
    </comment>
    <comment ref="G122" authorId="0">
      <text>
        <r>
          <rPr>
            <sz val="9"/>
            <color rgb="FF000000"/>
            <rFont val="Arial"/>
            <family val="2"/>
          </rPr>
          <t>URI Form 10-K FY25 (incl. XBRL R47/R51/R52/R54) | Delivery and pick-up | 1,153</t>
        </r>
      </text>
    </comment>
    <comment ref="C125" authorId="0">
      <text>
        <r>
          <rPr>
            <sz val="9"/>
            <color rgb="FF000000"/>
            <rFont val="Arial"/>
            <family val="2"/>
          </rPr>
          <t>URI Form 10-Q 3Q25 | Other ancillary (3Q26E = residual) | 342</t>
        </r>
      </text>
    </comment>
    <comment ref="E125" authorId="0">
      <text>
        <r>
          <rPr>
            <sz val="9"/>
            <color rgb="FF000000"/>
            <rFont val="Arial"/>
            <family val="2"/>
          </rPr>
          <t>URI Form 10-Q 1Q26 | Other ancillary (3Q26E = residual) | 382</t>
        </r>
      </text>
    </comment>
    <comment ref="F125" authorId="0">
      <text>
        <r>
          <rPr>
            <sz val="9"/>
            <color rgb="FF000000"/>
            <rFont val="Arial"/>
            <family val="2"/>
          </rPr>
          <t>URI Form 10-Q 2Q26 | Other ancillary (3Q26E = residual) | 429</t>
        </r>
      </text>
    </comment>
    <comment ref="G125" authorId="0">
      <text>
        <r>
          <rPr>
            <sz val="9"/>
            <color rgb="FF000000"/>
            <rFont val="Arial"/>
            <family val="2"/>
          </rPr>
          <t>URI Form 10-K FY25 (incl. XBRL R47/R51/R52/R54) | Other ancillary (3Q26E = residual) | 1,330</t>
        </r>
      </text>
    </comment>
    <comment ref="D142" authorId="0">
      <text>
        <r>
          <rPr>
            <sz val="9"/>
            <color rgb="FF000000"/>
            <rFont val="Arial"/>
            <family val="2"/>
          </rPr>
          <t>URI 4Q25/FY25 earnings release (Ex.99.1) | OEC recovery rate (proceeds / OEC sold) | 50.2%</t>
        </r>
      </text>
    </comment>
    <comment ref="H142" authorId="0">
      <text>
        <r>
          <rPr>
            <sz val="9"/>
            <color rgb="FF000000"/>
            <rFont val="Arial"/>
            <family val="2"/>
          </rPr>
          <t>URI 4Q25/FY25 earnings release (Ex.99.1) | OEC recovery rate (proceeds / OEC sold) | 53.0%</t>
        </r>
      </text>
    </comment>
    <comment ref="C150" authorId="0">
      <text>
        <r>
          <rPr>
            <sz val="9"/>
            <color rgb="FF000000"/>
            <rFont val="Arial"/>
            <family val="2"/>
          </rPr>
          <t>URI 3Q25 earnings release (Ex.99.1) | North America rental locations | 1,639</t>
        </r>
      </text>
    </comment>
    <comment ref="D150" authorId="0">
      <text>
        <r>
          <rPr>
            <sz val="9"/>
            <color rgb="FF000000"/>
            <rFont val="Arial"/>
            <family val="2"/>
          </rPr>
          <t>URI 4Q25/FY25 earnings release (Ex.99.1) | North America rental locations | 1,663</t>
        </r>
      </text>
    </comment>
    <comment ref="E150" authorId="0">
      <text>
        <r>
          <rPr>
            <sz val="9"/>
            <color rgb="FF000000"/>
            <rFont val="Arial"/>
            <family val="2"/>
          </rPr>
          <t>URI 1Q26 earnings release (Ex.99.1) | North America rental locations | 1,658</t>
        </r>
      </text>
    </comment>
    <comment ref="F150" authorId="0">
      <text>
        <r>
          <rPr>
            <sz val="9"/>
            <color rgb="FF000000"/>
            <rFont val="Arial"/>
            <family val="2"/>
          </rPr>
          <t>URI 2Q26 earnings release (Ex.99.1) | North America rental locations | 1,665</t>
        </r>
      </text>
    </comment>
    <comment ref="C153" authorId="0">
      <text>
        <r>
          <rPr>
            <sz val="9"/>
            <color rgb="FF000000"/>
            <rFont val="Arial"/>
            <family val="2"/>
          </rPr>
          <t>URI 3Q25 earnings release (Ex.99.1) | Europe locations | 41</t>
        </r>
      </text>
    </comment>
    <comment ref="D153" authorId="0">
      <text>
        <r>
          <rPr>
            <sz val="9"/>
            <color rgb="FF000000"/>
            <rFont val="Arial"/>
            <family val="2"/>
          </rPr>
          <t>URI 4Q25/FY25 earnings release (Ex.99.1) | Europe locations | 41</t>
        </r>
      </text>
    </comment>
    <comment ref="E153" authorId="0">
      <text>
        <r>
          <rPr>
            <sz val="9"/>
            <color rgb="FF000000"/>
            <rFont val="Arial"/>
            <family val="2"/>
          </rPr>
          <t>URI 1Q26 earnings release (Ex.99.1) | Europe locations | 44</t>
        </r>
      </text>
    </comment>
    <comment ref="F153" authorId="0">
      <text>
        <r>
          <rPr>
            <sz val="9"/>
            <color rgb="FF000000"/>
            <rFont val="Arial"/>
            <family val="2"/>
          </rPr>
          <t>URI 2Q26 earnings release (Ex.99.1) | Europe locations | 44</t>
        </r>
      </text>
    </comment>
    <comment ref="C156" authorId="0">
      <text>
        <r>
          <rPr>
            <sz val="9"/>
            <color rgb="FF000000"/>
            <rFont val="Arial"/>
            <family val="2"/>
          </rPr>
          <t>URI 3Q25 earnings release (Ex.99.1) | Australia locations | 40</t>
        </r>
      </text>
    </comment>
    <comment ref="D156" authorId="0">
      <text>
        <r>
          <rPr>
            <sz val="9"/>
            <color rgb="FF000000"/>
            <rFont val="Arial"/>
            <family val="2"/>
          </rPr>
          <t>URI 4Q25/FY25 earnings release (Ex.99.1) | Australia locations | 45</t>
        </r>
      </text>
    </comment>
    <comment ref="E156" authorId="0">
      <text>
        <r>
          <rPr>
            <sz val="9"/>
            <color rgb="FF000000"/>
            <rFont val="Arial"/>
            <family val="2"/>
          </rPr>
          <t>URI 1Q26 earnings release (Ex.99.1) | Australia locations | 46</t>
        </r>
      </text>
    </comment>
    <comment ref="F156" authorId="0">
      <text>
        <r>
          <rPr>
            <sz val="9"/>
            <color rgb="FF000000"/>
            <rFont val="Arial"/>
            <family val="2"/>
          </rPr>
          <t>URI 2Q26 earnings release (Ex.99.1) | Australia locations | 47</t>
        </r>
      </text>
    </comment>
    <comment ref="C159" authorId="0">
      <text>
        <r>
          <rPr>
            <sz val="9"/>
            <color rgb="FF000000"/>
            <rFont val="Arial"/>
            <family val="2"/>
          </rPr>
          <t>URI 3Q25 earnings release (Ex.99.1) | New Zealand locations | 19</t>
        </r>
      </text>
    </comment>
    <comment ref="D159" authorId="0">
      <text>
        <r>
          <rPr>
            <sz val="9"/>
            <color rgb="FF000000"/>
            <rFont val="Arial"/>
            <family val="2"/>
          </rPr>
          <t>URI 4Q25/FY25 earnings release (Ex.99.1) | New Zealand locations | 19</t>
        </r>
      </text>
    </comment>
    <comment ref="E159" authorId="0">
      <text>
        <r>
          <rPr>
            <sz val="9"/>
            <color rgb="FF000000"/>
            <rFont val="Arial"/>
            <family val="2"/>
          </rPr>
          <t>URI 1Q26 earnings release (Ex.99.1) | New Zealand locations | 19</t>
        </r>
      </text>
    </comment>
    <comment ref="F159" authorId="0">
      <text>
        <r>
          <rPr>
            <sz val="9"/>
            <color rgb="FF000000"/>
            <rFont val="Arial"/>
            <family val="2"/>
          </rPr>
          <t>URI 2Q26 earnings release (Ex.99.1) | New Zealand locations | 18</t>
        </r>
      </text>
    </comment>
    <comment ref="C177" authorId="0">
      <text>
        <r>
          <rPr>
            <sz val="9"/>
            <color rgb="FF000000"/>
            <rFont val="Arial"/>
            <family val="2"/>
          </rPr>
          <t>URI 3Q25 earnings release (Ex.99.1) | Employees (approx.) | 27,900</t>
        </r>
      </text>
    </comment>
    <comment ref="D177" authorId="0">
      <text>
        <r>
          <rPr>
            <sz val="9"/>
            <color rgb="FF000000"/>
            <rFont val="Arial"/>
            <family val="2"/>
          </rPr>
          <t>URI 4Q25/FY25 earnings release (Ex.99.1) | Employees (approx.) | 28,500</t>
        </r>
      </text>
    </comment>
    <comment ref="E177" authorId="0">
      <text>
        <r>
          <rPr>
            <sz val="9"/>
            <color rgb="FF000000"/>
            <rFont val="Arial"/>
            <family val="2"/>
          </rPr>
          <t>URI 1Q26 earnings release (Ex.99.1) | Employees (approx.) | 27,900</t>
        </r>
      </text>
    </comment>
    <comment ref="F177" authorId="0">
      <text>
        <r>
          <rPr>
            <sz val="9"/>
            <color rgb="FF000000"/>
            <rFont val="Arial"/>
            <family val="2"/>
          </rPr>
          <t>URI 2Q26 earnings release (Ex.99.1) | Employees (approx.) | 28,100</t>
        </r>
      </text>
    </comment>
    <comment ref="G182" authorId="0">
      <text>
        <r>
          <rPr>
            <sz val="9"/>
            <color rgb="FF000000"/>
            <rFont val="Arial"/>
            <family val="2"/>
          </rPr>
          <t>URI Form 10-K FY25 (incl. XBRL R47/R51/R52/R54) | Revenue — U.S. (annual, 10-K) | 14,671</t>
        </r>
      </text>
    </comment>
    <comment ref="G183" authorId="0">
      <text>
        <r>
          <rPr>
            <sz val="9"/>
            <color rgb="FF000000"/>
            <rFont val="Arial"/>
            <family val="2"/>
          </rPr>
          <t>URI Form 10-K FY25 (incl. XBRL R47/R51/R52/R54) | Revenue — foreign (annual, 10-K) | 1,428</t>
        </r>
      </text>
    </comment>
    <comment ref="E185" authorId="0">
      <text>
        <r>
          <rPr>
            <sz val="9"/>
            <color rgb="FF000000"/>
            <rFont val="Arial"/>
            <family val="2"/>
          </rPr>
          <t>URI Form 10-Q 1Q26 | % of revenue U.S., YTD (10-Q narrative) | 0.91</t>
        </r>
      </text>
    </comment>
    <comment ref="F185" authorId="0">
      <text>
        <r>
          <rPr>
            <sz val="9"/>
            <color rgb="FF000000"/>
            <rFont val="Arial"/>
            <family val="2"/>
          </rPr>
          <t>URI Form 10-Q 1Q26 | % of revenue U.S., YTD (10-Q narrative) | 0.91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E11" authorId="0">
      <text>
        <r>
          <rPr>
            <sz val="9"/>
            <color rgb="FF000000"/>
            <rFont val="Arial"/>
            <family val="2"/>
          </rPr>
          <t>URI Form 10-Q 1Q26 | Segment capex (reported) | 647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URI Form 10-Q 3Q25 | Equipment rentals | 2,400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URI Form 10-Q 1Q26 | Equipment rentals | 2,229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URI Form 10-Q 2Q26 | Equipment rentals | 2,418</t>
        </r>
      </text>
    </comment>
    <comment ref="G43" authorId="0">
      <text>
        <r>
          <rPr>
            <sz val="9"/>
            <color rgb="FF000000"/>
            <rFont val="Arial"/>
            <family val="2"/>
          </rPr>
          <t>URI Form 10-K FY25 (incl. XBRL R47/R51/R52/R54) | Equipment rentals | 9,165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URI Form 10-Q 3Q25 | Sales of rental equipment | 274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URI Form 10-Q 1Q26 | Sales of rental equipment | 301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URI Form 10-Q 2Q26 | Sales of rental equipment | 284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URI Form 10-K FY25 (incl. XBRL R47/R51/R52/R54) | Sales of rental equipment | 1,216</t>
        </r>
      </text>
    </comment>
    <comment ref="C60" authorId="0">
      <text>
        <r>
          <rPr>
            <sz val="9"/>
            <color rgb="FF000000"/>
            <rFont val="Arial"/>
            <family val="2"/>
          </rPr>
          <t>URI Form 10-Q 3Q25 | Sales of new equipment | 45</t>
        </r>
      </text>
    </comment>
    <comment ref="E60" authorId="0">
      <text>
        <r>
          <rPr>
            <sz val="9"/>
            <color rgb="FF000000"/>
            <rFont val="Arial"/>
            <family val="2"/>
          </rPr>
          <t>URI Form 10-Q 1Q26 | Sales of new equipment | 48</t>
        </r>
      </text>
    </comment>
    <comment ref="F60" authorId="0">
      <text>
        <r>
          <rPr>
            <sz val="9"/>
            <color rgb="FF000000"/>
            <rFont val="Arial"/>
            <family val="2"/>
          </rPr>
          <t>URI Form 10-Q 2Q26 | Sales of new equipment | 39</t>
        </r>
      </text>
    </comment>
    <comment ref="G60" authorId="0">
      <text>
        <r>
          <rPr>
            <sz val="9"/>
            <color rgb="FF000000"/>
            <rFont val="Arial"/>
            <family val="2"/>
          </rPr>
          <t>URI Form 10-K FY25 (incl. XBRL R47/R51/R52/R54) | Sales of new equipment | 199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URI Form 10-Q 3Q25 | Contractor supplies sales | 23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URI Form 10-Q 1Q26 | Contractor supplies sales | 21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URI Form 10-Q 2Q26 | Contractor supplies sales | 25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URI Form 10-K FY25 (incl. XBRL R47/R51/R52/R54) | Contractor supplies sales | 87</t>
        </r>
      </text>
    </comment>
    <comment ref="C74" authorId="0">
      <text>
        <r>
          <rPr>
            <sz val="9"/>
            <color rgb="FF000000"/>
            <rFont val="Arial"/>
            <family val="2"/>
          </rPr>
          <t>URI Form 10-Q 3Q25 | Service and other revenues | 84</t>
        </r>
      </text>
    </comment>
    <comment ref="E74" authorId="0">
      <text>
        <r>
          <rPr>
            <sz val="9"/>
            <color rgb="FF000000"/>
            <rFont val="Arial"/>
            <family val="2"/>
          </rPr>
          <t>URI Form 10-Q 1Q26 | Service and other revenues | 84</t>
        </r>
      </text>
    </comment>
    <comment ref="F74" authorId="0">
      <text>
        <r>
          <rPr>
            <sz val="9"/>
            <color rgb="FF000000"/>
            <rFont val="Arial"/>
            <family val="2"/>
          </rPr>
          <t>URI Form 10-Q 2Q26 | Service and other revenues | 89</t>
        </r>
      </text>
    </comment>
    <comment ref="G74" authorId="0">
      <text>
        <r>
          <rPr>
            <sz val="9"/>
            <color rgb="FF000000"/>
            <rFont val="Arial"/>
            <family val="2"/>
          </rPr>
          <t>URI Form 10-K FY25 (incl. XBRL R47/R51/R52/R54) | Service and other revenues | 334</t>
        </r>
      </text>
    </comment>
    <comment ref="G93" authorId="0">
      <text>
        <r>
          <rPr>
            <sz val="9"/>
            <color rgb="FF000000"/>
            <rFont val="Arial"/>
            <family val="2"/>
          </rPr>
          <t>URI Form 10-K FY25 (incl. XBRL R47/R51/R52/R54) | Gen. construction &amp; industrial % | 39.0%</t>
        </r>
      </text>
    </comment>
    <comment ref="G95" authorId="0">
      <text>
        <r>
          <rPr>
            <sz val="9"/>
            <color rgb="FF000000"/>
            <rFont val="Arial"/>
            <family val="2"/>
          </rPr>
          <t>URI Form 10-K FY25 (incl. XBRL R47/R51/R52/R54) | Aerial work platforms % | 22.0%</t>
        </r>
      </text>
    </comment>
    <comment ref="G97" authorId="0">
      <text>
        <r>
          <rPr>
            <sz val="9"/>
            <color rgb="FF000000"/>
            <rFont val="Arial"/>
            <family val="2"/>
          </rPr>
          <t>URI Form 10-K FY25 (incl. XBRL R47/R51/R52/R54) | General tools &amp; light equip. % | 9.0%</t>
        </r>
      </text>
    </comment>
    <comment ref="C103" authorId="0">
      <text>
        <r>
          <rPr>
            <sz val="9"/>
            <color rgb="FF000000"/>
            <rFont val="Arial"/>
            <family val="2"/>
          </rPr>
          <t>URI Form 10-Q 3Q25 | Depreciation of rental equipment | 512</t>
        </r>
      </text>
    </comment>
    <comment ref="E103" authorId="0">
      <text>
        <r>
          <rPr>
            <sz val="9"/>
            <color rgb="FF000000"/>
            <rFont val="Arial"/>
            <family val="2"/>
          </rPr>
          <t>URI Form 10-Q 1Q26 | Depreciation of rental equipment | 507</t>
        </r>
      </text>
    </comment>
    <comment ref="F103" authorId="0">
      <text>
        <r>
          <rPr>
            <sz val="9"/>
            <color rgb="FF000000"/>
            <rFont val="Arial"/>
            <family val="2"/>
          </rPr>
          <t>URI Form 10-Q 2Q26 | Depreciation of rental equipment | 513</t>
        </r>
      </text>
    </comment>
    <comment ref="G103" authorId="0">
      <text>
        <r>
          <rPr>
            <sz val="9"/>
            <color rgb="FF000000"/>
            <rFont val="Arial"/>
            <family val="2"/>
          </rPr>
          <t>URI Form 10-K FY25 (incl. XBRL R47/R51/R52/R54) | Depreciation of rental equipment | 2,021</t>
        </r>
      </text>
    </comment>
    <comment ref="C108" authorId="0">
      <text>
        <r>
          <rPr>
            <sz val="9"/>
            <color rgb="FF000000"/>
            <rFont val="Arial"/>
            <family val="2"/>
          </rPr>
          <t>URI Form 10-Q 3Q25 | Labor and benefits | 416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URI Form 10-Q 1Q26 | Labor and benefits | 418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URI Form 10-Q 2Q26 | Labor and benefits | 437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URI Form 10-K FY25 (incl. XBRL R47/R51/R52/R54) | Labor and benefits | 1,637</t>
        </r>
      </text>
    </comment>
    <comment ref="C113" authorId="0">
      <text>
        <r>
          <rPr>
            <sz val="9"/>
            <color rgb="FF000000"/>
            <rFont val="Arial"/>
            <family val="2"/>
          </rPr>
          <t>URI Form 10-Q 3Q25 | Repairs and maintenance | 228</t>
        </r>
      </text>
    </comment>
    <comment ref="E113" authorId="0">
      <text>
        <r>
          <rPr>
            <sz val="9"/>
            <color rgb="FF000000"/>
            <rFont val="Arial"/>
            <family val="2"/>
          </rPr>
          <t>URI Form 10-Q 1Q26 | Repairs and maintenance | 203</t>
        </r>
      </text>
    </comment>
    <comment ref="F113" authorId="0">
      <text>
        <r>
          <rPr>
            <sz val="9"/>
            <color rgb="FF000000"/>
            <rFont val="Arial"/>
            <family val="2"/>
          </rPr>
          <t>URI Form 10-Q 2Q26 | Repairs and maintenance | 219</t>
        </r>
      </text>
    </comment>
    <comment ref="G113" authorId="0">
      <text>
        <r>
          <rPr>
            <sz val="9"/>
            <color rgb="FF000000"/>
            <rFont val="Arial"/>
            <family val="2"/>
          </rPr>
          <t>URI Form 10-K FY25 (incl. XBRL R47/R51/R52/R54) | Repairs and maintenance | 848</t>
        </r>
      </text>
    </comment>
    <comment ref="C118" authorId="0">
      <text>
        <r>
          <rPr>
            <sz val="9"/>
            <color rgb="FF000000"/>
            <rFont val="Arial"/>
            <family val="2"/>
          </rPr>
          <t>URI Form 10-Q 3Q25 | Delivery | 141</t>
        </r>
      </text>
    </comment>
    <comment ref="E118" authorId="0">
      <text>
        <r>
          <rPr>
            <sz val="9"/>
            <color rgb="FF000000"/>
            <rFont val="Arial"/>
            <family val="2"/>
          </rPr>
          <t>URI Form 10-Q 1Q26 | Delivery | 112</t>
        </r>
      </text>
    </comment>
    <comment ref="F118" authorId="0">
      <text>
        <r>
          <rPr>
            <sz val="9"/>
            <color rgb="FF000000"/>
            <rFont val="Arial"/>
            <family val="2"/>
          </rPr>
          <t>URI Form 10-Q 2Q26 | Delivery | 132</t>
        </r>
      </text>
    </comment>
    <comment ref="G118" authorId="0">
      <text>
        <r>
          <rPr>
            <sz val="9"/>
            <color rgb="FF000000"/>
            <rFont val="Arial"/>
            <family val="2"/>
          </rPr>
          <t>URI Form 10-K FY25 (incl. XBRL R47/R51/R52/R54) | Delivery | 514</t>
        </r>
      </text>
    </comment>
    <comment ref="C123" authorId="0">
      <text>
        <r>
          <rPr>
            <sz val="9"/>
            <color rgb="FF000000"/>
            <rFont val="Arial"/>
            <family val="2"/>
          </rPr>
          <t>URI Form 10-Q 3Q25 | All other rental expenses | 222</t>
        </r>
      </text>
    </comment>
    <comment ref="E123" authorId="0">
      <text>
        <r>
          <rPr>
            <sz val="9"/>
            <color rgb="FF000000"/>
            <rFont val="Arial"/>
            <family val="2"/>
          </rPr>
          <t>URI Form 10-Q 1Q26 | All other rental expenses | 236</t>
        </r>
      </text>
    </comment>
    <comment ref="F123" authorId="0">
      <text>
        <r>
          <rPr>
            <sz val="9"/>
            <color rgb="FF000000"/>
            <rFont val="Arial"/>
            <family val="2"/>
          </rPr>
          <t>URI Form 10-Q 2Q26 | All other rental expenses | 252</t>
        </r>
      </text>
    </comment>
    <comment ref="G123" authorId="0">
      <text>
        <r>
          <rPr>
            <sz val="9"/>
            <color rgb="FF000000"/>
            <rFont val="Arial"/>
            <family val="2"/>
          </rPr>
          <t>URI Form 10-K FY25 (incl. XBRL R47/R51/R52/R54) | All other rental expenses | 920</t>
        </r>
      </text>
    </comment>
    <comment ref="C139" authorId="0">
      <text>
        <r>
          <rPr>
            <sz val="9"/>
            <color rgb="FF000000"/>
            <rFont val="Arial"/>
            <family val="2"/>
          </rPr>
          <t>URI Form 10-Q 3Q25 | Segment total assets (period end) | 22,147</t>
        </r>
      </text>
    </comment>
    <comment ref="D139" authorId="0">
      <text>
        <r>
          <rPr>
            <sz val="9"/>
            <color rgb="FF000000"/>
            <rFont val="Arial"/>
            <family val="2"/>
          </rPr>
          <t>URI Form 10-K FY25 (incl. XBRL R47/R51/R52/R54) | Segment total assets (period end) | 21,787</t>
        </r>
      </text>
    </comment>
    <comment ref="E139" authorId="0">
      <text>
        <r>
          <rPr>
            <sz val="9"/>
            <color rgb="FF000000"/>
            <rFont val="Arial"/>
            <family val="2"/>
          </rPr>
          <t>URI Form 10-Q 1Q26 | Segment total assets (period end) | 21,411</t>
        </r>
      </text>
    </comment>
    <comment ref="F139" authorId="0">
      <text>
        <r>
          <rPr>
            <sz val="9"/>
            <color rgb="FF000000"/>
            <rFont val="Arial"/>
            <family val="2"/>
          </rPr>
          <t>URI Form 10-Q 2Q26 | Segment total assets (period end) | 22,280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E11" authorId="0">
      <text>
        <r>
          <rPr>
            <sz val="9"/>
            <color rgb="FF000000"/>
            <rFont val="Arial"/>
            <family val="2"/>
          </rPr>
          <t>URI Form 10-Q 1Q26 | Segment capex (reported) | 293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URI Form 10-Q 3Q25 | Equipment rentals | 1,265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URI Form 10-Q 1Q26 | Equipment rentals | 1,190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URI Form 10-Q 2Q26 | Equipment rentals | 1,431</t>
        </r>
      </text>
    </comment>
    <comment ref="G43" authorId="0">
      <text>
        <r>
          <rPr>
            <sz val="9"/>
            <color rgb="FF000000"/>
            <rFont val="Arial"/>
            <family val="2"/>
          </rPr>
          <t>URI Form 10-K FY25 (incl. XBRL R47/R51/R52/R54) | Equipment rentals | 4,641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URI Form 10-Q 3Q25 | Sales of rental equipment | 59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URI Form 10-Q 1Q26 | Sales of rental equipment | 49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URI Form 10-Q 2Q26 | Sales of rental equipment | 46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URI Form 10-K FY25 (incl. XBRL R47/R51/R52/R54) | Sales of rental equipment | 197</t>
        </r>
      </text>
    </comment>
    <comment ref="C60" authorId="0">
      <text>
        <r>
          <rPr>
            <sz val="9"/>
            <color rgb="FF000000"/>
            <rFont val="Arial"/>
            <family val="2"/>
          </rPr>
          <t>URI Form 10-Q 3Q25 | Sales of new equipment | 50</t>
        </r>
      </text>
    </comment>
    <comment ref="E60" authorId="0">
      <text>
        <r>
          <rPr>
            <sz val="9"/>
            <color rgb="FF000000"/>
            <rFont val="Arial"/>
            <family val="2"/>
          </rPr>
          <t>URI Form 10-Q 1Q26 | Sales of new equipment | 36</t>
        </r>
      </text>
    </comment>
    <comment ref="F60" authorId="0">
      <text>
        <r>
          <rPr>
            <sz val="9"/>
            <color rgb="FF000000"/>
            <rFont val="Arial"/>
            <family val="2"/>
          </rPr>
          <t>URI Form 10-Q 2Q26 | Sales of new equipment | 47</t>
        </r>
      </text>
    </comment>
    <comment ref="G60" authorId="0">
      <text>
        <r>
          <rPr>
            <sz val="9"/>
            <color rgb="FF000000"/>
            <rFont val="Arial"/>
            <family val="2"/>
          </rPr>
          <t>URI Form 10-K FY25 (incl. XBRL R47/R51/R52/R54) | Sales of new equipment | 149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URI Form 10-Q 3Q25 | Contractor supplies sales | 20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URI Form 10-Q 1Q26 | Contractor supplies sales | 19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URI Form 10-Q 2Q26 | Contractor supplies sales | 19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URI Form 10-K FY25 (incl. XBRL R47/R51/R52/R54) | Contractor supplies sales | 76</t>
        </r>
      </text>
    </comment>
    <comment ref="C74" authorId="0">
      <text>
        <r>
          <rPr>
            <sz val="9"/>
            <color rgb="FF000000"/>
            <rFont val="Arial"/>
            <family val="2"/>
          </rPr>
          <t>URI Form 10-Q 3Q25 | Service and other revenues | 9</t>
        </r>
      </text>
    </comment>
    <comment ref="E74" authorId="0">
      <text>
        <r>
          <rPr>
            <sz val="9"/>
            <color rgb="FF000000"/>
            <rFont val="Arial"/>
            <family val="2"/>
          </rPr>
          <t>URI Form 10-Q 1Q26 | Service and other revenues | 8</t>
        </r>
      </text>
    </comment>
    <comment ref="F74" authorId="0">
      <text>
        <r>
          <rPr>
            <sz val="9"/>
            <color rgb="FF000000"/>
            <rFont val="Arial"/>
            <family val="2"/>
          </rPr>
          <t>URI Form 10-Q 2Q26 | Service and other revenues | 12</t>
        </r>
      </text>
    </comment>
    <comment ref="G74" authorId="0">
      <text>
        <r>
          <rPr>
            <sz val="9"/>
            <color rgb="FF000000"/>
            <rFont val="Arial"/>
            <family val="2"/>
          </rPr>
          <t>URI Form 10-K FY25 (incl. XBRL R47/R51/R52/R54) | Service and other revenues | 35</t>
        </r>
      </text>
    </comment>
    <comment ref="G93" authorId="0">
      <text>
        <r>
          <rPr>
            <sz val="9"/>
            <color rgb="FF000000"/>
            <rFont val="Arial"/>
            <family val="2"/>
          </rPr>
          <t>URI Form 10-K FY25 (incl. XBRL R47/R51/R52/R54) | Power &amp; HVAC equipment % | 11.0%</t>
        </r>
      </text>
    </comment>
    <comment ref="G95" authorId="0">
      <text>
        <r>
          <rPr>
            <sz val="9"/>
            <color rgb="FF000000"/>
            <rFont val="Arial"/>
            <family val="2"/>
          </rPr>
          <t>URI Form 10-K FY25 (incl. XBRL R47/R51/R52/R54) | Trench safety equipment % | 5.0%</t>
        </r>
      </text>
    </comment>
    <comment ref="G97" authorId="0">
      <text>
        <r>
          <rPr>
            <sz val="9"/>
            <color rgb="FF000000"/>
            <rFont val="Arial"/>
            <family val="2"/>
          </rPr>
          <t>URI Form 10-K FY25 (incl. XBRL R47/R51/R52/R54) | Fluid solutions equipment % | 7.0%</t>
        </r>
      </text>
    </comment>
    <comment ref="G99" authorId="0">
      <text>
        <r>
          <rPr>
            <sz val="9"/>
            <color rgb="FF000000"/>
            <rFont val="Arial"/>
            <family val="2"/>
          </rPr>
          <t>URI Form 10-K FY25 (incl. XBRL R47/R51/R52/R54) | Mobile storage &amp; modular % | 3.0%</t>
        </r>
      </text>
    </comment>
    <comment ref="G101" authorId="0">
      <text>
        <r>
          <rPr>
            <sz val="9"/>
            <color rgb="FF000000"/>
            <rFont val="Arial"/>
            <family val="2"/>
          </rPr>
          <t>URI Form 10-K FY25 (incl. XBRL R47/R51/R52/R54) | Surface protection mats % | 4.0%</t>
        </r>
      </text>
    </comment>
    <comment ref="C107" authorId="0">
      <text>
        <r>
          <rPr>
            <sz val="9"/>
            <color rgb="FF000000"/>
            <rFont val="Arial"/>
            <family val="2"/>
          </rPr>
          <t>URI Form 10-Q 3Q25 | Depreciation of rental equipment | 172</t>
        </r>
      </text>
    </comment>
    <comment ref="E107" authorId="0">
      <text>
        <r>
          <rPr>
            <sz val="9"/>
            <color rgb="FF000000"/>
            <rFont val="Arial"/>
            <family val="2"/>
          </rPr>
          <t>URI Form 10-Q 1Q26 | Depreciation of rental equipment | 174</t>
        </r>
      </text>
    </comment>
    <comment ref="F107" authorId="0">
      <text>
        <r>
          <rPr>
            <sz val="9"/>
            <color rgb="FF000000"/>
            <rFont val="Arial"/>
            <family val="2"/>
          </rPr>
          <t>URI Form 10-Q 2Q26 | Depreciation of rental equipment | 191</t>
        </r>
      </text>
    </comment>
    <comment ref="G107" authorId="0">
      <text>
        <r>
          <rPr>
            <sz val="9"/>
            <color rgb="FF000000"/>
            <rFont val="Arial"/>
            <family val="2"/>
          </rPr>
          <t>URI Form 10-K FY25 (incl. XBRL R47/R51/R52/R54) | Depreciation of rental equipment | 649</t>
        </r>
      </text>
    </comment>
    <comment ref="C112" authorId="0">
      <text>
        <r>
          <rPr>
            <sz val="9"/>
            <color rgb="FF000000"/>
            <rFont val="Arial"/>
            <family val="2"/>
          </rPr>
          <t>URI Form 10-Q 3Q25 | Labor and benefits | 134</t>
        </r>
      </text>
    </comment>
    <comment ref="E112" authorId="0">
      <text>
        <r>
          <rPr>
            <sz val="9"/>
            <color rgb="FF000000"/>
            <rFont val="Arial"/>
            <family val="2"/>
          </rPr>
          <t>URI Form 10-Q 1Q26 | Labor and benefits | 137</t>
        </r>
      </text>
    </comment>
    <comment ref="F112" authorId="0">
      <text>
        <r>
          <rPr>
            <sz val="9"/>
            <color rgb="FF000000"/>
            <rFont val="Arial"/>
            <family val="2"/>
          </rPr>
          <t>URI Form 10-Q 2Q26 | Labor and benefits | 146</t>
        </r>
      </text>
    </comment>
    <comment ref="G112" authorId="0">
      <text>
        <r>
          <rPr>
            <sz val="9"/>
            <color rgb="FF000000"/>
            <rFont val="Arial"/>
            <family val="2"/>
          </rPr>
          <t>URI Form 10-K FY25 (incl. XBRL R47/R51/R52/R54) | Labor and benefits | 524</t>
        </r>
      </text>
    </comment>
    <comment ref="C117" authorId="0">
      <text>
        <r>
          <rPr>
            <sz val="9"/>
            <color rgb="FF000000"/>
            <rFont val="Arial"/>
            <family val="2"/>
          </rPr>
          <t>URI Form 10-Q 3Q25 | Repairs and maintenance | 66</t>
        </r>
      </text>
    </comment>
    <comment ref="E117" authorId="0">
      <text>
        <r>
          <rPr>
            <sz val="9"/>
            <color rgb="FF000000"/>
            <rFont val="Arial"/>
            <family val="2"/>
          </rPr>
          <t>URI Form 10-Q 1Q26 | Repairs and maintenance | 58</t>
        </r>
      </text>
    </comment>
    <comment ref="F117" authorId="0">
      <text>
        <r>
          <rPr>
            <sz val="9"/>
            <color rgb="FF000000"/>
            <rFont val="Arial"/>
            <family val="2"/>
          </rPr>
          <t>URI Form 10-Q 2Q26 | Repairs and maintenance | 68</t>
        </r>
      </text>
    </comment>
    <comment ref="G117" authorId="0">
      <text>
        <r>
          <rPr>
            <sz val="9"/>
            <color rgb="FF000000"/>
            <rFont val="Arial"/>
            <family val="2"/>
          </rPr>
          <t>URI Form 10-K FY25 (incl. XBRL R47/R51/R52/R54) | Repairs and maintenance | 239</t>
        </r>
      </text>
    </comment>
    <comment ref="C122" authorId="0">
      <text>
        <r>
          <rPr>
            <sz val="9"/>
            <color rgb="FF000000"/>
            <rFont val="Arial"/>
            <family val="2"/>
          </rPr>
          <t>URI Form 10-Q 3Q25 | Delivery | 133</t>
        </r>
      </text>
    </comment>
    <comment ref="E122" authorId="0">
      <text>
        <r>
          <rPr>
            <sz val="9"/>
            <color rgb="FF000000"/>
            <rFont val="Arial"/>
            <family val="2"/>
          </rPr>
          <t>URI Form 10-Q 1Q26 | Delivery | 113</t>
        </r>
      </text>
    </comment>
    <comment ref="F122" authorId="0">
      <text>
        <r>
          <rPr>
            <sz val="9"/>
            <color rgb="FF000000"/>
            <rFont val="Arial"/>
            <family val="2"/>
          </rPr>
          <t>URI Form 10-Q 2Q26 | Delivery | 144</t>
        </r>
      </text>
    </comment>
    <comment ref="G122" authorId="0">
      <text>
        <r>
          <rPr>
            <sz val="9"/>
            <color rgb="FF000000"/>
            <rFont val="Arial"/>
            <family val="2"/>
          </rPr>
          <t>URI Form 10-K FY25 (incl. XBRL R47/R51/R52/R54) | Delivery | 473</t>
        </r>
      </text>
    </comment>
    <comment ref="C127" authorId="0">
      <text>
        <r>
          <rPr>
            <sz val="9"/>
            <color rgb="FF000000"/>
            <rFont val="Arial"/>
            <family val="2"/>
          </rPr>
          <t>URI Form 10-Q 3Q25 | All other rental expenses | 190</t>
        </r>
      </text>
    </comment>
    <comment ref="E127" authorId="0">
      <text>
        <r>
          <rPr>
            <sz val="9"/>
            <color rgb="FF000000"/>
            <rFont val="Arial"/>
            <family val="2"/>
          </rPr>
          <t>URI Form 10-Q 1Q26 | All other rental expenses | 215</t>
        </r>
      </text>
    </comment>
    <comment ref="F127" authorId="0">
      <text>
        <r>
          <rPr>
            <sz val="9"/>
            <color rgb="FF000000"/>
            <rFont val="Arial"/>
            <family val="2"/>
          </rPr>
          <t>URI Form 10-Q 2Q26 | All other rental expenses | 246</t>
        </r>
      </text>
    </comment>
    <comment ref="G127" authorId="0">
      <text>
        <r>
          <rPr>
            <sz val="9"/>
            <color rgb="FF000000"/>
            <rFont val="Arial"/>
            <family val="2"/>
          </rPr>
          <t>URI Form 10-K FY25 (incl. XBRL R47/R51/R52/R54) | All other rental expenses | 733</t>
        </r>
      </text>
    </comment>
    <comment ref="C143" authorId="0">
      <text>
        <r>
          <rPr>
            <sz val="9"/>
            <color rgb="FF000000"/>
            <rFont val="Arial"/>
            <family val="2"/>
          </rPr>
          <t>URI Form 10-Q 3Q25 | Segment total assets (period end) | 7,918</t>
        </r>
      </text>
    </comment>
    <comment ref="D143" authorId="0">
      <text>
        <r>
          <rPr>
            <sz val="9"/>
            <color rgb="FF000000"/>
            <rFont val="Arial"/>
            <family val="2"/>
          </rPr>
          <t>URI Form 10-K FY25 (incl. XBRL R47/R51/R52/R54) | Segment total assets (period end) | 8,079</t>
        </r>
      </text>
    </comment>
    <comment ref="E143" authorId="0">
      <text>
        <r>
          <rPr>
            <sz val="9"/>
            <color rgb="FF000000"/>
            <rFont val="Arial"/>
            <family val="2"/>
          </rPr>
          <t>URI Form 10-Q 1Q26 | Segment total assets (period end) | 8,477</t>
        </r>
      </text>
    </comment>
    <comment ref="F143" authorId="0">
      <text>
        <r>
          <rPr>
            <sz val="9"/>
            <color rgb="FF000000"/>
            <rFont val="Arial"/>
            <family val="2"/>
          </rPr>
          <t>URI Form 10-Q 2Q26 | Segment total assets (period end) | 9,034</t>
        </r>
      </text>
    </comment>
    <comment ref="E147" authorId="0">
      <text>
        <r>
          <rPr>
            <sz val="9"/>
            <color rgb="FF000000"/>
            <rFont val="Arial"/>
            <family val="2"/>
          </rPr>
          <t>URI 1Q26 earnings call transcript | Specialty cold-start locations opened | 17</t>
        </r>
      </text>
    </comment>
    <comment ref="F147" authorId="0">
      <text>
        <r>
          <rPr>
            <sz val="9"/>
            <color rgb="FF000000"/>
            <rFont val="Arial"/>
            <family val="2"/>
          </rPr>
          <t>URI 1Q26 earnings call transcript | Specialty cold-start locations opened | 11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2" authorId="0">
      <text>
        <r>
          <rPr>
            <sz val="9"/>
            <color rgb="FF000000"/>
            <rFont val="Arial"/>
            <family val="2"/>
          </rPr>
          <t>URI 3Q25 earnings release (Ex.99.1) | Cost of rental equipment sales | 186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URI 4Q25/FY25 earnings release (Ex.99.1) | Cost of rental equipment sales | 211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URI 1Q26 earnings release (Ex.99.1) | Cost of rental equipment sales | 190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URI 2Q26 earnings release (Ex.99.1) | Cost of rental equipment sales | 176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URI 3Q25 earnings release (Ex.99.1) | Cost of new equipment sales | 75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URI 4Q25/FY25 earnings release (Ex.99.1) | Cost of new equipment sales | 86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URI 1Q26 earnings release (Ex.99.1) | Cost of new equipment sales | 70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URI 2Q26 earnings release (Ex.99.1) | Cost of new equipment sales | 68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URI 3Q25 earnings release (Ex.99.1) | Cost of contractor supplies sales | 32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URI 4Q25/FY25 earnings release (Ex.99.1) | Cost of contractor supplies sales | 27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URI 1Q26 earnings release (Ex.99.1) | Cost of contractor supplies sales | 28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URI 2Q26 earnings release (Ex.99.1) | Cost of contractor supplies sales | 30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URI 3Q25 earnings release (Ex.99.1) | Cost of service and other revenues | 57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URI 4Q25/FY25 earnings release (Ex.99.1) | Cost of service and other revenues | 59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URI 1Q26 earnings release (Ex.99.1) | Cost of service and other revenues | 55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URI 2Q26 earnings release (Ex.99.1) | Cost of service and other revenues | 56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URI 3Q25 earnings release (Ex.99.1) | Selling, general and administrative | 442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URI 4Q25/FY25 earnings release (Ex.99.1) | Selling, general and administrative | 431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URI 1Q26 earnings release (Ex.99.1) | Selling, general and administrative | 441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URI 2Q26 earnings release (Ex.99.1) | Selling, general and administrative | 472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URI 3Q25 earnings release (Ex.99.1) | Restructuring charge | 0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URI 4Q25/FY25 earnings release (Ex.99.1) | Restructuring charge | 0</t>
        </r>
      </text>
    </comment>
    <comment ref="E46" authorId="0">
      <text>
        <r>
          <rPr>
            <sz val="9"/>
            <color rgb="FF000000"/>
            <rFont val="Arial"/>
            <family val="2"/>
          </rPr>
          <t>URI 1Q26 earnings release (Ex.99.1) | Restructuring charge | 45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URI 2Q26 earnings release (Ex.99.1) | Restructuring charge | 6</t>
        </r>
      </text>
    </comment>
    <comment ref="H46" authorId="0">
      <text>
        <r>
          <rPr>
            <sz val="9"/>
            <color rgb="FF000000"/>
            <rFont val="Arial"/>
            <family val="2"/>
          </rPr>
          <t>URI 3Q25 earnings release (Ex.99.1) | Restructuring charge | 5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URI 3Q25 earnings release (Ex.99.1) | Non-rental D&amp;A | 109</t>
        </r>
      </text>
    </comment>
    <comment ref="D47" authorId="0">
      <text>
        <r>
          <rPr>
            <sz val="9"/>
            <color rgb="FF000000"/>
            <rFont val="Arial"/>
            <family val="2"/>
          </rPr>
          <t>URI 4Q25/FY25 earnings release (Ex.99.1) | Non-rental D&amp;A | 107</t>
        </r>
      </text>
    </comment>
    <comment ref="E47" authorId="0">
      <text>
        <r>
          <rPr>
            <sz val="9"/>
            <color rgb="FF000000"/>
            <rFont val="Arial"/>
            <family val="2"/>
          </rPr>
          <t>URI 1Q26 earnings release (Ex.99.1) | Non-rental D&amp;A | 114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URI 2Q26 earnings release (Ex.99.1) | Non-rental D&amp;A | 116</t>
        </r>
      </text>
    </comment>
    <comment ref="H47" authorId="0">
      <text>
        <r>
          <rPr>
            <sz val="9"/>
            <color rgb="FF000000"/>
            <rFont val="Arial"/>
            <family val="2"/>
          </rPr>
          <t>URI 3Q25 earnings release (Ex.99.1) | Non-rental D&amp;A | 117</t>
        </r>
      </text>
    </comment>
    <comment ref="C52" authorId="0">
      <text>
        <r>
          <rPr>
            <sz val="9"/>
            <color rgb="FF000000"/>
            <rFont val="Arial"/>
            <family val="2"/>
          </rPr>
          <t>URI 3Q25 earnings release (Ex.99.1) | Interest expense, net | 178</t>
        </r>
      </text>
    </comment>
    <comment ref="D52" authorId="0">
      <text>
        <r>
          <rPr>
            <sz val="9"/>
            <color rgb="FF000000"/>
            <rFont val="Arial"/>
            <family val="2"/>
          </rPr>
          <t>URI 4Q25/FY25 earnings release (Ex.99.1) | Interest expense, net | 183</t>
        </r>
      </text>
    </comment>
    <comment ref="E52" authorId="0">
      <text>
        <r>
          <rPr>
            <sz val="9"/>
            <color rgb="FF000000"/>
            <rFont val="Arial"/>
            <family val="2"/>
          </rPr>
          <t>URI 1Q26 earnings release (Ex.99.1) | Interest expense, net | 176</t>
        </r>
      </text>
    </comment>
    <comment ref="F52" authorId="0">
      <text>
        <r>
          <rPr>
            <sz val="9"/>
            <color rgb="FF000000"/>
            <rFont val="Arial"/>
            <family val="2"/>
          </rPr>
          <t>URI 2Q26 earnings release (Ex.99.1) | Interest expense, net | 178</t>
        </r>
      </text>
    </comment>
    <comment ref="H52" authorId="0">
      <text>
        <r>
          <rPr>
            <sz val="9"/>
            <color rgb="FF000000"/>
            <rFont val="Arial"/>
            <family val="2"/>
          </rPr>
          <t>URI 3Q25 earnings release (Ex.99.1) | Interest expense, net | 180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URI 3Q25 earnings release (Ex.99.1) | Other (income) expense, net | -1</t>
        </r>
      </text>
    </comment>
    <comment ref="D53" authorId="0">
      <text>
        <r>
          <rPr>
            <sz val="9"/>
            <color rgb="FF000000"/>
            <rFont val="Arial"/>
            <family val="2"/>
          </rPr>
          <t>URI 4Q25/FY25 earnings release (Ex.99.1) | Other (income) expense, net | -5</t>
        </r>
      </text>
    </comment>
    <comment ref="E53" authorId="0">
      <text>
        <r>
          <rPr>
            <sz val="9"/>
            <color rgb="FF000000"/>
            <rFont val="Arial"/>
            <family val="2"/>
          </rPr>
          <t>URI 1Q26 earnings release (Ex.99.1) | Other (income) expense, net | -8</t>
        </r>
      </text>
    </comment>
    <comment ref="F53" authorId="0">
      <text>
        <r>
          <rPr>
            <sz val="9"/>
            <color rgb="FF000000"/>
            <rFont val="Arial"/>
            <family val="2"/>
          </rPr>
          <t>URI 2Q26 earnings release (Ex.99.1) | Other (income) expense, net | -47</t>
        </r>
      </text>
    </comment>
    <comment ref="H53" authorId="0">
      <text>
        <r>
          <rPr>
            <sz val="9"/>
            <color rgb="FF000000"/>
            <rFont val="Arial"/>
            <family val="2"/>
          </rPr>
          <t>URI 3Q25 earnings release (Ex.99.1) | Other (income) expense, net | -3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URI 3Q25 earnings release (Ex.99.1) | Provision for income taxes | 236</t>
        </r>
      </text>
    </comment>
    <comment ref="D57" authorId="0">
      <text>
        <r>
          <rPr>
            <sz val="9"/>
            <color rgb="FF000000"/>
            <rFont val="Arial"/>
            <family val="2"/>
          </rPr>
          <t>URI 4Q25/FY25 earnings release (Ex.99.1) | Provision for income taxes | 221</t>
        </r>
      </text>
    </comment>
    <comment ref="E57" authorId="0">
      <text>
        <r>
          <rPr>
            <sz val="9"/>
            <color rgb="FF000000"/>
            <rFont val="Arial"/>
            <family val="2"/>
          </rPr>
          <t>URI 1Q26 earnings release (Ex.99.1) | Provision for income taxes | 170</t>
        </r>
      </text>
    </comment>
    <comment ref="F57" authorId="0">
      <text>
        <r>
          <rPr>
            <sz val="9"/>
            <color rgb="FF000000"/>
            <rFont val="Arial"/>
            <family val="2"/>
          </rPr>
          <t>URI 2Q26 earnings release (Ex.99.1) | Provision for income taxes | 254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URI 3Q25 earnings release (Ex.99.1) | Diluted EPS — GAAP | 10.91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URI 4Q25/FY25 earnings release (Ex.99.1) | Diluted EPS — GAAP | 10.27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URI 1Q26 earnings release (Ex.99.1) | Diluted EPS — GAAP | 8.43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URI 2Q26 earnings release (Ex.99.1) | Diluted EPS — GAAP | 12.03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URI 4Q25/FY25 earnings release (Ex.99.1) | Diluted EPS — GAAP | 38.61</t>
        </r>
      </text>
    </comment>
    <comment ref="C75" authorId="0">
      <text>
        <r>
          <rPr>
            <sz val="9"/>
            <color rgb="FF000000"/>
            <rFont val="Arial"/>
            <family val="2"/>
          </rPr>
          <t>URI 3Q25 earnings release (Ex.99.1) | + Merger intangible amortization | 45.0%</t>
        </r>
      </text>
    </comment>
    <comment ref="D75" authorId="0">
      <text>
        <r>
          <rPr>
            <sz val="9"/>
            <color rgb="FF000000"/>
            <rFont val="Arial"/>
            <family val="2"/>
          </rPr>
          <t>URI 4Q25/FY25 earnings release (Ex.99.1) | + Merger intangible amortization | 44.0%</t>
        </r>
      </text>
    </comment>
    <comment ref="E75" authorId="0">
      <text>
        <r>
          <rPr>
            <sz val="9"/>
            <color rgb="FF000000"/>
            <rFont val="Arial"/>
            <family val="2"/>
          </rPr>
          <t>URI 1Q26 earnings release (Ex.99.1) | + Merger intangible amortization | 43.0%</t>
        </r>
      </text>
    </comment>
    <comment ref="F75" authorId="0">
      <text>
        <r>
          <rPr>
            <sz val="9"/>
            <color rgb="FF000000"/>
            <rFont val="Arial"/>
            <family val="2"/>
          </rPr>
          <t>URI 2Q26 earnings release (Ex.99.1) | + Merger intangible amortization | 39.0%</t>
        </r>
      </text>
    </comment>
    <comment ref="G75" authorId="0">
      <text>
        <r>
          <rPr>
            <sz val="9"/>
            <color rgb="FF000000"/>
            <rFont val="Arial"/>
            <family val="2"/>
          </rPr>
          <t>URI 4Q25/FY25 earnings release (Ex.99.1) | + Merger intangible amortization | 1.89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URI 3Q25 earnings release (Ex.99.1) | + Acquired fleet/P&amp;E depreciation | 27.0%</t>
        </r>
      </text>
    </comment>
    <comment ref="D76" authorId="0">
      <text>
        <r>
          <rPr>
            <sz val="9"/>
            <color rgb="FF000000"/>
            <rFont val="Arial"/>
            <family val="2"/>
          </rPr>
          <t>URI 4Q25/FY25 earnings release (Ex.99.1) | + Acquired fleet/P&amp;E depreciation | 26.0%</t>
        </r>
      </text>
    </comment>
    <comment ref="E76" authorId="0">
      <text>
        <r>
          <rPr>
            <sz val="9"/>
            <color rgb="FF000000"/>
            <rFont val="Arial"/>
            <family val="2"/>
          </rPr>
          <t>URI 1Q26 earnings release (Ex.99.1) | + Acquired fleet/P&amp;E depreciation | 25.0%</t>
        </r>
      </text>
    </comment>
    <comment ref="F76" authorId="0">
      <text>
        <r>
          <rPr>
            <sz val="9"/>
            <color rgb="FF000000"/>
            <rFont val="Arial"/>
            <family val="2"/>
          </rPr>
          <t>URI 2Q26 earnings release (Ex.99.1) | + Acquired fleet/P&amp;E depreciation | 22.0%</t>
        </r>
      </text>
    </comment>
    <comment ref="G76" authorId="0">
      <text>
        <r>
          <rPr>
            <sz val="9"/>
            <color rgb="FF000000"/>
            <rFont val="Arial"/>
            <family val="2"/>
          </rPr>
          <t>URI 4Q25/FY25 earnings release (Ex.99.1) | + Acquired fleet/P&amp;E depreciation | 1.11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URI 3Q25 earnings release (Ex.99.1) | + Fair value mark-up of acquired fleet | 7.0%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URI 4Q25/FY25 earnings release (Ex.99.1) | + Fair value mark-up of acquired fleet | 9.0%</t>
        </r>
      </text>
    </comment>
    <comment ref="E77" authorId="0">
      <text>
        <r>
          <rPr>
            <sz val="9"/>
            <color rgb="FF000000"/>
            <rFont val="Arial"/>
            <family val="2"/>
          </rPr>
          <t>URI 1Q26 earnings release (Ex.99.1) | + Fair value mark-up of acquired fleet | 7.0%</t>
        </r>
      </text>
    </comment>
    <comment ref="F77" authorId="0">
      <text>
        <r>
          <rPr>
            <sz val="9"/>
            <color rgb="FF000000"/>
            <rFont val="Arial"/>
            <family val="2"/>
          </rPr>
          <t>URI 2Q26 earnings release (Ex.99.1) | + Fair value mark-up of acquired fleet | 3.0%</t>
        </r>
      </text>
    </comment>
    <comment ref="G77" authorId="0">
      <text>
        <r>
          <rPr>
            <sz val="9"/>
            <color rgb="FF000000"/>
            <rFont val="Arial"/>
            <family val="2"/>
          </rPr>
          <t>URI 4Q25/FY25 earnings release (Ex.99.1) | + Fair value mark-up of acquired fleet | 36.0%</t>
        </r>
      </text>
    </comment>
    <comment ref="C78" authorId="0">
      <text>
        <r>
          <rPr>
            <sz val="9"/>
            <color rgb="FF000000"/>
            <rFont val="Arial"/>
            <family val="2"/>
          </rPr>
          <t>URI 3Q25 earnings release (Ex.99.1) | + Restructuring charge | -1.0%</t>
        </r>
      </text>
    </comment>
    <comment ref="D78" authorId="0">
      <text>
        <r>
          <rPr>
            <sz val="9"/>
            <color rgb="FF000000"/>
            <rFont val="Arial"/>
            <family val="2"/>
          </rPr>
          <t>URI 4Q25/FY25 earnings release (Ex.99.1) | + Restructuring charge | 0.0</t>
        </r>
      </text>
    </comment>
    <comment ref="E78" authorId="0">
      <text>
        <r>
          <rPr>
            <sz val="9"/>
            <color rgb="FF000000"/>
            <rFont val="Arial"/>
            <family val="2"/>
          </rPr>
          <t>URI 1Q26 earnings release (Ex.99.1) | + Restructuring charge | 53.0%</t>
        </r>
      </text>
    </comment>
    <comment ref="F78" authorId="0">
      <text>
        <r>
          <rPr>
            <sz val="9"/>
            <color rgb="FF000000"/>
            <rFont val="Arial"/>
            <family val="2"/>
          </rPr>
          <t>URI 2Q26 earnings release (Ex.99.1) | + Restructuring charge | 7.0%</t>
        </r>
      </text>
    </comment>
    <comment ref="G78" authorId="0">
      <text>
        <r>
          <rPr>
            <sz val="9"/>
            <color rgb="FF000000"/>
            <rFont val="Arial"/>
            <family val="2"/>
          </rPr>
          <t>URI 4Q25/FY25 earnings release (Ex.99.1) | + Restructuring charge | 1.0%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URI 3Q25 earnings release (Ex.99.1) | + Asset impairment charge | 0.0</t>
        </r>
      </text>
    </comment>
    <comment ref="D79" authorId="0">
      <text>
        <r>
          <rPr>
            <sz val="9"/>
            <color rgb="FF000000"/>
            <rFont val="Arial"/>
            <family val="2"/>
          </rPr>
          <t>URI 4Q25/FY25 earnings release (Ex.99.1) | + Asset impairment charge | 2.0%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URI 1Q26 earnings release (Ex.99.1) | + Asset impairment charge | 0.0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URI 2Q26 earnings release (Ex.99.1) | + Asset impairment charge | 2.0%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URI 4Q25/FY25 earnings release (Ex.99.1) | + Asset impairment charge | 6.0%</t>
        </r>
      </text>
    </comment>
    <comment ref="C80" authorId="0">
      <text>
        <r>
          <rPr>
            <sz val="9"/>
            <color rgb="FF000000"/>
            <rFont val="Arial"/>
            <family val="2"/>
          </rPr>
          <t>URI 3Q25 earnings release (Ex.99.1) | + Debt-related losses | 1.0%</t>
        </r>
      </text>
    </comment>
    <comment ref="D80" authorId="0">
      <text>
        <r>
          <rPr>
            <sz val="9"/>
            <color rgb="FF000000"/>
            <rFont val="Arial"/>
            <family val="2"/>
          </rPr>
          <t>URI 4Q25/FY25 earnings release (Ex.99.1) | + Debt-related losses | 1.0%</t>
        </r>
      </text>
    </comment>
    <comment ref="E80" authorId="0">
      <text>
        <r>
          <rPr>
            <sz val="9"/>
            <color rgb="FF000000"/>
            <rFont val="Arial"/>
            <family val="2"/>
          </rPr>
          <t>URI 1Q26 earnings release (Ex.99.1) | + Debt-related losses | 0.0</t>
        </r>
      </text>
    </comment>
    <comment ref="F80" authorId="0">
      <text>
        <r>
          <rPr>
            <sz val="9"/>
            <color rgb="FF000000"/>
            <rFont val="Arial"/>
            <family val="2"/>
          </rPr>
          <t>URI 2Q26 earnings release (Ex.99.1) | + Debt-related losses | 0.0</t>
        </r>
      </text>
    </comment>
    <comment ref="G80" authorId="0">
      <text>
        <r>
          <rPr>
            <sz val="9"/>
            <color rgb="FF000000"/>
            <rFont val="Arial"/>
            <family val="2"/>
          </rPr>
          <t>URI 4Q25/FY25 earnings release (Ex.99.1) | + Debt-related losses | 2.0%</t>
        </r>
      </text>
    </comment>
    <comment ref="C83" authorId="0">
      <text>
        <r>
          <rPr>
            <sz val="9"/>
            <color rgb="FF000000"/>
            <rFont val="Arial"/>
            <family val="2"/>
          </rPr>
          <t>URI 3Q25 earnings release (Ex.99.1) | Adjusted EPS — as reported by issuer | 11.70</t>
        </r>
      </text>
    </comment>
    <comment ref="D83" authorId="0">
      <text>
        <r>
          <rPr>
            <sz val="9"/>
            <color rgb="FF000000"/>
            <rFont val="Arial"/>
            <family val="2"/>
          </rPr>
          <t>URI 4Q25/FY25 earnings release (Ex.99.1) | Adjusted EPS — as reported by issuer | 11.09</t>
        </r>
      </text>
    </comment>
    <comment ref="E83" authorId="0">
      <text>
        <r>
          <rPr>
            <sz val="9"/>
            <color rgb="FF000000"/>
            <rFont val="Arial"/>
            <family val="2"/>
          </rPr>
          <t>URI 1Q26 earnings release (Ex.99.1) | Adjusted EPS — as reported by issuer | 9.71</t>
        </r>
      </text>
    </comment>
    <comment ref="F83" authorId="0">
      <text>
        <r>
          <rPr>
            <sz val="9"/>
            <color rgb="FF000000"/>
            <rFont val="Arial"/>
            <family val="2"/>
          </rPr>
          <t>URI 2Q26 earnings release (Ex.99.1) | Adjusted EPS — as reported by issuer | 12.76</t>
        </r>
      </text>
    </comment>
    <comment ref="G83" authorId="0">
      <text>
        <r>
          <rPr>
            <sz val="9"/>
            <color rgb="FF000000"/>
            <rFont val="Arial"/>
            <family val="2"/>
          </rPr>
          <t>URI 4Q25/FY25 earnings release (Ex.99.1) | Adjusted EPS — as reported by issuer | 42.06</t>
        </r>
      </text>
    </comment>
    <comment ref="C85" authorId="0">
      <text>
        <r>
          <rPr>
            <sz val="9"/>
            <color rgb="FF000000"/>
            <rFont val="Arial"/>
            <family val="2"/>
          </rPr>
          <t>URI 2Q26 earnings release (Ex.99.1) | Memo: scaffolding gain (in adj. EPS) | 0</t>
        </r>
      </text>
    </comment>
    <comment ref="D85" authorId="0">
      <text>
        <r>
          <rPr>
            <sz val="9"/>
            <color rgb="FF000000"/>
            <rFont val="Arial"/>
            <family val="2"/>
          </rPr>
          <t>URI 2Q26 earnings release (Ex.99.1) | Memo: scaffolding gain (in adj. EPS) | 0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URI 2Q26 earnings release (Ex.99.1) | Memo: scaffolding gain (in adj. EPS) | 0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URI 2Q26 earnings release (Ex.99.1) | Memo: scaffolding gain (in adj. EPS) | 58.0%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URI 2Q26 earnings release (Ex.99.1) | Memo: scaffolding gain (in adj. EPS) | 0</t>
        </r>
      </text>
    </comment>
    <comment ref="H85" authorId="0">
      <text>
        <r>
          <rPr>
            <sz val="9"/>
            <color rgb="FF000000"/>
            <rFont val="Arial"/>
            <family val="2"/>
          </rPr>
          <t>URI 2Q26 earnings release (Ex.99.1) | Memo: scaffolding gain (in adj. EPS) | 0</t>
        </r>
      </text>
    </comment>
    <comment ref="C93" authorId="0">
      <text>
        <r>
          <rPr>
            <sz val="9"/>
            <color rgb="FF000000"/>
            <rFont val="Arial"/>
            <family val="2"/>
          </rPr>
          <t>URI 3Q25 earnings release (Ex.99.1) | Tax rate applied to adjustments | 25.2%</t>
        </r>
      </text>
    </comment>
    <comment ref="D93" authorId="0">
      <text>
        <r>
          <rPr>
            <sz val="9"/>
            <color rgb="FF000000"/>
            <rFont val="Arial"/>
            <family val="2"/>
          </rPr>
          <t>URI 4Q25/FY25 earnings release (Ex.99.1) | Tax rate applied to adjustments | 25.1%</t>
        </r>
      </text>
    </comment>
    <comment ref="E93" authorId="0">
      <text>
        <r>
          <rPr>
            <sz val="9"/>
            <color rgb="FF000000"/>
            <rFont val="Arial"/>
            <family val="2"/>
          </rPr>
          <t>URI 1Q26 earnings release (Ex.99.1) | Tax rate applied to adjustments | 25.0%</t>
        </r>
      </text>
    </comment>
    <comment ref="F93" authorId="0">
      <text>
        <r>
          <rPr>
            <sz val="9"/>
            <color rgb="FF000000"/>
            <rFont val="Arial"/>
            <family val="2"/>
          </rPr>
          <t>URI 2Q26 earnings release (Ex.99.1) | Tax rate applied to adjustments | 25.1%</t>
        </r>
      </text>
    </comment>
    <comment ref="G93" authorId="0">
      <text>
        <r>
          <rPr>
            <sz val="9"/>
            <color rgb="FF000000"/>
            <rFont val="Arial"/>
            <family val="2"/>
          </rPr>
          <t>URI 4Q25/FY25 earnings release (Ex.99.1) | Tax rate applied to adjustments | 25.2%</t>
        </r>
      </text>
    </comment>
    <comment ref="H93" authorId="0">
      <text>
        <r>
          <rPr>
            <sz val="9"/>
            <color rgb="FF000000"/>
            <rFont val="Arial"/>
            <family val="2"/>
          </rPr>
          <t>URI 3Q25 earnings release (Ex.99.1) | Tax rate applied to adjustments | 25.1%</t>
        </r>
      </text>
    </comment>
    <comment ref="C106" authorId="0">
      <text>
        <r>
          <rPr>
            <sz val="9"/>
            <color rgb="FF000000"/>
            <rFont val="Arial"/>
            <family val="2"/>
          </rPr>
          <t>URI 3Q25 earnings release (Ex.99.1) | + Stock compensation expense, net | 32</t>
        </r>
      </text>
    </comment>
    <comment ref="D106" authorId="0">
      <text>
        <r>
          <rPr>
            <sz val="9"/>
            <color rgb="FF000000"/>
            <rFont val="Arial"/>
            <family val="2"/>
          </rPr>
          <t>URI 4Q25/FY25 earnings release (Ex.99.1) | + Stock compensation expense, net | 32</t>
        </r>
      </text>
    </comment>
    <comment ref="E106" authorId="0">
      <text>
        <r>
          <rPr>
            <sz val="9"/>
            <color rgb="FF000000"/>
            <rFont val="Arial"/>
            <family val="2"/>
          </rPr>
          <t>URI 1Q26 earnings release (Ex.99.1) | + Stock compensation expense, net | 36</t>
        </r>
      </text>
    </comment>
    <comment ref="F106" authorId="0">
      <text>
        <r>
          <rPr>
            <sz val="9"/>
            <color rgb="FF000000"/>
            <rFont val="Arial"/>
            <family val="2"/>
          </rPr>
          <t>URI 2Q26 earnings release (Ex.99.1) | + Stock compensation expense, net | 43</t>
        </r>
      </text>
    </comment>
    <comment ref="H106" authorId="0">
      <text>
        <r>
          <rPr>
            <sz val="9"/>
            <color rgb="FF000000"/>
            <rFont val="Arial"/>
            <family val="2"/>
          </rPr>
          <t>URI 3Q25 earnings release (Ex.99.1) | + Stock compensation expense, net | 38</t>
        </r>
      </text>
    </comment>
    <comment ref="C107" authorId="0">
      <text>
        <r>
          <rPr>
            <sz val="9"/>
            <color rgb="FF000000"/>
            <rFont val="Arial"/>
            <family val="2"/>
          </rPr>
          <t>URI 3Q25 earnings release (Ex.99.1) | + Fair value mark-up of acquired fleet | 6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URI 4Q25/FY25 earnings release (Ex.99.1) | + Fair value mark-up of acquired fleet | 7</t>
        </r>
      </text>
    </comment>
    <comment ref="E107" authorId="0">
      <text>
        <r>
          <rPr>
            <sz val="9"/>
            <color rgb="FF000000"/>
            <rFont val="Arial"/>
            <family val="2"/>
          </rPr>
          <t>URI 1Q26 earnings release (Ex.99.1) | + Fair value mark-up of acquired fleet | 6</t>
        </r>
      </text>
    </comment>
    <comment ref="F107" authorId="0">
      <text>
        <r>
          <rPr>
            <sz val="9"/>
            <color rgb="FF000000"/>
            <rFont val="Arial"/>
            <family val="2"/>
          </rPr>
          <t>URI 2Q26 earnings release (Ex.99.1) | + Fair value mark-up of acquired fleet | 2</t>
        </r>
      </text>
    </comment>
    <comment ref="H107" authorId="0">
      <text>
        <r>
          <rPr>
            <sz val="9"/>
            <color rgb="FF000000"/>
            <rFont val="Arial"/>
            <family val="2"/>
          </rPr>
          <t>URI 3Q25 earnings release (Ex.99.1) | + Fair value mark-up of acquired fleet | 3</t>
        </r>
      </text>
    </comment>
    <comment ref="C112" authorId="0">
      <text>
        <r>
          <rPr>
            <sz val="9"/>
            <color rgb="FF000000"/>
            <rFont val="Arial"/>
            <family val="2"/>
          </rPr>
          <t>URI 3Q25 earnings release (Ex.99.1) | Adjusted EBITDA — as reported | 1,946</t>
        </r>
      </text>
    </comment>
    <comment ref="D112" authorId="0">
      <text>
        <r>
          <rPr>
            <sz val="9"/>
            <color rgb="FF000000"/>
            <rFont val="Arial"/>
            <family val="2"/>
          </rPr>
          <t>URI 4Q25/FY25 earnings release (Ex.99.1) | Adjusted EBITDA — as reported | 1,901</t>
        </r>
      </text>
    </comment>
    <comment ref="E112" authorId="0">
      <text>
        <r>
          <rPr>
            <sz val="9"/>
            <color rgb="FF000000"/>
            <rFont val="Arial"/>
            <family val="2"/>
          </rPr>
          <t>URI 1Q26 earnings release (Ex.99.1) | Adjusted EBITDA — as reported | 1,759</t>
        </r>
      </text>
    </comment>
    <comment ref="F112" authorId="0">
      <text>
        <r>
          <rPr>
            <sz val="9"/>
            <color rgb="FF000000"/>
            <rFont val="Arial"/>
            <family val="2"/>
          </rPr>
          <t>URI 2Q26 earnings release (Ex.99.1) | Adjusted EBITDA — as reported | 2,056</t>
        </r>
      </text>
    </comment>
    <comment ref="G112" authorId="0">
      <text>
        <r>
          <rPr>
            <sz val="9"/>
            <color rgb="FF000000"/>
            <rFont val="Arial"/>
            <family val="2"/>
          </rPr>
          <t>URI 4Q25/FY25 earnings release (Ex.99.1) | Adjusted EBITDA — as reported | 7,328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URI 3Q25 earnings release (Ex.99.1) | Cash and cash equivalents | 512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URI 4Q25/FY25 earnings release (Ex.99.1) | Cash and cash equivalents | 459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URI 1Q26 earnings release (Ex.99.1) | Cash and cash equivalents | 156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URI 2Q26 earnings release (Ex.99.1) | Cash and cash equivalents | 112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URI 3Q25 earnings release (Ex.99.1) | Accounts receivable, net | 2,579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URI 4Q25/FY25 earnings release (Ex.99.1) | Accounts receivable, net | 2,510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URI 1Q26 earnings release (Ex.99.1) | Accounts receivable, net | 2,561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URI 2Q26 earnings release (Ex.99.1) | Accounts receivable, net | 2,797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URI 3Q25 earnings release (Ex.99.1) | Inventory | 234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URI 4Q25/FY25 earnings release (Ex.99.1) | Inventory | 240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URI 1Q26 earnings release (Ex.99.1) | Inventory | 256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URI 2Q26 earnings release (Ex.99.1) | Inventory | 294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URI 3Q25 earnings release (Ex.99.1) | Prepaid expenses and other assets | 458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URI 4Q25/FY25 earnings release (Ex.99.1) | Prepaid expenses and other assets | 399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URI 1Q26 earnings release (Ex.99.1) | Prepaid expenses and other assets | 338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URI 2Q26 earnings release (Ex.99.1) | Prepaid expenses and other assets | 390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URI 3Q25 earnings release (Ex.99.1) | Rental equipment, net | 16,405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URI 4Q25/FY25 earnings release (Ex.99.1) | Rental equipment, net | 16,069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URI 1Q26 earnings release (Ex.99.1) | Rental equipment, net | 16,164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URI 2Q26 earnings release (Ex.99.1) | Rental equipment, net | 17,350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URI 3Q25 earnings release (Ex.99.1) | Property and equipment, net | 1,075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URI 4Q25/FY25 earnings release (Ex.99.1) | Property and equipment, net | 1,134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URI 1Q26 earnings release (Ex.99.1) | Property and equipment, net | 1,126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URI 2Q26 earnings release (Ex.99.1) | Property and equipment, net | 1,134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URI 3Q25 earnings release (Ex.99.1) | Goodwill | 6,884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URI 4Q25/FY25 earnings release (Ex.99.1) | Goodwill | 7,119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URI 1Q26 earnings release (Ex.99.1) | Goodwill | 7,285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URI 2Q26 earnings release (Ex.99.1) | Goodwill | 7,201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URI 3Q25 earnings release (Ex.99.1) | Other intangible assets, net | 531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URI 4Q25/FY25 earnings release (Ex.99.1) | Other intangible assets, net | 477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URI 1Q26 earnings release (Ex.99.1) | Other intangible assets, net | 547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URI 2Q26 earnings release (Ex.99.1) | Other intangible assets, net | 561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URI 3Q25 earnings release (Ex.99.1) | Operating lease right-of-use assets | 1,326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URI 4Q25/FY25 earnings release (Ex.99.1) | Operating lease right-of-use assets | 1,395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URI 1Q26 earnings release (Ex.99.1) | Operating lease right-of-use assets | 1,389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URI 2Q26 earnings release (Ex.99.1) | Operating lease right-of-use assets | 1,412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URI 3Q25 earnings release (Ex.99.1) | Other long-term assets | 61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URI 4Q25/FY25 earnings release (Ex.99.1) | Other long-term assets | 64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URI 1Q26 earnings release (Ex.99.1) | Other long-term assets | 66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URI 2Q26 earnings release (Ex.99.1) | Other long-term assets | 63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URI 3Q25 earnings release (Ex.99.1) | Short-term debt &amp; current LTD | 1,548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URI 4Q25/FY25 earnings release (Ex.99.1) | Short-term debt &amp; current LTD | 1,577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URI 1Q26 earnings release (Ex.99.1) | Short-term debt &amp; current LTD | 1,623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URI 2Q26 earnings release (Ex.99.1) | Short-term debt &amp; current LTD | 1,541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URI 3Q25 earnings release (Ex.99.1) | Accounts payable | 1,276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URI 4Q25/FY25 earnings release (Ex.99.1) | Accounts payable | 776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URI 1Q26 earnings release (Ex.99.1) | Accounts payable | 1,085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URI 2Q26 earnings release (Ex.99.1) | Accounts payable | 1,610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URI 3Q25 earnings release (Ex.99.1) | Accrued expenses and other liabilities | 1,387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URI 4Q25/FY25 earnings release (Ex.99.1) | Accrued expenses and other liabilities | 1,466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URI 1Q26 earnings release (Ex.99.1) | Accrued expenses and other liabilities | 1,419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URI 2Q26 earnings release (Ex.99.1) | Accrued expenses and other liabilities | 1,552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URI 3Q25 earnings release (Ex.99.1) | Long-term debt | 12,600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URI 4Q25/FY25 earnings release (Ex.99.1) | Long-term debt | 12,652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URI 1Q26 earnings release (Ex.99.1) | Long-term debt | 12,263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URI 2Q26 earnings release (Ex.99.1) | Long-term debt | 12,689</t>
        </r>
      </text>
    </comment>
    <comment ref="C29" authorId="0">
      <text>
        <r>
          <rPr>
            <sz val="9"/>
            <color rgb="FF000000"/>
            <rFont val="Arial"/>
            <family val="2"/>
          </rPr>
          <t>URI 3Q25 earnings release (Ex.99.1) | Deferred taxes | 2,971</t>
        </r>
      </text>
    </comment>
    <comment ref="D29" authorId="0">
      <text>
        <r>
          <rPr>
            <sz val="9"/>
            <color rgb="FF000000"/>
            <rFont val="Arial"/>
            <family val="2"/>
          </rPr>
          <t>URI 4Q25/FY25 earnings release (Ex.99.1) | Deferred taxes | 3,115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URI 1Q26 earnings release (Ex.99.1) | Deferred taxes | 3,199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URI 2Q26 earnings release (Ex.99.1) | Deferred taxes | 3,333</t>
        </r>
      </text>
    </comment>
    <comment ref="C30" authorId="0">
      <text>
        <r>
          <rPr>
            <sz val="9"/>
            <color rgb="FF000000"/>
            <rFont val="Arial"/>
            <family val="2"/>
          </rPr>
          <t>URI 3Q25 earnings release (Ex.99.1) | Operating lease liabilities | 1,064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URI 4Q25/FY25 earnings release (Ex.99.1) | Operating lease liabilities | 1,124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URI 1Q26 earnings release (Ex.99.1) | Operating lease liabilities | 1,133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URI 2Q26 earnings release (Ex.99.1) | Operating lease liabilities | 1,155</t>
        </r>
      </text>
    </comment>
    <comment ref="C31" authorId="0">
      <text>
        <r>
          <rPr>
            <sz val="9"/>
            <color rgb="FF000000"/>
            <rFont val="Arial"/>
            <family val="2"/>
          </rPr>
          <t>URI 3Q25 earnings release (Ex.99.1) | Other long-term liabilities | 219</t>
        </r>
      </text>
    </comment>
    <comment ref="D31" authorId="0">
      <text>
        <r>
          <rPr>
            <sz val="9"/>
            <color rgb="FF000000"/>
            <rFont val="Arial"/>
            <family val="2"/>
          </rPr>
          <t>URI 4Q25/FY25 earnings release (Ex.99.1) | Other long-term liabilities | 188</t>
        </r>
      </text>
    </comment>
    <comment ref="E31" authorId="0">
      <text>
        <r>
          <rPr>
            <sz val="9"/>
            <color rgb="FF000000"/>
            <rFont val="Arial"/>
            <family val="2"/>
          </rPr>
          <t>URI 1Q26 earnings release (Ex.99.1) | Other long-term liabilities | 198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URI 2Q26 earnings release (Ex.99.1) | Other long-term liabilities | 210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URI 3Q25 earnings release (Ex.99.1) | Common stock | 1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URI 4Q25/FY25 earnings release (Ex.99.1) | Common stock | 1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URI 1Q26 earnings release (Ex.99.1) | Common stock | 1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URI 2Q26 earnings release (Ex.99.1) | Common stock | 1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URI 3Q25 earnings release (Ex.99.1) | Additional paid-in capital | 2,751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URI 4Q25/FY25 earnings release (Ex.99.1) | Additional paid-in capital | 2,769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URI 1Q26 earnings release (Ex.99.1) | Additional paid-in capital | 2,762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URI 2Q26 earnings release (Ex.99.1) | Additional paid-in capital | 2,803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URI 3Q25 earnings release (Ex.99.1) | Retained earnings | 15,304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URI 4Q25/FY25 earnings release (Ex.99.1) | Retained earnings | 15,843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URI 1Q26 earnings release (Ex.99.1) | Retained earnings | 16,250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URI 2Q26 earnings release (Ex.99.1) | Retained earnings | 16,879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URI 3Q25 earnings release (Ex.99.1) | Treasury stock | -8,773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URI 4Q25/FY25 earnings release (Ex.99.1) | Treasury stock | -9,396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URI 1Q26 earnings release (Ex.99.1) | Treasury stock | -9,773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URI 2Q26 earnings release (Ex.99.1) | Treasury stock | -10,152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URI 3Q25 earnings release (Ex.99.1) | Accumulated other comprehensive loss | -283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URI 4Q25/FY25 earnings release (Ex.99.1) | Accumulated other comprehensive loss | -249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URI 1Q26 earnings release (Ex.99.1) | Accumulated other comprehensive loss | -272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URI 2Q26 earnings release (Ex.99.1) | Accumulated other comprehensive loss | -307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URI 3Q25 earnings release (Ex.99.1) | Total assets — as reported | 30,065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URI 4Q25/FY25 earnings release (Ex.99.1) | Total assets — as reported | 29,866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URI 1Q26 earnings release (Ex.99.1) | Total assets — as reported | 29,888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URI 2Q26 earnings release (Ex.99.1) | Total assets — as reported | 31,314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URI 3Q25 earnings release (Ex.99.1) | Net income | 701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URI 4Q25/FY25 earnings release (Ex.99.1) | Net income | 653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URI 1Q26 earnings release (Ex.99.1) | Net income | 531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URI 2Q26 earnings release (Ex.99.1) | Net income | 753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URI 3Q25 earnings release (Ex.99.1) | Depreciation and amortization | 793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URI 4Q25/FY25 earnings release (Ex.99.1) | Depreciation and amortization | 805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URI 1Q26 earnings release (Ex.99.1) | Depreciation and amortization | 795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URI 2Q26 earnings release (Ex.99.1) | Depreciation and amortization | 820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URI 3Q25 earnings release (Ex.99.1) | Amort. of deferred financing/OID | 3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URI 4Q25/FY25 earnings release (Ex.99.1) | Amort. of deferred financing/OID | 4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URI 1Q26 earnings release (Ex.99.1) | Amort. of deferred financing/OID | 4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URI 2Q26 earnings release (Ex.99.1) | Amort. of deferred financing/OID | 4</t>
        </r>
      </text>
    </comment>
    <comment ref="H13" authorId="0">
      <text>
        <r>
          <rPr>
            <sz val="9"/>
            <color rgb="FF000000"/>
            <rFont val="Arial"/>
            <family val="2"/>
          </rPr>
          <t>URI 3Q25 earnings release (Ex.99.1) | Amort. of deferred financing/OID | 4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URI 3Q25 earnings release (Ex.99.1) | Gain on sales of rental equipment | -147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URI 4Q25/FY25 earnings release (Ex.99.1) | Gain on sales of rental equipment | -175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URI 1Q26 earnings release (Ex.99.1) | Gain on sales of rental equipment | -160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URI 2Q26 earnings release (Ex.99.1) | Gain on sales of rental equipment | -154</t>
        </r>
      </text>
    </comment>
    <comment ref="C15" authorId="0">
      <text>
        <r>
          <rPr>
            <sz val="9"/>
            <color rgb="FF000000"/>
            <rFont val="Arial"/>
            <family val="2"/>
          </rPr>
          <t>URI 3Q25 earnings release (Ex.99.1) | Gain on sales of non-rental equipment | -5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URI 4Q25/FY25 earnings release (Ex.99.1) | Gain on sales of non-rental equipment | -3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URI 1Q26 earnings release (Ex.99.1) | Gain on sales of non-rental equipment | -4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URI 2Q26 earnings release (Ex.99.1) | Gain on sales of non-rental equipment | -3</t>
        </r>
      </text>
    </comment>
    <comment ref="H15" authorId="0">
      <text>
        <r>
          <rPr>
            <sz val="9"/>
            <color rgb="FF000000"/>
            <rFont val="Arial"/>
            <family val="2"/>
          </rPr>
          <t>URI 3Q25 earnings release (Ex.99.1) | Gain on sales of non-rental equipment | -4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URI 3Q25 earnings release (Ex.99.1) | Gain on sale of business | 0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URI 4Q25/FY25 earnings release (Ex.99.1) | Gain on sale of business | 0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URI 1Q26 earnings release (Ex.99.1) | Gain on sale of business | 0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URI 2Q26 earnings release (Ex.99.1) | Gain on sale of business | -49</t>
        </r>
      </text>
    </comment>
    <comment ref="H16" authorId="0">
      <text>
        <r>
          <rPr>
            <sz val="9"/>
            <color rgb="FF000000"/>
            <rFont val="Arial"/>
            <family val="2"/>
          </rPr>
          <t>URI 3Q25 earnings release (Ex.99.1) | Gain on sale of business | 0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URI 3Q25 earnings release (Ex.99.1) | Insurance proceeds (damaged equip.) | -13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URI 4Q25/FY25 earnings release (Ex.99.1) | Insurance proceeds (damaged equip.) | -14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URI 1Q26 earnings release (Ex.99.1) | Insurance proceeds (damaged equip.) | -10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URI 2Q26 earnings release (Ex.99.1) | Insurance proceeds (damaged equip.) | -13</t>
        </r>
      </text>
    </comment>
    <comment ref="H17" authorId="0">
      <text>
        <r>
          <rPr>
            <sz val="9"/>
            <color rgb="FF000000"/>
            <rFont val="Arial"/>
            <family val="2"/>
          </rPr>
          <t>URI 3Q25 earnings release (Ex.99.1) | Insurance proceeds (damaged equip.) | -13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URI 3Q25 earnings release (Ex.99.1) | Stock compensation expense, net | 32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URI 4Q25/FY25 earnings release (Ex.99.1) | Stock compensation expense, net | 32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URI 1Q26 earnings release (Ex.99.1) | Stock compensation expense, net | 36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URI 2Q26 earnings release (Ex.99.1) | Stock compensation expense, net | 43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URI 3Q25 earnings release (Ex.99.1) | Restructuring charge | 0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URI 4Q25/FY25 earnings release (Ex.99.1) | Restructuring charge | 0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URI 1Q26 earnings release (Ex.99.1) | Restructuring charge | 45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URI 2Q26 earnings release (Ex.99.1) | Restructuring charge | 6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URI 3Q25 earnings release (Ex.99.1) | Debt-related activity | 2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URI 4Q25/FY25 earnings release (Ex.99.1) | Debt-related activity | 0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URI 1Q26 earnings release (Ex.99.1) | Debt-related activity | 0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URI 2Q26 earnings release (Ex.99.1) | Debt-related activity | 0</t>
        </r>
      </text>
    </comment>
    <comment ref="H20" authorId="0">
      <text>
        <r>
          <rPr>
            <sz val="9"/>
            <color rgb="FF000000"/>
            <rFont val="Arial"/>
            <family val="2"/>
          </rPr>
          <t>URI 3Q25 earnings release (Ex.99.1) | Debt-related activity | 0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URI 3Q25 earnings release (Ex.99.1) | Increase (decrease) in deferred taxes | 297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URI 4Q25/FY25 earnings release (Ex.99.1) | Increase (decrease) in deferred taxes | 146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URI 1Q26 earnings release (Ex.99.1) | Increase (decrease) in deferred taxes | 83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URI 2Q26 earnings release (Ex.99.1) | Increase (decrease) in deferred taxes | 137</t>
        </r>
      </text>
    </comment>
    <comment ref="H21" authorId="0">
      <text>
        <r>
          <rPr>
            <sz val="9"/>
            <color rgb="FF000000"/>
            <rFont val="Arial"/>
            <family val="2"/>
          </rPr>
          <t>URI 3Q25 earnings release (Ex.99.1) | Increase (decrease) in deferred taxes | 120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URI 3Q25 earnings release (Ex.99.1) | (Inc.) dec. in receivables | -213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URI 4Q25/FY25 earnings release (Ex.99.1) | (Inc.) dec. in receivables | 88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URI 1Q26 earnings release (Ex.99.1) | (Inc.) dec. in receivables | -29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URI 2Q26 earnings release (Ex.99.1) | (Inc.) dec. in receivables | -243</t>
        </r>
      </text>
    </comment>
    <comment ref="H22" authorId="0">
      <text>
        <r>
          <rPr>
            <sz val="9"/>
            <color rgb="FF000000"/>
            <rFont val="Arial"/>
            <family val="2"/>
          </rPr>
          <t>URI 3Q25 earnings release (Ex.99.1) | (Inc.) dec. in receivables | -160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URI 3Q25 earnings release (Ex.99.1) | (Increase) decrease in inventory | 8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URI 4Q25/FY25 earnings release (Ex.99.1) | (Increase) decrease in inventory | -5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URI 1Q26 earnings release (Ex.99.1) | (Increase) decrease in inventory | -14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URI 2Q26 earnings release (Ex.99.1) | (Increase) decrease in inventory | -40</t>
        </r>
      </text>
    </comment>
    <comment ref="H23" authorId="0">
      <text>
        <r>
          <rPr>
            <sz val="9"/>
            <color rgb="FF000000"/>
            <rFont val="Arial"/>
            <family val="2"/>
          </rPr>
          <t>URI 3Q25 earnings release (Ex.99.1) | (Increase) decrease in inventory | -5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URI 3Q25 earnings release (Ex.99.1) | (Inc.) dec. in prepaid &amp; other | -88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URI 4Q25/FY25 earnings release (Ex.99.1) | (Inc.) dec. in prepaid &amp; other | 67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URI 1Q26 earnings release (Ex.99.1) | (Inc.) dec. in prepaid &amp; other | 75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URI 2Q26 earnings release (Ex.99.1) | (Inc.) dec. in prepaid &amp; other | -45</t>
        </r>
      </text>
    </comment>
    <comment ref="H24" authorId="0">
      <text>
        <r>
          <rPr>
            <sz val="9"/>
            <color rgb="FF000000"/>
            <rFont val="Arial"/>
            <family val="2"/>
          </rPr>
          <t>URI 3Q25 earnings release (Ex.99.1) | (Inc.) dec. in prepaid &amp; other | -40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URI 3Q25 earnings release (Ex.99.1) | Inc. (dec.) in accounts payable | -191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URI 4Q25/FY25 earnings release (Ex.99.1) | Inc. (dec.) in accounts payable | -360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URI 1Q26 earnings release (Ex.99.1) | Inc. (dec.) in accounts payable | 198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URI 2Q26 earnings release (Ex.99.1) | Inc. (dec.) in accounts payable | 425</t>
        </r>
      </text>
    </comment>
    <comment ref="H25" authorId="0">
      <text>
        <r>
          <rPr>
            <sz val="9"/>
            <color rgb="FF000000"/>
            <rFont val="Arial"/>
            <family val="2"/>
          </rPr>
          <t>URI 3Q25 earnings release (Ex.99.1) | Inc. (dec.) in accounts payable | -150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URI 3Q25 earnings release (Ex.99.1) | Inc. (dec.) in accrued expenses | 2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URI 4Q25/FY25 earnings release (Ex.99.1) | Inc. (dec.) in accrued expenses | 18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URI 1Q26 earnings release (Ex.99.1) | Inc. (dec.) in accrued expenses | -36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URI 2Q26 earnings release (Ex.99.1) | Inc. (dec.) in accrued expenses | 150</t>
        </r>
      </text>
    </comment>
    <comment ref="H26" authorId="0">
      <text>
        <r>
          <rPr>
            <sz val="9"/>
            <color rgb="FF000000"/>
            <rFont val="Arial"/>
            <family val="2"/>
          </rPr>
          <t>URI 3Q25 earnings release (Ex.99.1) | Inc. (dec.) in accrued expenses | 40</t>
        </r>
      </text>
    </comment>
    <comment ref="C30" authorId="0">
      <text>
        <r>
          <rPr>
            <sz val="9"/>
            <color rgb="FF000000"/>
            <rFont val="Arial"/>
            <family val="2"/>
          </rPr>
          <t>URI 3Q25 earnings release (Ex.99.1) | Purchases of rental equipment | -1,455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URI 4Q25/FY25 earnings release (Ex.99.1) | Purchases of rental equipment | -573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URI 1Q26 earnings release (Ex.99.1) | Purchases of rental equipment | -767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URI 2Q26 earnings release (Ex.99.1) | Purchases of rental equipment | -1,953</t>
        </r>
      </text>
    </comment>
    <comment ref="C31" authorId="0">
      <text>
        <r>
          <rPr>
            <sz val="9"/>
            <color rgb="FF000000"/>
            <rFont val="Arial"/>
            <family val="2"/>
          </rPr>
          <t>URI 3Q25 earnings release (Ex.99.1) | Purchases of non-rental equip. | -91</t>
        </r>
      </text>
    </comment>
    <comment ref="D31" authorId="0">
      <text>
        <r>
          <rPr>
            <sz val="9"/>
            <color rgb="FF000000"/>
            <rFont val="Arial"/>
            <family val="2"/>
          </rPr>
          <t>URI 4Q25/FY25 earnings release (Ex.99.1) | Purchases of non-rental equip. | -106</t>
        </r>
      </text>
    </comment>
    <comment ref="E31" authorId="0">
      <text>
        <r>
          <rPr>
            <sz val="9"/>
            <color rgb="FF000000"/>
            <rFont val="Arial"/>
            <family val="2"/>
          </rPr>
          <t>URI 1Q26 earnings release (Ex.99.1) | Purchases of non-rental equip. | -66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URI 2Q26 earnings release (Ex.99.1) | Purchases of non-rental equip. | -99</t>
        </r>
      </text>
    </comment>
    <comment ref="H31" authorId="0">
      <text>
        <r>
          <rPr>
            <sz val="9"/>
            <color rgb="FF000000"/>
            <rFont val="Arial"/>
            <family val="2"/>
          </rPr>
          <t>URI 3Q25 earnings release (Ex.99.1) | Purchases of non-rental equip. | -95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URI 3Q25 earnings release (Ex.99.1) | Proceeds: rental equipment sales | 333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URI 4Q25/FY25 earnings release (Ex.99.1) | Proceeds: rental equipment sales | 386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URI 1Q26 earnings release (Ex.99.1) | Proceeds: rental equipment sales | 350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URI 2Q26 earnings release (Ex.99.1) | Proceeds: rental equipment sales | 330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URI 3Q25 earnings release (Ex.99.1) | Proceeds: non-rental equip. sales | 13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URI 4Q25/FY25 earnings release (Ex.99.1) | Proceeds: non-rental equip. sales | 12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URI 1Q26 earnings release (Ex.99.1) | Proceeds: non-rental equip. sales | 13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URI 2Q26 earnings release (Ex.99.1) | Proceeds: non-rental equip. sales | 13</t>
        </r>
      </text>
    </comment>
    <comment ref="H33" authorId="0">
      <text>
        <r>
          <rPr>
            <sz val="9"/>
            <color rgb="FF000000"/>
            <rFont val="Arial"/>
            <family val="2"/>
          </rPr>
          <t>URI 3Q25 earnings release (Ex.99.1) | Proceeds: non-rental equip. sales | 13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URI 3Q25 earnings release (Ex.99.1) | Proceeds from sale of business | 0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URI 4Q25/FY25 earnings release (Ex.99.1) | Proceeds from sale of business | 0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URI 1Q26 earnings release (Ex.99.1) | Proceeds from sale of business | 0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URI 2Q26 earnings release (Ex.99.1) | Proceeds from sale of business | 82</t>
        </r>
      </text>
    </comment>
    <comment ref="H34" authorId="0">
      <text>
        <r>
          <rPr>
            <sz val="9"/>
            <color rgb="FF000000"/>
            <rFont val="Arial"/>
            <family val="2"/>
          </rPr>
          <t>URI 3Q25 earnings release (Ex.99.1) | Proceeds from sale of business | 0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URI 3Q25 earnings release (Ex.99.1) | Insurance proceeds (damaged equip.) | 13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URI 4Q25/FY25 earnings release (Ex.99.1) | Insurance proceeds (damaged equip.) | 14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URI 1Q26 earnings release (Ex.99.1) | Insurance proceeds (damaged equip.) | 10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URI 2Q26 earnings release (Ex.99.1) | Insurance proceeds (damaged equip.) | 13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URI 3Q25 earnings release (Ex.99.1) | Acquisitions, net of cash | -6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URI 4Q25/FY25 earnings release (Ex.99.1) | Acquisitions, net of cash | -335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URI 1Q26 earnings release (Ex.99.1) | Acquisitions, net of cash | -396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URI 2Q26 earnings release (Ex.99.1) | Acquisitions, net of cash | -4</t>
        </r>
      </text>
    </comment>
    <comment ref="H36" authorId="0">
      <text>
        <r>
          <rPr>
            <sz val="9"/>
            <color rgb="FF000000"/>
            <rFont val="Arial"/>
            <family val="2"/>
          </rPr>
          <t>URI 3Q25 earnings release (Ex.99.1) | Acquisitions, net of cash | 0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URI 3Q25 earnings release (Ex.99.1) | Purchases of investments | -1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URI 4Q25/FY25 earnings release (Ex.99.1) | Purchases of investments | -1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URI 1Q26 earnings release (Ex.99.1) | Purchases of investments | 0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URI 2Q26 earnings release (Ex.99.1) | Purchases of investments | 0</t>
        </r>
      </text>
    </comment>
    <comment ref="H37" authorId="0">
      <text>
        <r>
          <rPr>
            <sz val="9"/>
            <color rgb="FF000000"/>
            <rFont val="Arial"/>
            <family val="2"/>
          </rPr>
          <t>URI 3Q25 earnings release (Ex.99.1) | Purchases of investments | 0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URI 3Q25 earnings release (Ex.99.1) | Proceeds from sales of investments | 0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URI 4Q25/FY25 earnings release (Ex.99.1) | Proceeds from sales of investments | 0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URI 1Q26 earnings release (Ex.99.1) | Proceeds from sales of investments | 3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URI 2Q26 earnings release (Ex.99.1) | Proceeds from sales of investments | 0</t>
        </r>
      </text>
    </comment>
    <comment ref="H38" authorId="0">
      <text>
        <r>
          <rPr>
            <sz val="9"/>
            <color rgb="FF000000"/>
            <rFont val="Arial"/>
            <family val="2"/>
          </rPr>
          <t>URI 3Q25 earnings release (Ex.99.1) | Proceeds from sales of investments | 0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URI 3Q25 earnings release (Ex.99.1) | Proceeds from debt | 2,638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URI 4Q25/FY25 earnings release (Ex.99.1) | Proceeds from debt | 3,715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URI 1Q26 earnings release (Ex.99.1) | Proceeds from debt | 2,055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URI 2Q26 earnings release (Ex.99.1) | Proceeds from debt | 2,448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URI 3Q25 earnings release (Ex.99.1) | Payments of debt | -1,910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URI 4Q25/FY25 earnings release (Ex.99.1) | Payments of debt | -3,667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URI 1Q26 earnings release (Ex.99.1) | Payments of debt | -2,449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URI 2Q26 earnings release (Ex.99.1) | Payments of debt | -2,145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URI 3Q25 earnings release (Ex.99.1) | Payment of contingent consideration | 0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URI 4Q25/FY25 earnings release (Ex.99.1) | Payment of contingent consideration | 0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URI 1Q26 earnings release (Ex.99.1) | Payment of contingent consideration | -18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URI 2Q26 earnings release (Ex.99.1) | Payment of contingent consideration | 0</t>
        </r>
      </text>
    </comment>
    <comment ref="H43" authorId="0">
      <text>
        <r>
          <rPr>
            <sz val="9"/>
            <color rgb="FF000000"/>
            <rFont val="Arial"/>
            <family val="2"/>
          </rPr>
          <t>URI 3Q25 earnings release (Ex.99.1) | Payment of contingent consideration | 0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URI 3Q25 earnings release (Ex.99.1) | Financing &amp; debt costs paid | -9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URI 4Q25/FY25 earnings release (Ex.99.1) | Financing &amp; debt costs paid | -15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URI 1Q26 earnings release (Ex.99.1) | Financing &amp; debt costs paid | 0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URI 2Q26 earnings release (Ex.99.1) | Financing &amp; debt costs paid | -1</t>
        </r>
      </text>
    </comment>
    <comment ref="H44" authorId="0">
      <text>
        <r>
          <rPr>
            <sz val="9"/>
            <color rgb="FF000000"/>
            <rFont val="Arial"/>
            <family val="2"/>
          </rPr>
          <t>URI 3Q25 earnings release (Ex.99.1) | Financing &amp; debt costs paid | 0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URI 3Q25 earnings release (Ex.99.1) | Share repurchases (incl. withholding) | -618</t>
        </r>
      </text>
    </comment>
    <comment ref="D45" authorId="0">
      <text>
        <r>
          <rPr>
            <sz val="9"/>
            <color rgb="FF000000"/>
            <rFont val="Arial"/>
            <family val="2"/>
          </rPr>
          <t>URI 4Q25/FY25 earnings release (Ex.99.1) | Share repurchases (incl. withholding) | -631</t>
        </r>
      </text>
    </comment>
    <comment ref="E45" authorId="0">
      <text>
        <r>
          <rPr>
            <sz val="9"/>
            <color rgb="FF000000"/>
            <rFont val="Arial"/>
            <family val="2"/>
          </rPr>
          <t>URI 1Q26 earnings release (Ex.99.1) | Share repurchases (incl. withholding) | -421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URI 2Q26 earnings release (Ex.99.1) | Share repurchases (incl. withholding) | -395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URI 3Q25 earnings release (Ex.99.1) | Dividends paid | -115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URI 4Q25/FY25 earnings release (Ex.99.1) | Dividends paid | -114</t>
        </r>
      </text>
    </comment>
    <comment ref="E46" authorId="0">
      <text>
        <r>
          <rPr>
            <sz val="9"/>
            <color rgb="FF000000"/>
            <rFont val="Arial"/>
            <family val="2"/>
          </rPr>
          <t>URI 1Q26 earnings release (Ex.99.1) | Dividends paid | -125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URI 2Q26 earnings release (Ex.99.1) | Dividends paid | -123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URI 3Q25 earnings release (Ex.99.1) | Effect of foreign exchange rates | -9</t>
        </r>
      </text>
    </comment>
    <comment ref="D48" authorId="0">
      <text>
        <r>
          <rPr>
            <sz val="9"/>
            <color rgb="FF000000"/>
            <rFont val="Arial"/>
            <family val="2"/>
          </rPr>
          <t>URI 4Q25/FY25 earnings release (Ex.99.1) | Effect of foreign exchange rates | 6</t>
        </r>
      </text>
    </comment>
    <comment ref="E48" authorId="0">
      <text>
        <r>
          <rPr>
            <sz val="9"/>
            <color rgb="FF000000"/>
            <rFont val="Arial"/>
            <family val="2"/>
          </rPr>
          <t>URI 1Q26 earnings release (Ex.99.1) | Effect of foreign exchange rates | -6</t>
        </r>
      </text>
    </comment>
    <comment ref="F48" authorId="0">
      <text>
        <r>
          <rPr>
            <sz val="9"/>
            <color rgb="FF000000"/>
            <rFont val="Arial"/>
            <family val="2"/>
          </rPr>
          <t>URI 2Q26 earnings release (Ex.99.1) | Effect of foreign exchange rates | -1</t>
        </r>
      </text>
    </comment>
    <comment ref="H48" authorId="0">
      <text>
        <r>
          <rPr>
            <sz val="9"/>
            <color rgb="FF000000"/>
            <rFont val="Arial"/>
            <family val="2"/>
          </rPr>
          <t>URI 3Q25 earnings release (Ex.99.1) | Effect of foreign exchange rates | 0</t>
        </r>
      </text>
    </comment>
    <comment ref="C50" authorId="0">
      <text>
        <r>
          <rPr>
            <sz val="9"/>
            <color rgb="FF000000"/>
            <rFont val="Arial"/>
            <family val="2"/>
          </rPr>
          <t>URI 3Q25 earnings release (Ex.99.1) | Cash at beginning of period | 548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URI 3Q25 earnings release (Ex.99.1) | Weighted average basic shares | 64.20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URI 4Q25/FY25 earnings release (Ex.99.1) | Weighted average basic shares | 63.40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URI 1Q26 earnings release (Ex.99.1) | Weighted average basic shares | 62.90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URI 2Q26 earnings release (Ex.99.1) | Weighted average basic shares | 62.60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URI 4Q25/FY25 earnings release (Ex.99.1) | Weighted average basic shares | 64.40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URI 3Q25 earnings release (Ex.99.1) | Dilutive RSUs / options | 10.0%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URI 4Q25/FY25 earnings release (Ex.99.1) | Dilutive RSUs / options | 20.0%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URI 1Q26 earnings release (Ex.99.1) | Dilutive RSUs / options | 10.0%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URI 2Q26 earnings release (Ex.99.1) | Dilutive RSUs / options | 0.0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URI 4Q25/FY25 earnings release (Ex.99.1) | Dilutive RSUs / options | 20.0%</t>
        </r>
      </text>
    </comment>
    <comment ref="H14" authorId="0">
      <text>
        <r>
          <rPr>
            <sz val="9"/>
            <color rgb="FF000000"/>
            <rFont val="Arial"/>
            <family val="2"/>
          </rPr>
          <t>URI 3Q25 earnings release (Ex.99.1) | Dilutive RSUs / options | 5.0%</t>
        </r>
      </text>
    </comment>
    <comment ref="C15" authorId="0">
      <text>
        <r>
          <rPr>
            <sz val="9"/>
            <color rgb="FF000000"/>
            <rFont val="Arial"/>
            <family val="2"/>
          </rPr>
          <t>URI 3Q25 earnings release (Ex.99.1) | Weighted average diluted shares | 64.30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URI 4Q25/FY25 earnings release (Ex.99.1) | Weighted average diluted shares | 63.60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URI 1Q26 earnings release (Ex.99.1) | Weighted average diluted shares | 63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URI 2Q26 earnings release (Ex.99.1) | Weighted average diluted shares | 62.60</t>
        </r>
      </text>
    </comment>
    <comment ref="G15" authorId="0">
      <text>
        <r>
          <rPr>
            <sz val="9"/>
            <color rgb="FF000000"/>
            <rFont val="Arial"/>
            <family val="2"/>
          </rPr>
          <t>URI 4Q25/FY25 earnings release (Ex.99.1) | Weighted average diluted shares | 64.60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URI Form 10-Q 3Q25 | Shares out. at filing cover (M) | 63.63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URI Form 10-K FY25 (incl. XBRL R47/R51/R52/R54) | Shares out. at filing cover (M) | 63.00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URI Form 10-Q 1Q26 | Shares out. at filing cover (M) | 62.65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URI Form 10-Q 2Q26 | Shares out. at filing cover (M) | 62.24</t>
        </r>
      </text>
    </comment>
    <comment ref="H23" authorId="0">
      <text>
        <r>
          <rPr>
            <sz val="9"/>
            <color rgb="FF000000"/>
            <rFont val="Arial"/>
            <family val="2"/>
          </rPr>
          <t>URI 2Q26 earnings release (Ex.99.1) | Less: 6M26 program repurchases ($M) | 750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URI 3Q25 earnings release (Ex.99.1) | Dividends declared per share ($) | 1.79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URI 4Q25/FY25 earnings release (Ex.99.1) | Dividends declared per share ($) | 1.79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URI 1Q26 earnings release (Ex.99.1) | Dividends declared per share ($) | 1.97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URI 2Q26 earnings release (Ex.99.1) | Dividends declared per share ($) | 1.97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URI 4Q25/FY25 earnings release (Ex.99.1) | Dividends declared per share ($) | 7.16</t>
        </r>
      </text>
    </comment>
    <comment ref="H34" authorId="0">
      <text>
        <r>
          <rPr>
            <sz val="9"/>
            <color rgb="FF000000"/>
            <rFont val="Arial"/>
            <family val="2"/>
          </rPr>
          <t>URI 3Q25 earnings release (Ex.99.1) | Dividends declared per share ($) | 1.97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E12" authorId="0">
      <text>
        <r>
          <rPr>
            <sz val="9"/>
            <color rgb="FF000000"/>
            <rFont val="Arial"/>
            <family val="2"/>
          </rPr>
          <t>URI 3Q25 earnings release (Ex.99.1) | Total revenue ($M) | 15,800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URI 3Q25 earnings release (Ex.99.1) | Total revenue ($M) | 16,100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URI 3Q25 earnings release (Ex.99.1) | Adjusted EBITDA ($M) | 7,300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URI 3Q25 earnings release (Ex.99.1) | Adjusted EBITDA ($M) | 7,450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URI 3Q25 earnings release (Ex.99.1) | Gross rental capex ($M) | 3,650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URI 3Q25 earnings release (Ex.99.1) | Gross rental capex ($M) | 3,950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URI 3Q25 earnings release (Ex.99.1) | Operating cash flow ($M) | 4,900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URI 3Q25 earnings release (Ex.99.1) | Operating cash flow ($M) | 5,500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URI 3Q25 earnings release (Ex.99.1) | Total revenue ($M) | 16,000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URI 3Q25 earnings release (Ex.99.1) | Total revenue ($M) | 16,200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URI 3Q25 earnings release (Ex.99.1) | Adjusted EBITDA ($M) | 7,325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URI 3Q25 earnings release (Ex.99.1) | Adjusted EBITDA ($M) | 7,425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URI 3Q25 earnings release (Ex.99.1) | Gross rental capex ($M) | 4,000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URI 3Q25 earnings release (Ex.99.1) | Gross rental capex ($M) | 4,200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URI 3Q25 earnings release (Ex.99.1) | Net rental capex ($M) | 2,550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URI 3Q25 earnings release (Ex.99.1) | Net rental capex ($M) | 2,750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URI 3Q25 earnings release (Ex.99.1) | Operating cash flow ($M) | 5,000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URI 3Q25 earnings release (Ex.99.1) | Operating cash flow ($M) | 5,400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URI 4Q25/FY25 earnings release (Ex.99.1) | FCF ex merger/restructuring ($M) | 2,100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URI 4Q25/FY25 earnings release (Ex.99.1) | FCF ex merger/restructuring ($M) | 2,300</t>
        </r>
      </text>
    </comment>
    <comment ref="H22" authorId="0">
      <text>
        <r>
          <rPr>
            <sz val="9"/>
            <color rgb="FF000000"/>
            <rFont val="Arial"/>
            <family val="2"/>
          </rPr>
          <t>URI 4Q25/FY25 earnings release (Ex.99.1) | FCF ex merger/restructuring ($M) | 2,186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URI 4Q25/FY25 earnings release (Ex.99.1) | Total revenue ($M) | 16,800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URI 4Q25/FY25 earnings release (Ex.99.1) | Total revenue ($M) | 17,300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URI 4Q25/FY25 earnings release (Ex.99.1) | Adjusted EBITDA ($M) | 7,575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URI 4Q25/FY25 earnings release (Ex.99.1) | Adjusted EBITDA ($M) | 7,825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URI 4Q25/FY25 earnings release (Ex.99.1) | Gross rental capex ($M) | 4,300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URI 4Q25/FY25 earnings release (Ex.99.1) | Gross rental capex ($M) | 4,700</t>
        </r>
      </text>
    </comment>
    <comment ref="E27" authorId="0">
      <text>
        <r>
          <rPr>
            <sz val="9"/>
            <color rgb="FF000000"/>
            <rFont val="Arial"/>
            <family val="2"/>
          </rPr>
          <t>URI 4Q25/FY25 earnings release (Ex.99.1) | Net rental capex ($M) | 2,850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URI 4Q25/FY25 earnings release (Ex.99.1) | Net rental capex ($M) | 3,250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URI 4Q25/FY25 earnings release (Ex.99.1) | Operating cash flow ($M) | 5,300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URI 4Q25/FY25 earnings release (Ex.99.1) | Operating cash flow ($M) | 6,100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URI 4Q25/FY25 earnings release (Ex.99.1) | FCF ex restructuring ($M) | 2,150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URI 4Q25/FY25 earnings release (Ex.99.1) | FCF ex restructuring ($M) | 2,450</t>
        </r>
      </text>
    </comment>
    <comment ref="E31" authorId="0">
      <text>
        <r>
          <rPr>
            <sz val="9"/>
            <color rgb="FF000000"/>
            <rFont val="Arial"/>
            <family val="2"/>
          </rPr>
          <t>URI 1Q26 earnings release (Ex.99.1) | Total revenue ($M) | 16,900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URI 1Q26 earnings release (Ex.99.1) | Total revenue ($M) | 17,400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URI 1Q26 earnings release (Ex.99.1) | Adjusted EBITDA ($M) | 7,625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URI 1Q26 earnings release (Ex.99.1) | Adjusted EBITDA ($M) | 7,875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URI 1Q26 earnings release (Ex.99.1) | Gross rental capex ($M) | 4,400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URI 1Q26 earnings release (Ex.99.1) | Gross rental capex ($M) | 4,800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URI 1Q26 earnings release (Ex.99.1) | Net rental capex ($M) | 2,950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URI 1Q26 earnings release (Ex.99.1) | Net rental capex ($M) | 3,350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URI 1Q26 earnings release (Ex.99.1) | Operating cash flow ($M) | 5,400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URI 1Q26 earnings release (Ex.99.1) | Operating cash flow ($M) | 6,200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URI 1Q26 earnings release (Ex.99.1) | FCF ex restructuring ($M) | 2,150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URI 1Q26 earnings release (Ex.99.1) | FCF ex restructuring ($M) | 2,450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URI 2Q26 earnings release (Ex.99.1) | Total revenue ($M) | 17,500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URI 2Q26 earnings release (Ex.99.1) | Total revenue ($M) | 17,800</t>
        </r>
      </text>
    </comment>
    <comment ref="E39" authorId="0">
      <text>
        <r>
          <rPr>
            <sz val="9"/>
            <color rgb="FF000000"/>
            <rFont val="Arial"/>
            <family val="2"/>
          </rPr>
          <t>URI 2Q26 earnings release (Ex.99.1) | Adjusted EBITDA ($M) | 7,975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URI 2Q26 earnings release (Ex.99.1) | Adjusted EBITDA ($M) | 8,125</t>
        </r>
      </text>
    </comment>
    <comment ref="E40" authorId="0">
      <text>
        <r>
          <rPr>
            <sz val="9"/>
            <color rgb="FF000000"/>
            <rFont val="Arial"/>
            <family val="2"/>
          </rPr>
          <t>URI 2Q26 earnings release (Ex.99.1) | Gross rental capex ($M) | 4,850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URI 2Q26 earnings release (Ex.99.1) | Gross rental capex ($M) | 5,250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URI 2Q26 earnings release (Ex.99.1) | Net rental capex ($M) | 3,400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URI 2Q26 earnings release (Ex.99.1) | Net rental capex ($M) | 3,800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URI 2Q26 earnings release (Ex.99.1) | Operating cash flow ($M) | 5,850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URI 2Q26 earnings release (Ex.99.1) | Operating cash flow ($M) | 6,650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URI 2Q26 earnings release (Ex.99.1) | FCF ex restructuring ($M) | 2,150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URI 2Q26 earnings release (Ex.99.1) | FCF ex restructuring ($M) | 2,450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URI 2Q26 earnings call transcript | Used equipment sales (~) ($M) | 1,450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URI 2Q26 earnings call transcript | Used equipment sales (~) ($M) | 1,450</t>
        </r>
      </text>
    </comment>
    <comment ref="E45" authorId="0">
      <text>
        <r>
          <rPr>
            <sz val="9"/>
            <color rgb="FF000000"/>
            <rFont val="Arial"/>
            <family val="2"/>
          </rPr>
          <t>URI 2Q26 earnings release (Ex.99.1) | Share repurchases ($M) | 1,500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URI 2Q26 earnings release (Ex.99.1) | Share repurchases ($M) | 1,500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2" authorId="0">
      <text>
        <r>
          <rPr>
            <sz val="9"/>
            <color rgb="FF000000"/>
            <rFont val="Arial"/>
            <family val="2"/>
          </rPr>
          <t>Bernstein cuts URI PT; market cap ~$66B | Market cap ($bn) per Bernstein note, 14-Oct-26 | 66</t>
        </r>
      </text>
    </comment>
    <comment ref="C113" authorId="0">
      <text>
        <r>
          <rPr>
            <sz val="9"/>
            <color rgb="FF000000"/>
            <rFont val="Arial"/>
            <family val="2"/>
          </rPr>
          <t>URI Form 10-Q 2Q26 | Shares outstanding 20-Jul-26 (M, 10-Q cover) | 62.24</t>
        </r>
      </text>
    </comment>
    <comment ref="C128" authorId="0">
      <text>
        <r>
          <rPr>
            <sz val="9"/>
            <color rgb="FF000000"/>
            <rFont val="Arial"/>
            <family val="2"/>
          </rPr>
          <t>Zacks: URI to report Q3 earnings - what to expect | Zacks consensus EPS, 16-Oct-26 | 13.75</t>
        </r>
      </text>
    </comment>
    <comment ref="C129" authorId="0">
      <text>
        <r>
          <rPr>
            <sz val="9"/>
            <color rgb="FF000000"/>
            <rFont val="Arial"/>
            <family val="2"/>
          </rPr>
          <t>Zacks: URI to report Q3 earnings - what to expect | Zacks consensus revenue ($M), 16-Oct-26 | 4,670</t>
        </r>
      </text>
    </comment>
    <comment ref="C130" authorId="0">
      <text>
        <r>
          <rPr>
            <sz val="9"/>
            <color rgb="FF000000"/>
            <rFont val="Arial"/>
            <family val="2"/>
          </rPr>
          <t>MarketBeat URI Q3 2026 estimates page | MarketBeat consensus EPS (page dated 20-Oct-26 by crawler; seen pre-cutoff) | 13.97</t>
        </r>
      </text>
    </comment>
    <comment ref="C131" authorId="0">
      <text>
        <r>
          <rPr>
            <sz val="9"/>
            <color rgb="FF000000"/>
            <rFont val="Arial"/>
            <family val="2"/>
          </rPr>
          <t>Zacks: Exploring analyst estimates for URI Q3 | Zacks: equipment rentals revenue est. ($M) | 4,070</t>
        </r>
      </text>
    </comment>
    <comment ref="C132" authorId="0">
      <text>
        <r>
          <rPr>
            <sz val="9"/>
            <color rgb="FF000000"/>
            <rFont val="Arial"/>
            <family val="2"/>
          </rPr>
          <t>Zacks: Exploring analyst estimates for URI Q3 | Zacks: sales of rental equipment est. ($M) | 368.10</t>
        </r>
      </text>
    </comment>
    <comment ref="C135" authorId="0">
      <text>
        <r>
          <rPr>
            <sz val="9"/>
            <color rgb="FF000000"/>
            <rFont val="Arial"/>
            <family val="2"/>
          </rPr>
          <t>URI 3Q25 earnings release (Ex.99.1) | Gross rental capex, 9M25 YTD ($M) | 3,760</t>
        </r>
      </text>
    </comment>
    <comment ref="C136" authorId="0">
      <text>
        <r>
          <rPr>
            <sz val="9"/>
            <color rgb="FF000000"/>
            <rFont val="Arial"/>
            <family val="2"/>
          </rPr>
          <t>URI 2Q26 earnings release (Ex.99.1) | Gross rental capex, 6M26 YTD ($M) | 2,931</t>
        </r>
      </text>
    </comment>
    <comment ref="C137" authorId="0">
      <text>
        <r>
          <rPr>
            <sz val="9"/>
            <color rgb="FF000000"/>
            <rFont val="Arial"/>
            <family val="2"/>
          </rPr>
          <t>URI Form 10-Q 2Q26 | GR capital expenditures, 6M25 YTD ($M, segment note) | 1,822</t>
        </r>
      </text>
    </comment>
    <comment ref="C138" authorId="0">
      <text>
        <r>
          <rPr>
            <sz val="9"/>
            <color rgb="FF000000"/>
            <rFont val="Arial"/>
            <family val="2"/>
          </rPr>
          <t>URI Form 10-Q 2Q26 | Specialty capital expenditures, 6M25 YTD ($M, segment note) | 634</t>
        </r>
      </text>
    </comment>
    <comment ref="C139" authorId="0">
      <text>
        <r>
          <rPr>
            <sz val="9"/>
            <color rgb="FF000000"/>
            <rFont val="Arial"/>
            <family val="2"/>
          </rPr>
          <t>URI Form 10-Q 3Q25 | GR capital expenditures, 9M25 YTD ($M, segment note) | 3,049</t>
        </r>
      </text>
    </comment>
    <comment ref="C140" authorId="0">
      <text>
        <r>
          <rPr>
            <sz val="9"/>
            <color rgb="FF000000"/>
            <rFont val="Arial"/>
            <family val="2"/>
          </rPr>
          <t>URI Form 10-Q 3Q25 | Specialty capital expenditures, 9M25 YTD ($M, segment note) | 984</t>
        </r>
      </text>
    </comment>
    <comment ref="C141" authorId="0">
      <text>
        <r>
          <rPr>
            <sz val="9"/>
            <color rgb="FF000000"/>
            <rFont val="Arial"/>
            <family val="2"/>
          </rPr>
          <t>URI Form 10-K FY25 (incl. XBRL R47/R51/R52/R54) | GR capital expenditures, FY25 ($M, segment note) | 3,409</t>
        </r>
      </text>
    </comment>
    <comment ref="C142" authorId="0">
      <text>
        <r>
          <rPr>
            <sz val="9"/>
            <color rgb="FF000000"/>
            <rFont val="Arial"/>
            <family val="2"/>
          </rPr>
          <t>URI Form 10-K FY25 (incl. XBRL R47/R51/R52/R54) | Specialty capital expenditures, FY25 ($M, segment note) | 1,159</t>
        </r>
      </text>
    </comment>
    <comment ref="C143" authorId="0">
      <text>
        <r>
          <rPr>
            <sz val="9"/>
            <color rgb="FF000000"/>
            <rFont val="Arial"/>
            <family val="2"/>
          </rPr>
          <t>URI Form 10-Q 2Q26 | GR capital expenditures, 6M26 YTD ($M, segment note) | 2,279</t>
        </r>
      </text>
    </comment>
    <comment ref="C144" authorId="0">
      <text>
        <r>
          <rPr>
            <sz val="9"/>
            <color rgb="FF000000"/>
            <rFont val="Arial"/>
            <family val="2"/>
          </rPr>
          <t>URI Form 10-Q 2Q26 | Specialty capital expenditures, 6M26 YTD ($M, segment note) | 817</t>
        </r>
      </text>
    </comment>
    <comment ref="C147" authorId="0">
      <text>
        <r>
          <rPr>
            <sz val="9"/>
            <color rgb="FF000000"/>
            <rFont val="Arial"/>
            <family val="2"/>
          </rPr>
          <t>URI Form 10-Q 3Q25 | GR equipment rentals | 2,327</t>
        </r>
      </text>
    </comment>
    <comment ref="E147" authorId="0">
      <text>
        <r>
          <rPr>
            <sz val="9"/>
            <color rgb="FF000000"/>
            <rFont val="Arial"/>
            <family val="2"/>
          </rPr>
          <t>URI Form 10-Q 3Q25 | GR equipment rentals | 2,099</t>
        </r>
      </text>
    </comment>
    <comment ref="F147" authorId="0">
      <text>
        <r>
          <rPr>
            <sz val="9"/>
            <color rgb="FF000000"/>
            <rFont val="Arial"/>
            <family val="2"/>
          </rPr>
          <t>URI Form 10-Q 3Q25 | GR equipment rentals | 2,268</t>
        </r>
      </text>
    </comment>
    <comment ref="G147" authorId="0">
      <text>
        <r>
          <rPr>
            <sz val="9"/>
            <color rgb="FF000000"/>
            <rFont val="Arial"/>
            <family val="2"/>
          </rPr>
          <t>URI Form 10-Q 3Q25 | GR equipment rentals | 8,945</t>
        </r>
      </text>
    </comment>
    <comment ref="H147" authorId="0">
      <text>
        <r>
          <rPr>
            <sz val="9"/>
            <color rgb="FF000000"/>
            <rFont val="Arial"/>
            <family val="2"/>
          </rPr>
          <t>URI Form 10-Q 3Q25 | GR equipment rentals | 6,606</t>
        </r>
      </text>
    </comment>
    <comment ref="C148" authorId="0">
      <text>
        <r>
          <rPr>
            <sz val="9"/>
            <color rgb="FF000000"/>
            <rFont val="Arial"/>
            <family val="2"/>
          </rPr>
          <t>URI Form 10-Q 3Q25 | GR sales of rental equipment | 274</t>
        </r>
      </text>
    </comment>
    <comment ref="E148" authorId="0">
      <text>
        <r>
          <rPr>
            <sz val="9"/>
            <color rgb="FF000000"/>
            <rFont val="Arial"/>
            <family val="2"/>
          </rPr>
          <t>URI Form 10-Q 3Q25 | GR sales of rental equipment | 330</t>
        </r>
      </text>
    </comment>
    <comment ref="F148" authorId="0">
      <text>
        <r>
          <rPr>
            <sz val="9"/>
            <color rgb="FF000000"/>
            <rFont val="Arial"/>
            <family val="2"/>
          </rPr>
          <t>URI Form 10-Q 3Q25 | GR sales of rental equipment | 272</t>
        </r>
      </text>
    </comment>
    <comment ref="G148" authorId="0">
      <text>
        <r>
          <rPr>
            <sz val="9"/>
            <color rgb="FF000000"/>
            <rFont val="Arial"/>
            <family val="2"/>
          </rPr>
          <t>URI Form 10-Q 3Q25 | GR sales of rental equipment | 1,328</t>
        </r>
      </text>
    </comment>
    <comment ref="H148" authorId="0">
      <text>
        <r>
          <rPr>
            <sz val="9"/>
            <color rgb="FF000000"/>
            <rFont val="Arial"/>
            <family val="2"/>
          </rPr>
          <t>URI Form 10-Q 3Q25 | GR sales of rental equipment | 933</t>
        </r>
      </text>
    </comment>
    <comment ref="C149" authorId="0">
      <text>
        <r>
          <rPr>
            <sz val="9"/>
            <color rgb="FF000000"/>
            <rFont val="Arial"/>
            <family val="2"/>
          </rPr>
          <t>URI Form 10-Q 3Q25 | GR sales of new equipment | 36</t>
        </r>
      </text>
    </comment>
    <comment ref="E149" authorId="0">
      <text>
        <r>
          <rPr>
            <sz val="9"/>
            <color rgb="FF000000"/>
            <rFont val="Arial"/>
            <family val="2"/>
          </rPr>
          <t>URI Form 10-Q 3Q25 | GR sales of new equipment | 43</t>
        </r>
      </text>
    </comment>
    <comment ref="F149" authorId="0">
      <text>
        <r>
          <rPr>
            <sz val="9"/>
            <color rgb="FF000000"/>
            <rFont val="Arial"/>
            <family val="2"/>
          </rPr>
          <t>URI Form 10-Q 3Q25 | GR sales of new equipment | 49</t>
        </r>
      </text>
    </comment>
    <comment ref="G149" authorId="0">
      <text>
        <r>
          <rPr>
            <sz val="9"/>
            <color rgb="FF000000"/>
            <rFont val="Arial"/>
            <family val="2"/>
          </rPr>
          <t>URI Form 10-Q 3Q25 | GR sales of new equipment | 159</t>
        </r>
      </text>
    </comment>
    <comment ref="H149" authorId="0">
      <text>
        <r>
          <rPr>
            <sz val="9"/>
            <color rgb="FF000000"/>
            <rFont val="Arial"/>
            <family val="2"/>
          </rPr>
          <t>URI Form 10-Q 3Q25 | GR sales of new equipment | 92</t>
        </r>
      </text>
    </comment>
    <comment ref="C150" authorId="0">
      <text>
        <r>
          <rPr>
            <sz val="9"/>
            <color rgb="FF000000"/>
            <rFont val="Arial"/>
            <family val="2"/>
          </rPr>
          <t>URI Form 10-Q 3Q25 | GR contractor supplies | 22</t>
        </r>
      </text>
    </comment>
    <comment ref="E150" authorId="0">
      <text>
        <r>
          <rPr>
            <sz val="9"/>
            <color rgb="FF000000"/>
            <rFont val="Arial"/>
            <family val="2"/>
          </rPr>
          <t>URI Form 10-Q 3Q25 | GR contractor supplies | 20</t>
        </r>
      </text>
    </comment>
    <comment ref="F150" authorId="0">
      <text>
        <r>
          <rPr>
            <sz val="9"/>
            <color rgb="FF000000"/>
            <rFont val="Arial"/>
            <family val="2"/>
          </rPr>
          <t>URI Form 10-Q 3Q25 | GR contractor supplies | 22</t>
        </r>
      </text>
    </comment>
    <comment ref="G150" authorId="0">
      <text>
        <r>
          <rPr>
            <sz val="9"/>
            <color rgb="FF000000"/>
            <rFont val="Arial"/>
            <family val="2"/>
          </rPr>
          <t>URI Form 10-Q 3Q25 | GR contractor supplies | 87</t>
        </r>
      </text>
    </comment>
    <comment ref="H150" authorId="0">
      <text>
        <r>
          <rPr>
            <sz val="9"/>
            <color rgb="FF000000"/>
            <rFont val="Arial"/>
            <family val="2"/>
          </rPr>
          <t>URI Form 10-Q 3Q25 | GR contractor supplies | 65</t>
        </r>
      </text>
    </comment>
    <comment ref="C151" authorId="0">
      <text>
        <r>
          <rPr>
            <sz val="9"/>
            <color rgb="FF000000"/>
            <rFont val="Arial"/>
            <family val="2"/>
          </rPr>
          <t>URI Form 10-Q 3Q25 | GR service &amp; other | 86</t>
        </r>
      </text>
    </comment>
    <comment ref="E151" authorId="0">
      <text>
        <r>
          <rPr>
            <sz val="9"/>
            <color rgb="FF000000"/>
            <rFont val="Arial"/>
            <family val="2"/>
          </rPr>
          <t>URI Form 10-Q 3Q25 | GR service &amp; other | 81</t>
        </r>
      </text>
    </comment>
    <comment ref="F151" authorId="0">
      <text>
        <r>
          <rPr>
            <sz val="9"/>
            <color rgb="FF000000"/>
            <rFont val="Arial"/>
            <family val="2"/>
          </rPr>
          <t>URI Form 10-Q 3Q25 | GR service &amp; other | 87</t>
        </r>
      </text>
    </comment>
    <comment ref="G151" authorId="0">
      <text>
        <r>
          <rPr>
            <sz val="9"/>
            <color rgb="FF000000"/>
            <rFont val="Arial"/>
            <family val="2"/>
          </rPr>
          <t>URI Form 10-Q 3Q25 | GR service &amp; other | 326</t>
        </r>
      </text>
    </comment>
    <comment ref="H151" authorId="0">
      <text>
        <r>
          <rPr>
            <sz val="9"/>
            <color rgb="FF000000"/>
            <rFont val="Arial"/>
            <family val="2"/>
          </rPr>
          <t>URI Form 10-Q 3Q25 | GR service &amp; other | 248</t>
        </r>
      </text>
    </comment>
    <comment ref="C153" authorId="0">
      <text>
        <r>
          <rPr>
            <sz val="9"/>
            <color rgb="FF000000"/>
            <rFont val="Arial"/>
            <family val="2"/>
          </rPr>
          <t>URI Form 10-Q 3Q25 | Specialty equipment rentals | 1,136</t>
        </r>
      </text>
    </comment>
    <comment ref="E153" authorId="0">
      <text>
        <r>
          <rPr>
            <sz val="9"/>
            <color rgb="FF000000"/>
            <rFont val="Arial"/>
            <family val="2"/>
          </rPr>
          <t>URI Form 10-Q 3Q25 | Specialty equipment rentals | 1,046</t>
        </r>
      </text>
    </comment>
    <comment ref="F153" authorId="0">
      <text>
        <r>
          <rPr>
            <sz val="9"/>
            <color rgb="FF000000"/>
            <rFont val="Arial"/>
            <family val="2"/>
          </rPr>
          <t>URI Form 10-Q 3Q25 | Specialty equipment rentals | 1,147</t>
        </r>
      </text>
    </comment>
    <comment ref="G153" authorId="0">
      <text>
        <r>
          <rPr>
            <sz val="9"/>
            <color rgb="FF000000"/>
            <rFont val="Arial"/>
            <family val="2"/>
          </rPr>
          <t>URI Form 10-Q 3Q25 | Specialty equipment rentals | 4,084</t>
        </r>
      </text>
    </comment>
    <comment ref="H153" authorId="0">
      <text>
        <r>
          <rPr>
            <sz val="9"/>
            <color rgb="FF000000"/>
            <rFont val="Arial"/>
            <family val="2"/>
          </rPr>
          <t>URI Form 10-Q 3Q25 | Specialty equipment rentals | 3,001</t>
        </r>
      </text>
    </comment>
    <comment ref="C154" authorId="0">
      <text>
        <r>
          <rPr>
            <sz val="9"/>
            <color rgb="FF000000"/>
            <rFont val="Arial"/>
            <family val="2"/>
          </rPr>
          <t>URI Form 10-Q 3Q25 | Specialty sales of rental equipment | 47</t>
        </r>
      </text>
    </comment>
    <comment ref="E154" authorId="0">
      <text>
        <r>
          <rPr>
            <sz val="9"/>
            <color rgb="FF000000"/>
            <rFont val="Arial"/>
            <family val="2"/>
          </rPr>
          <t>URI Form 10-Q 3Q25 | Specialty sales of rental equipment | 47</t>
        </r>
      </text>
    </comment>
    <comment ref="F154" authorId="0">
      <text>
        <r>
          <rPr>
            <sz val="9"/>
            <color rgb="FF000000"/>
            <rFont val="Arial"/>
            <family val="2"/>
          </rPr>
          <t>URI Form 10-Q 3Q25 | Specialty sales of rental equipment | 45</t>
        </r>
      </text>
    </comment>
    <comment ref="G154" authorId="0">
      <text>
        <r>
          <rPr>
            <sz val="9"/>
            <color rgb="FF000000"/>
            <rFont val="Arial"/>
            <family val="2"/>
          </rPr>
          <t>URI Form 10-Q 3Q25 | Specialty sales of rental equipment | 193</t>
        </r>
      </text>
    </comment>
    <comment ref="H154" authorId="0">
      <text>
        <r>
          <rPr>
            <sz val="9"/>
            <color rgb="FF000000"/>
            <rFont val="Arial"/>
            <family val="2"/>
          </rPr>
          <t>URI Form 10-Q 3Q25 | Specialty sales of rental equipment | 136</t>
        </r>
      </text>
    </comment>
    <comment ref="C155" authorId="0">
      <text>
        <r>
          <rPr>
            <sz val="9"/>
            <color rgb="FF000000"/>
            <rFont val="Arial"/>
            <family val="2"/>
          </rPr>
          <t>URI Form 10-Q 3Q25 | Specialty sales of new equipment | 41</t>
        </r>
      </text>
    </comment>
    <comment ref="E155" authorId="0">
      <text>
        <r>
          <rPr>
            <sz val="9"/>
            <color rgb="FF000000"/>
            <rFont val="Arial"/>
            <family val="2"/>
          </rPr>
          <t>URI Form 10-Q 3Q25 | Specialty sales of new equipment | 27</t>
        </r>
      </text>
    </comment>
    <comment ref="F155" authorId="0">
      <text>
        <r>
          <rPr>
            <sz val="9"/>
            <color rgb="FF000000"/>
            <rFont val="Arial"/>
            <family val="2"/>
          </rPr>
          <t>URI Form 10-Q 3Q25 | Specialty sales of new equipment | 26</t>
        </r>
      </text>
    </comment>
    <comment ref="G155" authorId="0">
      <text>
        <r>
          <rPr>
            <sz val="9"/>
            <color rgb="FF000000"/>
            <rFont val="Arial"/>
            <family val="2"/>
          </rPr>
          <t>URI Form 10-Q 3Q25 | Specialty sales of new equipment | 123</t>
        </r>
      </text>
    </comment>
    <comment ref="H155" authorId="0">
      <text>
        <r>
          <rPr>
            <sz val="9"/>
            <color rgb="FF000000"/>
            <rFont val="Arial"/>
            <family val="2"/>
          </rPr>
          <t>URI Form 10-Q 3Q25 | Specialty sales of new equipment | 94</t>
        </r>
      </text>
    </comment>
    <comment ref="C156" authorId="0">
      <text>
        <r>
          <rPr>
            <sz val="9"/>
            <color rgb="FF000000"/>
            <rFont val="Arial"/>
            <family val="2"/>
          </rPr>
          <t>URI Form 10-Q 3Q25 | Specialty contractor supplies | 16</t>
        </r>
      </text>
    </comment>
    <comment ref="E156" authorId="0">
      <text>
        <r>
          <rPr>
            <sz val="9"/>
            <color rgb="FF000000"/>
            <rFont val="Arial"/>
            <family val="2"/>
          </rPr>
          <t>URI Form 10-Q 3Q25 | Specialty contractor supplies | 16</t>
        </r>
      </text>
    </comment>
    <comment ref="F156" authorId="0">
      <text>
        <r>
          <rPr>
            <sz val="9"/>
            <color rgb="FF000000"/>
            <rFont val="Arial"/>
            <family val="2"/>
          </rPr>
          <t>URI Form 10-Q 3Q25 | Specialty contractor supplies | 19</t>
        </r>
      </text>
    </comment>
    <comment ref="G156" authorId="0">
      <text>
        <r>
          <rPr>
            <sz val="9"/>
            <color rgb="FF000000"/>
            <rFont val="Arial"/>
            <family val="2"/>
          </rPr>
          <t>URI Form 10-Q 3Q25 | Specialty contractor supplies | 68</t>
        </r>
      </text>
    </comment>
    <comment ref="H156" authorId="0">
      <text>
        <r>
          <rPr>
            <sz val="9"/>
            <color rgb="FF000000"/>
            <rFont val="Arial"/>
            <family val="2"/>
          </rPr>
          <t>URI Form 10-Q 3Q25 | Specialty contractor supplies | 51</t>
        </r>
      </text>
    </comment>
    <comment ref="C157" authorId="0">
      <text>
        <r>
          <rPr>
            <sz val="9"/>
            <color rgb="FF000000"/>
            <rFont val="Arial"/>
            <family val="2"/>
          </rPr>
          <t>URI Form 10-Q 3Q25 | Specialty service &amp; other | 7</t>
        </r>
      </text>
    </comment>
    <comment ref="E157" authorId="0">
      <text>
        <r>
          <rPr>
            <sz val="9"/>
            <color rgb="FF000000"/>
            <rFont val="Arial"/>
            <family val="2"/>
          </rPr>
          <t>URI Form 10-Q 3Q25 | Specialty service &amp; other | 10</t>
        </r>
      </text>
    </comment>
    <comment ref="F157" authorId="0">
      <text>
        <r>
          <rPr>
            <sz val="9"/>
            <color rgb="FF000000"/>
            <rFont val="Arial"/>
            <family val="2"/>
          </rPr>
          <t>URI Form 10-Q 3Q25 | Specialty service &amp; other | 8</t>
        </r>
      </text>
    </comment>
    <comment ref="G157" authorId="0">
      <text>
        <r>
          <rPr>
            <sz val="9"/>
            <color rgb="FF000000"/>
            <rFont val="Arial"/>
            <family val="2"/>
          </rPr>
          <t>URI Form 10-Q 3Q25 | Specialty service &amp; other | 32</t>
        </r>
      </text>
    </comment>
    <comment ref="H157" authorId="0">
      <text>
        <r>
          <rPr>
            <sz val="9"/>
            <color rgb="FF000000"/>
            <rFont val="Arial"/>
            <family val="2"/>
          </rPr>
          <t>URI Form 10-Q 3Q25 | Specialty service &amp; other | 24</t>
        </r>
      </text>
    </comment>
    <comment ref="C159" authorId="0">
      <text>
        <r>
          <rPr>
            <sz val="9"/>
            <color rgb="FF000000"/>
            <rFont val="Arial"/>
            <family val="2"/>
          </rPr>
          <t>URI Form 10-Q 3Q25 | GR depreciation of rental equipment | 497</t>
        </r>
      </text>
    </comment>
    <comment ref="E159" authorId="0">
      <text>
        <r>
          <rPr>
            <sz val="9"/>
            <color rgb="FF000000"/>
            <rFont val="Arial"/>
            <family val="2"/>
          </rPr>
          <t>URI Form 10-Q 3Q25 | GR depreciation of rental equipment | 488</t>
        </r>
      </text>
    </comment>
    <comment ref="F159" authorId="0">
      <text>
        <r>
          <rPr>
            <sz val="9"/>
            <color rgb="FF000000"/>
            <rFont val="Arial"/>
            <family val="2"/>
          </rPr>
          <t>URI Form 10-Q 3Q25 | GR depreciation of rental equipment | 497</t>
        </r>
      </text>
    </comment>
    <comment ref="G159" authorId="0">
      <text>
        <r>
          <rPr>
            <sz val="9"/>
            <color rgb="FF000000"/>
            <rFont val="Arial"/>
            <family val="2"/>
          </rPr>
          <t>URI Form 10-Q 3Q25 | GR depreciation of rental equipment | 1,968</t>
        </r>
      </text>
    </comment>
    <comment ref="H159" authorId="0">
      <text>
        <r>
          <rPr>
            <sz val="9"/>
            <color rgb="FF000000"/>
            <rFont val="Arial"/>
            <family val="2"/>
          </rPr>
          <t>URI Form 10-Q 3Q25 | GR depreciation of rental equipment | 1,465</t>
        </r>
      </text>
    </comment>
    <comment ref="C160" authorId="0">
      <text>
        <r>
          <rPr>
            <sz val="9"/>
            <color rgb="FF000000"/>
            <rFont val="Arial"/>
            <family val="2"/>
          </rPr>
          <t>URI Form 10-Q 3Q25 | GR labor &amp; benefits | 396</t>
        </r>
      </text>
    </comment>
    <comment ref="E160" authorId="0">
      <text>
        <r>
          <rPr>
            <sz val="9"/>
            <color rgb="FF000000"/>
            <rFont val="Arial"/>
            <family val="2"/>
          </rPr>
          <t>URI Form 10-Q 3Q25 | GR labor &amp; benefits | 406</t>
        </r>
      </text>
    </comment>
    <comment ref="F160" authorId="0">
      <text>
        <r>
          <rPr>
            <sz val="9"/>
            <color rgb="FF000000"/>
            <rFont val="Arial"/>
            <family val="2"/>
          </rPr>
          <t>URI Form 10-Q 3Q25 | GR labor &amp; benefits | 415</t>
        </r>
      </text>
    </comment>
    <comment ref="G160" authorId="0">
      <text>
        <r>
          <rPr>
            <sz val="9"/>
            <color rgb="FF000000"/>
            <rFont val="Arial"/>
            <family val="2"/>
          </rPr>
          <t>URI Form 10-Q 3Q25 | GR labor &amp; benefits | 1,576</t>
        </r>
      </text>
    </comment>
    <comment ref="H160" authorId="0">
      <text>
        <r>
          <rPr>
            <sz val="9"/>
            <color rgb="FF000000"/>
            <rFont val="Arial"/>
            <family val="2"/>
          </rPr>
          <t>URI Form 10-Q 3Q25 | GR labor &amp; benefits | 1,178</t>
        </r>
      </text>
    </comment>
    <comment ref="C161" authorId="0">
      <text>
        <r>
          <rPr>
            <sz val="9"/>
            <color rgb="FF000000"/>
            <rFont val="Arial"/>
            <family val="2"/>
          </rPr>
          <t>URI Form 10-Q 3Q25 | GR repairs &amp; maintenance | 214</t>
        </r>
      </text>
    </comment>
    <comment ref="E161" authorId="0">
      <text>
        <r>
          <rPr>
            <sz val="9"/>
            <color rgb="FF000000"/>
            <rFont val="Arial"/>
            <family val="2"/>
          </rPr>
          <t>URI Form 10-Q 3Q25 | GR repairs &amp; maintenance | 193</t>
        </r>
      </text>
    </comment>
    <comment ref="F161" authorId="0">
      <text>
        <r>
          <rPr>
            <sz val="9"/>
            <color rgb="FF000000"/>
            <rFont val="Arial"/>
            <family val="2"/>
          </rPr>
          <t>URI Form 10-Q 3Q25 | GR repairs &amp; maintenance | 209</t>
        </r>
      </text>
    </comment>
    <comment ref="G161" authorId="0">
      <text>
        <r>
          <rPr>
            <sz val="9"/>
            <color rgb="FF000000"/>
            <rFont val="Arial"/>
            <family val="2"/>
          </rPr>
          <t>URI Form 10-Q 3Q25 | GR repairs &amp; maintenance | 830</t>
        </r>
      </text>
    </comment>
    <comment ref="H161" authorId="0">
      <text>
        <r>
          <rPr>
            <sz val="9"/>
            <color rgb="FF000000"/>
            <rFont val="Arial"/>
            <family val="2"/>
          </rPr>
          <t>URI Form 10-Q 3Q25 | GR repairs &amp; maintenance | 619</t>
        </r>
      </text>
    </comment>
    <comment ref="C162" authorId="0">
      <text>
        <r>
          <rPr>
            <sz val="9"/>
            <color rgb="FF000000"/>
            <rFont val="Arial"/>
            <family val="2"/>
          </rPr>
          <t>URI Form 10-Q 3Q25 | GR delivery | 126</t>
        </r>
      </text>
    </comment>
    <comment ref="E162" authorId="0">
      <text>
        <r>
          <rPr>
            <sz val="9"/>
            <color rgb="FF000000"/>
            <rFont val="Arial"/>
            <family val="2"/>
          </rPr>
          <t>URI Form 10-Q 3Q25 | GR delivery | 115</t>
        </r>
      </text>
    </comment>
    <comment ref="F162" authorId="0">
      <text>
        <r>
          <rPr>
            <sz val="9"/>
            <color rgb="FF000000"/>
            <rFont val="Arial"/>
            <family val="2"/>
          </rPr>
          <t>URI Form 10-Q 3Q25 | GR delivery | 128</t>
        </r>
      </text>
    </comment>
    <comment ref="G162" authorId="0">
      <text>
        <r>
          <rPr>
            <sz val="9"/>
            <color rgb="FF000000"/>
            <rFont val="Arial"/>
            <family val="2"/>
          </rPr>
          <t>URI Form 10-Q 3Q25 | GR delivery | 472</t>
        </r>
      </text>
    </comment>
    <comment ref="H162" authorId="0">
      <text>
        <r>
          <rPr>
            <sz val="9"/>
            <color rgb="FF000000"/>
            <rFont val="Arial"/>
            <family val="2"/>
          </rPr>
          <t>URI Form 10-Q 3Q25 | GR delivery | 346</t>
        </r>
      </text>
    </comment>
    <comment ref="C163" authorId="0">
      <text>
        <r>
          <rPr>
            <sz val="9"/>
            <color rgb="FF000000"/>
            <rFont val="Arial"/>
            <family val="2"/>
          </rPr>
          <t>URI Form 10-Q 3Q25 | GR all other rental expenses | 220</t>
        </r>
      </text>
    </comment>
    <comment ref="E163" authorId="0">
      <text>
        <r>
          <rPr>
            <sz val="9"/>
            <color rgb="FF000000"/>
            <rFont val="Arial"/>
            <family val="2"/>
          </rPr>
          <t>URI Form 10-Q 3Q25 | GR all other rental expenses | 218</t>
        </r>
      </text>
    </comment>
    <comment ref="F163" authorId="0">
      <text>
        <r>
          <rPr>
            <sz val="9"/>
            <color rgb="FF000000"/>
            <rFont val="Arial"/>
            <family val="2"/>
          </rPr>
          <t>URI Form 10-Q 3Q25 | GR all other rental expenses | 223</t>
        </r>
      </text>
    </comment>
    <comment ref="G163" authorId="0">
      <text>
        <r>
          <rPr>
            <sz val="9"/>
            <color rgb="FF000000"/>
            <rFont val="Arial"/>
            <family val="2"/>
          </rPr>
          <t>URI Form 10-Q 3Q25 | GR all other rental expenses | 867</t>
        </r>
      </text>
    </comment>
    <comment ref="H163" authorId="0">
      <text>
        <r>
          <rPr>
            <sz val="9"/>
            <color rgb="FF000000"/>
            <rFont val="Arial"/>
            <family val="2"/>
          </rPr>
          <t>URI Form 10-Q 3Q25 | GR all other rental expenses | 641</t>
        </r>
      </text>
    </comment>
    <comment ref="C165" authorId="0">
      <text>
        <r>
          <rPr>
            <sz val="9"/>
            <color rgb="FF000000"/>
            <rFont val="Arial"/>
            <family val="2"/>
          </rPr>
          <t>URI Form 10-Q 3Q25 | Specialty depreciation of rental equipment | 132</t>
        </r>
      </text>
    </comment>
    <comment ref="E165" authorId="0">
      <text>
        <r>
          <rPr>
            <sz val="9"/>
            <color rgb="FF000000"/>
            <rFont val="Arial"/>
            <family val="2"/>
          </rPr>
          <t>URI Form 10-Q 3Q25 | Specialty depreciation of rental equipment | 149</t>
        </r>
      </text>
    </comment>
    <comment ref="F165" authorId="0">
      <text>
        <r>
          <rPr>
            <sz val="9"/>
            <color rgb="FF000000"/>
            <rFont val="Arial"/>
            <family val="2"/>
          </rPr>
          <t>URI Form 10-Q 3Q25 | Specialty depreciation of rental equipment | 154</t>
        </r>
      </text>
    </comment>
    <comment ref="G165" authorId="0">
      <text>
        <r>
          <rPr>
            <sz val="9"/>
            <color rgb="FF000000"/>
            <rFont val="Arial"/>
            <family val="2"/>
          </rPr>
          <t>URI Form 10-Q 3Q25 | Specialty depreciation of rental equipment | 498</t>
        </r>
      </text>
    </comment>
    <comment ref="H165" authorId="0">
      <text>
        <r>
          <rPr>
            <sz val="9"/>
            <color rgb="FF000000"/>
            <rFont val="Arial"/>
            <family val="2"/>
          </rPr>
          <t>URI Form 10-Q 3Q25 | Specialty depreciation of rental equipment | 354</t>
        </r>
      </text>
    </comment>
    <comment ref="C166" authorId="0">
      <text>
        <r>
          <rPr>
            <sz val="9"/>
            <color rgb="FF000000"/>
            <rFont val="Arial"/>
            <family val="2"/>
          </rPr>
          <t>URI Form 10-Q 3Q25 | Specialty labor &amp; benefits | 115</t>
        </r>
      </text>
    </comment>
    <comment ref="E166" authorId="0">
      <text>
        <r>
          <rPr>
            <sz val="9"/>
            <color rgb="FF000000"/>
            <rFont val="Arial"/>
            <family val="2"/>
          </rPr>
          <t>URI Form 10-Q 3Q25 | Specialty labor &amp; benefits | 120</t>
        </r>
      </text>
    </comment>
    <comment ref="F166" authorId="0">
      <text>
        <r>
          <rPr>
            <sz val="9"/>
            <color rgb="FF000000"/>
            <rFont val="Arial"/>
            <family val="2"/>
          </rPr>
          <t>URI Form 10-Q 3Q25 | Specialty labor &amp; benefits | 128</t>
        </r>
      </text>
    </comment>
    <comment ref="G166" authorId="0">
      <text>
        <r>
          <rPr>
            <sz val="9"/>
            <color rgb="FF000000"/>
            <rFont val="Arial"/>
            <family val="2"/>
          </rPr>
          <t>URI Form 10-Q 3Q25 | Specialty labor &amp; benefits | 442</t>
        </r>
      </text>
    </comment>
    <comment ref="H166" authorId="0">
      <text>
        <r>
          <rPr>
            <sz val="9"/>
            <color rgb="FF000000"/>
            <rFont val="Arial"/>
            <family val="2"/>
          </rPr>
          <t>URI Form 10-Q 3Q25 | Specialty labor &amp; benefits | 319</t>
        </r>
      </text>
    </comment>
    <comment ref="C167" authorId="0">
      <text>
        <r>
          <rPr>
            <sz val="9"/>
            <color rgb="FF000000"/>
            <rFont val="Arial"/>
            <family val="2"/>
          </rPr>
          <t>URI Form 10-Q 3Q25 | Specialty repairs &amp; maintenance | 58</t>
        </r>
      </text>
    </comment>
    <comment ref="E167" authorId="0">
      <text>
        <r>
          <rPr>
            <sz val="9"/>
            <color rgb="FF000000"/>
            <rFont val="Arial"/>
            <family val="2"/>
          </rPr>
          <t>URI Form 10-Q 3Q25 | Specialty repairs &amp; maintenance | 53</t>
        </r>
      </text>
    </comment>
    <comment ref="F167" authorId="0">
      <text>
        <r>
          <rPr>
            <sz val="9"/>
            <color rgb="FF000000"/>
            <rFont val="Arial"/>
            <family val="2"/>
          </rPr>
          <t>URI Form 10-Q 3Q25 | Specialty repairs &amp; maintenance | 59</t>
        </r>
      </text>
    </comment>
    <comment ref="G167" authorId="0">
      <text>
        <r>
          <rPr>
            <sz val="9"/>
            <color rgb="FF000000"/>
            <rFont val="Arial"/>
            <family val="2"/>
          </rPr>
          <t>URI Form 10-Q 3Q25 | Specialty repairs &amp; maintenance | 211</t>
        </r>
      </text>
    </comment>
    <comment ref="H167" authorId="0">
      <text>
        <r>
          <rPr>
            <sz val="9"/>
            <color rgb="FF000000"/>
            <rFont val="Arial"/>
            <family val="2"/>
          </rPr>
          <t>URI Form 10-Q 3Q25 | Specialty repairs &amp; maintenance | 154</t>
        </r>
      </text>
    </comment>
    <comment ref="C168" authorId="0">
      <text>
        <r>
          <rPr>
            <sz val="9"/>
            <color rgb="FF000000"/>
            <rFont val="Arial"/>
            <family val="2"/>
          </rPr>
          <t>URI Form 10-Q 3Q25 | Specialty delivery | 102</t>
        </r>
      </text>
    </comment>
    <comment ref="E168" authorId="0">
      <text>
        <r>
          <rPr>
            <sz val="9"/>
            <color rgb="FF000000"/>
            <rFont val="Arial"/>
            <family val="2"/>
          </rPr>
          <t>URI Form 10-Q 3Q25 | Specialty delivery | 96</t>
        </r>
      </text>
    </comment>
    <comment ref="F168" authorId="0">
      <text>
        <r>
          <rPr>
            <sz val="9"/>
            <color rgb="FF000000"/>
            <rFont val="Arial"/>
            <family val="2"/>
          </rPr>
          <t>URI Form 10-Q 3Q25 | Specialty delivery | 119</t>
        </r>
      </text>
    </comment>
    <comment ref="G168" authorId="0">
      <text>
        <r>
          <rPr>
            <sz val="9"/>
            <color rgb="FF000000"/>
            <rFont val="Arial"/>
            <family val="2"/>
          </rPr>
          <t>URI Form 10-Q 3Q25 | Specialty delivery | 350</t>
        </r>
      </text>
    </comment>
    <comment ref="H168" authorId="0">
      <text>
        <r>
          <rPr>
            <sz val="9"/>
            <color rgb="FF000000"/>
            <rFont val="Arial"/>
            <family val="2"/>
          </rPr>
          <t>URI Form 10-Q 3Q25 | Specialty delivery | 256</t>
        </r>
      </text>
    </comment>
    <comment ref="C169" authorId="0">
      <text>
        <r>
          <rPr>
            <sz val="9"/>
            <color rgb="FF000000"/>
            <rFont val="Arial"/>
            <family val="2"/>
          </rPr>
          <t>URI Form 10-Q 3Q25 | Specialty all other rental expenses | 161</t>
        </r>
      </text>
    </comment>
    <comment ref="E169" authorId="0">
      <text>
        <r>
          <rPr>
            <sz val="9"/>
            <color rgb="FF000000"/>
            <rFont val="Arial"/>
            <family val="2"/>
          </rPr>
          <t>URI Form 10-Q 3Q25 | Specialty all other rental expenses | 177</t>
        </r>
      </text>
    </comment>
    <comment ref="F169" authorId="0">
      <text>
        <r>
          <rPr>
            <sz val="9"/>
            <color rgb="FF000000"/>
            <rFont val="Arial"/>
            <family val="2"/>
          </rPr>
          <t>URI Form 10-Q 3Q25 | Specialty all other rental expenses | 162</t>
        </r>
      </text>
    </comment>
    <comment ref="G169" authorId="0">
      <text>
        <r>
          <rPr>
            <sz val="9"/>
            <color rgb="FF000000"/>
            <rFont val="Arial"/>
            <family val="2"/>
          </rPr>
          <t>URI Form 10-Q 3Q25 | Specialty all other rental expenses | 617</t>
        </r>
      </text>
    </comment>
    <comment ref="H169" authorId="0">
      <text>
        <r>
          <rPr>
            <sz val="9"/>
            <color rgb="FF000000"/>
            <rFont val="Arial"/>
            <family val="2"/>
          </rPr>
          <t>URI Form 10-Q 3Q25 | Specialty all other rental expenses | 445</t>
        </r>
      </text>
    </comment>
    <comment ref="C171" authorId="0">
      <text>
        <r>
          <rPr>
            <sz val="9"/>
            <color rgb="FF000000"/>
            <rFont val="Arial"/>
            <family val="2"/>
          </rPr>
          <t>URI Form 10-Q 3Q25 | Owned equipment rentals | 2,804</t>
        </r>
      </text>
    </comment>
    <comment ref="E171" authorId="0">
      <text>
        <r>
          <rPr>
            <sz val="9"/>
            <color rgb="FF000000"/>
            <rFont val="Arial"/>
            <family val="2"/>
          </rPr>
          <t>URI Form 10-Q 3Q25 | Owned equipment rentals | 2,522</t>
        </r>
      </text>
    </comment>
    <comment ref="F171" authorId="0">
      <text>
        <r>
          <rPr>
            <sz val="9"/>
            <color rgb="FF000000"/>
            <rFont val="Arial"/>
            <family val="2"/>
          </rPr>
          <t>URI Form 10-Q 3Q25 | Owned equipment rentals | 2,745</t>
        </r>
      </text>
    </comment>
    <comment ref="G171" authorId="0">
      <text>
        <r>
          <rPr>
            <sz val="9"/>
            <color rgb="FF000000"/>
            <rFont val="Arial"/>
            <family val="2"/>
          </rPr>
          <t>URI Form 10-Q 3Q25 | Owned equipment rentals | 10,559</t>
        </r>
      </text>
    </comment>
    <comment ref="H171" authorId="0">
      <text>
        <r>
          <rPr>
            <sz val="9"/>
            <color rgb="FF000000"/>
            <rFont val="Arial"/>
            <family val="2"/>
          </rPr>
          <t>URI Form 10-Q 3Q25 | Owned equipment rentals | 7,812</t>
        </r>
      </text>
    </comment>
    <comment ref="C172" authorId="0">
      <text>
        <r>
          <rPr>
            <sz val="9"/>
            <color rgb="FF000000"/>
            <rFont val="Arial"/>
            <family val="2"/>
          </rPr>
          <t>URI Form 10-Q 3Q25 | Re-rent revenue | 71</t>
        </r>
      </text>
    </comment>
    <comment ref="E172" authorId="0">
      <text>
        <r>
          <rPr>
            <sz val="9"/>
            <color rgb="FF000000"/>
            <rFont val="Arial"/>
            <family val="2"/>
          </rPr>
          <t>URI Form 10-Q 3Q25 | Re-rent revenue | 63</t>
        </r>
      </text>
    </comment>
    <comment ref="F172" authorId="0">
      <text>
        <r>
          <rPr>
            <sz val="9"/>
            <color rgb="FF000000"/>
            <rFont val="Arial"/>
            <family val="2"/>
          </rPr>
          <t>URI Form 10-Q 3Q25 | Re-rent revenue | 60</t>
        </r>
      </text>
    </comment>
    <comment ref="G172" authorId="0">
      <text>
        <r>
          <rPr>
            <sz val="9"/>
            <color rgb="FF000000"/>
            <rFont val="Arial"/>
            <family val="2"/>
          </rPr>
          <t>URI Form 10-Q 3Q25 | Re-rent revenue | 258</t>
        </r>
      </text>
    </comment>
    <comment ref="H172" authorId="0">
      <text>
        <r>
          <rPr>
            <sz val="9"/>
            <color rgb="FF000000"/>
            <rFont val="Arial"/>
            <family val="2"/>
          </rPr>
          <t>URI Form 10-Q 3Q25 | Re-rent revenue | 184</t>
        </r>
      </text>
    </comment>
    <comment ref="C173" authorId="0">
      <text>
        <r>
          <rPr>
            <sz val="9"/>
            <color rgb="FF000000"/>
            <rFont val="Arial"/>
            <family val="2"/>
          </rPr>
          <t>URI Form 10-Q 3Q25 | Delivery and pick-up | 297</t>
        </r>
      </text>
    </comment>
    <comment ref="E173" authorId="0">
      <text>
        <r>
          <rPr>
            <sz val="9"/>
            <color rgb="FF000000"/>
            <rFont val="Arial"/>
            <family val="2"/>
          </rPr>
          <t>URI Form 10-Q 3Q25 | Delivery and pick-up | 252</t>
        </r>
      </text>
    </comment>
    <comment ref="F173" authorId="0">
      <text>
        <r>
          <rPr>
            <sz val="9"/>
            <color rgb="FF000000"/>
            <rFont val="Arial"/>
            <family val="2"/>
          </rPr>
          <t>URI Form 10-Q 3Q25 | Delivery and pick-up | 294</t>
        </r>
      </text>
    </comment>
    <comment ref="G173" authorId="0">
      <text>
        <r>
          <rPr>
            <sz val="9"/>
            <color rgb="FF000000"/>
            <rFont val="Arial"/>
            <family val="2"/>
          </rPr>
          <t>URI Form 10-Q 3Q25 | Delivery and pick-up | 1,069</t>
        </r>
      </text>
    </comment>
    <comment ref="H173" authorId="0">
      <text>
        <r>
          <rPr>
            <sz val="9"/>
            <color rgb="FF000000"/>
            <rFont val="Arial"/>
            <family val="2"/>
          </rPr>
          <t>URI Form 10-Q 3Q25 | Delivery and pick-up | 778</t>
        </r>
      </text>
    </comment>
    <comment ref="C174" authorId="0">
      <text>
        <r>
          <rPr>
            <sz val="9"/>
            <color rgb="FF000000"/>
            <rFont val="Arial"/>
            <family val="2"/>
          </rPr>
          <t>URI Form 10-Q 3Q25 | Other ancillary rental revenue | 291</t>
        </r>
      </text>
    </comment>
    <comment ref="E174" authorId="0">
      <text>
        <r>
          <rPr>
            <sz val="9"/>
            <color rgb="FF000000"/>
            <rFont val="Arial"/>
            <family val="2"/>
          </rPr>
          <t>URI Form 10-Q 3Q25 | Other ancillary rental revenue | 308</t>
        </r>
      </text>
    </comment>
    <comment ref="F174" authorId="0">
      <text>
        <r>
          <rPr>
            <sz val="9"/>
            <color rgb="FF000000"/>
            <rFont val="Arial"/>
            <family val="2"/>
          </rPr>
          <t>URI Form 10-Q 3Q25 | Other ancillary rental revenue | 316</t>
        </r>
      </text>
    </comment>
    <comment ref="G174" authorId="0">
      <text>
        <r>
          <rPr>
            <sz val="9"/>
            <color rgb="FF000000"/>
            <rFont val="Arial"/>
            <family val="2"/>
          </rPr>
          <t>URI Form 10-Q 3Q25 | Other ancillary rental revenue | 1,143</t>
        </r>
      </text>
    </comment>
    <comment ref="H174" authorId="0">
      <text>
        <r>
          <rPr>
            <sz val="9"/>
            <color rgb="FF000000"/>
            <rFont val="Arial"/>
            <family val="2"/>
          </rPr>
          <t>URI Form 10-Q 3Q25 | Other ancillary rental revenue | 833</t>
        </r>
      </text>
    </comment>
    <comment ref="C182" authorId="0">
      <text>
        <r>
          <rPr>
            <sz val="9"/>
            <color rgb="FF000000"/>
            <rFont val="Arial"/>
            <family val="2"/>
          </rPr>
          <t>URI 3Q25 earnings release (Ex.99.1) | Total revenues (reported) | 3,992</t>
        </r>
      </text>
    </comment>
    <comment ref="D182" authorId="0">
      <text>
        <r>
          <rPr>
            <sz val="9"/>
            <color rgb="FF000000"/>
            <rFont val="Arial"/>
            <family val="2"/>
          </rPr>
          <t>URI 3Q25 earnings release (Ex.99.1) | Total revenues (reported) | 4,095</t>
        </r>
      </text>
    </comment>
    <comment ref="E182" authorId="0">
      <text>
        <r>
          <rPr>
            <sz val="9"/>
            <color rgb="FF000000"/>
            <rFont val="Arial"/>
            <family val="2"/>
          </rPr>
          <t>URI 3Q25 earnings release (Ex.99.1) | Total revenues (reported) | 3,719</t>
        </r>
      </text>
    </comment>
    <comment ref="F182" authorId="0">
      <text>
        <r>
          <rPr>
            <sz val="9"/>
            <color rgb="FF000000"/>
            <rFont val="Arial"/>
            <family val="2"/>
          </rPr>
          <t>URI 3Q25 earnings release (Ex.99.1) | Total revenues (reported) | 3,943</t>
        </r>
      </text>
    </comment>
    <comment ref="G182" authorId="0">
      <text>
        <r>
          <rPr>
            <sz val="9"/>
            <color rgb="FF000000"/>
            <rFont val="Arial"/>
            <family val="2"/>
          </rPr>
          <t>URI 3Q25 earnings release (Ex.99.1) | Total revenues (reported) | 15,345</t>
        </r>
      </text>
    </comment>
    <comment ref="C183" authorId="0">
      <text>
        <r>
          <rPr>
            <sz val="9"/>
            <color rgb="FF000000"/>
            <rFont val="Arial"/>
            <family val="2"/>
          </rPr>
          <t>URI 3Q25 earnings release (Ex.99.1) | Gross profit (reported) | 1,648</t>
        </r>
      </text>
    </comment>
    <comment ref="D183" authorId="0">
      <text>
        <r>
          <rPr>
            <sz val="9"/>
            <color rgb="FF000000"/>
            <rFont val="Arial"/>
            <family val="2"/>
          </rPr>
          <t>URI 3Q25 earnings release (Ex.99.1) | Gross profit (reported) | 1,638</t>
        </r>
      </text>
    </comment>
    <comment ref="E183" authorId="0">
      <text>
        <r>
          <rPr>
            <sz val="9"/>
            <color rgb="FF000000"/>
            <rFont val="Arial"/>
            <family val="2"/>
          </rPr>
          <t>URI 3Q25 earnings release (Ex.99.1) | Gross profit (reported) | 1,356</t>
        </r>
      </text>
    </comment>
    <comment ref="F183" authorId="0">
      <text>
        <r>
          <rPr>
            <sz val="9"/>
            <color rgb="FF000000"/>
            <rFont val="Arial"/>
            <family val="2"/>
          </rPr>
          <t>URI 3Q25 earnings release (Ex.99.1) | Gross profit (reported) | 1,533</t>
        </r>
      </text>
    </comment>
    <comment ref="G183" authorId="0">
      <text>
        <r>
          <rPr>
            <sz val="9"/>
            <color rgb="FF000000"/>
            <rFont val="Arial"/>
            <family val="2"/>
          </rPr>
          <t>URI 3Q25 earnings release (Ex.99.1) | Gross profit (reported) | 6,150</t>
        </r>
      </text>
    </comment>
    <comment ref="C184" authorId="0">
      <text>
        <r>
          <rPr>
            <sz val="9"/>
            <color rgb="FF000000"/>
            <rFont val="Arial"/>
            <family val="2"/>
          </rPr>
          <t>URI 3Q25 earnings release (Ex.99.1) | Operating income | 1,122</t>
        </r>
      </text>
    </comment>
    <comment ref="D184" authorId="0">
      <text>
        <r>
          <rPr>
            <sz val="9"/>
            <color rgb="FF000000"/>
            <rFont val="Arial"/>
            <family val="2"/>
          </rPr>
          <t>URI 3Q25 earnings release (Ex.99.1) | Operating income | 1,087</t>
        </r>
      </text>
    </comment>
    <comment ref="E184" authorId="0">
      <text>
        <r>
          <rPr>
            <sz val="9"/>
            <color rgb="FF000000"/>
            <rFont val="Arial"/>
            <family val="2"/>
          </rPr>
          <t>URI 3Q25 earnings release (Ex.99.1) | Operating income | 804</t>
        </r>
      </text>
    </comment>
    <comment ref="F184" authorId="0">
      <text>
        <r>
          <rPr>
            <sz val="9"/>
            <color rgb="FF000000"/>
            <rFont val="Arial"/>
            <family val="2"/>
          </rPr>
          <t>URI 3Q25 earnings release (Ex.99.1) | Operating income | 1,003</t>
        </r>
      </text>
    </comment>
    <comment ref="G184" authorId="0">
      <text>
        <r>
          <rPr>
            <sz val="9"/>
            <color rgb="FF000000"/>
            <rFont val="Arial"/>
            <family val="2"/>
          </rPr>
          <t>URI 3Q25 earnings release (Ex.99.1) | Operating income | 4,065</t>
        </r>
      </text>
    </comment>
    <comment ref="C185" authorId="0">
      <text>
        <r>
          <rPr>
            <sz val="9"/>
            <color rgb="FF000000"/>
            <rFont val="Arial"/>
            <family val="2"/>
          </rPr>
          <t>URI 3Q25 earnings release (Ex.99.1) | Income before taxes | 949</t>
        </r>
      </text>
    </comment>
    <comment ref="D185" authorId="0">
      <text>
        <r>
          <rPr>
            <sz val="9"/>
            <color rgb="FF000000"/>
            <rFont val="Arial"/>
            <family val="2"/>
          </rPr>
          <t>URI 3Q25 earnings release (Ex.99.1) | Income before taxes | 909</t>
        </r>
      </text>
    </comment>
    <comment ref="E185" authorId="0">
      <text>
        <r>
          <rPr>
            <sz val="9"/>
            <color rgb="FF000000"/>
            <rFont val="Arial"/>
            <family val="2"/>
          </rPr>
          <t>URI 3Q25 earnings release (Ex.99.1) | Income before taxes | 688</t>
        </r>
      </text>
    </comment>
    <comment ref="F185" authorId="0">
      <text>
        <r>
          <rPr>
            <sz val="9"/>
            <color rgb="FF000000"/>
            <rFont val="Arial"/>
            <family val="2"/>
          </rPr>
          <t>URI 3Q25 earnings release (Ex.99.1) | Income before taxes | 839</t>
        </r>
      </text>
    </comment>
    <comment ref="G185" authorId="0">
      <text>
        <r>
          <rPr>
            <sz val="9"/>
            <color rgb="FF000000"/>
            <rFont val="Arial"/>
            <family val="2"/>
          </rPr>
          <t>URI 3Q25 earnings release (Ex.99.1) | Income before taxes | 3,388</t>
        </r>
      </text>
    </comment>
    <comment ref="C186" authorId="0">
      <text>
        <r>
          <rPr>
            <sz val="9"/>
            <color rgb="FF000000"/>
            <rFont val="Arial"/>
            <family val="2"/>
          </rPr>
          <t>URI 3Q25 earnings release (Ex.99.1) | Net income | 708</t>
        </r>
      </text>
    </comment>
    <comment ref="D186" authorId="0">
      <text>
        <r>
          <rPr>
            <sz val="9"/>
            <color rgb="FF000000"/>
            <rFont val="Arial"/>
            <family val="2"/>
          </rPr>
          <t>URI 3Q25 earnings release (Ex.99.1) | Net income | 689</t>
        </r>
      </text>
    </comment>
    <comment ref="E186" authorId="0">
      <text>
        <r>
          <rPr>
            <sz val="9"/>
            <color rgb="FF000000"/>
            <rFont val="Arial"/>
            <family val="2"/>
          </rPr>
          <t>URI 3Q25 earnings release (Ex.99.1) | Net income | 518</t>
        </r>
      </text>
    </comment>
    <comment ref="F186" authorId="0">
      <text>
        <r>
          <rPr>
            <sz val="9"/>
            <color rgb="FF000000"/>
            <rFont val="Arial"/>
            <family val="2"/>
          </rPr>
          <t>URI 3Q25 earnings release (Ex.99.1) | Net income | 622</t>
        </r>
      </text>
    </comment>
    <comment ref="G186" authorId="0">
      <text>
        <r>
          <rPr>
            <sz val="9"/>
            <color rgb="FF000000"/>
            <rFont val="Arial"/>
            <family val="2"/>
          </rPr>
          <t>URI 3Q25 earnings release (Ex.99.1) | Net income | 2,575</t>
        </r>
      </text>
    </comment>
    <comment ref="C187" authorId="0">
      <text>
        <r>
          <rPr>
            <sz val="9"/>
            <color rgb="FF000000"/>
            <rFont val="Arial"/>
            <family val="2"/>
          </rPr>
          <t>URI 3Q25 earnings release (Ex.99.1) | Diluted EPS (GAAP) | 10.70</t>
        </r>
      </text>
    </comment>
    <comment ref="D187" authorId="0">
      <text>
        <r>
          <rPr>
            <sz val="9"/>
            <color rgb="FF000000"/>
            <rFont val="Arial"/>
            <family val="2"/>
          </rPr>
          <t>URI 3Q25 earnings release (Ex.99.1) | Diluted EPS (GAAP) | 10.47</t>
        </r>
      </text>
    </comment>
    <comment ref="E187" authorId="0">
      <text>
        <r>
          <rPr>
            <sz val="9"/>
            <color rgb="FF000000"/>
            <rFont val="Arial"/>
            <family val="2"/>
          </rPr>
          <t>URI 3Q25 earnings release (Ex.99.1) | Diluted EPS (GAAP) | 7.91</t>
        </r>
      </text>
    </comment>
    <comment ref="F187" authorId="0">
      <text>
        <r>
          <rPr>
            <sz val="9"/>
            <color rgb="FF000000"/>
            <rFont val="Arial"/>
            <family val="2"/>
          </rPr>
          <t>URI 3Q25 earnings release (Ex.99.1) | Diluted EPS (GAAP) | 9.59</t>
        </r>
      </text>
    </comment>
    <comment ref="G187" authorId="0">
      <text>
        <r>
          <rPr>
            <sz val="9"/>
            <color rgb="FF000000"/>
            <rFont val="Arial"/>
            <family val="2"/>
          </rPr>
          <t>URI 3Q25 earnings release (Ex.99.1) | Diluted EPS (GAAP) | 38.69</t>
        </r>
      </text>
    </comment>
    <comment ref="C188" authorId="0">
      <text>
        <r>
          <rPr>
            <sz val="9"/>
            <color rgb="FF000000"/>
            <rFont val="Arial"/>
            <family val="2"/>
          </rPr>
          <t>URI 3Q25 earnings release (Ex.99.1) | Adjusted EPS | 11.80</t>
        </r>
      </text>
    </comment>
    <comment ref="D188" authorId="0">
      <text>
        <r>
          <rPr>
            <sz val="9"/>
            <color rgb="FF000000"/>
            <rFont val="Arial"/>
            <family val="2"/>
          </rPr>
          <t>URI 3Q25 earnings release (Ex.99.1) | Adjusted EPS | 11.59</t>
        </r>
      </text>
    </comment>
    <comment ref="E188" authorId="0">
      <text>
        <r>
          <rPr>
            <sz val="9"/>
            <color rgb="FF000000"/>
            <rFont val="Arial"/>
            <family val="2"/>
          </rPr>
          <t>URI 3Q25 earnings release (Ex.99.1) | Adjusted EPS | 8.86</t>
        </r>
      </text>
    </comment>
    <comment ref="F188" authorId="0">
      <text>
        <r>
          <rPr>
            <sz val="9"/>
            <color rgb="FF000000"/>
            <rFont val="Arial"/>
            <family val="2"/>
          </rPr>
          <t>URI 3Q25 earnings release (Ex.99.1) | Adjusted EPS | 10.47</t>
        </r>
      </text>
    </comment>
    <comment ref="G188" authorId="0">
      <text>
        <r>
          <rPr>
            <sz val="9"/>
            <color rgb="FF000000"/>
            <rFont val="Arial"/>
            <family val="2"/>
          </rPr>
          <t>URI 3Q25 earnings release (Ex.99.1) | Adjusted EPS | 43.17</t>
        </r>
      </text>
    </comment>
    <comment ref="C189" authorId="0">
      <text>
        <r>
          <rPr>
            <sz val="9"/>
            <color rgb="FF000000"/>
            <rFont val="Arial"/>
            <family val="2"/>
          </rPr>
          <t>URI 3Q25 earnings release (Ex.99.1) | Adjusted EBITDA | 1,904</t>
        </r>
      </text>
    </comment>
    <comment ref="D189" authorId="0">
      <text>
        <r>
          <rPr>
            <sz val="9"/>
            <color rgb="FF000000"/>
            <rFont val="Arial"/>
            <family val="2"/>
          </rPr>
          <t>URI 3Q25 earnings release (Ex.99.1) | Adjusted EBITDA | 1,900</t>
        </r>
      </text>
    </comment>
    <comment ref="E189" authorId="0">
      <text>
        <r>
          <rPr>
            <sz val="9"/>
            <color rgb="FF000000"/>
            <rFont val="Arial"/>
            <family val="2"/>
          </rPr>
          <t>URI 3Q25 earnings release (Ex.99.1) | Adjusted EBITDA | 1,671</t>
        </r>
      </text>
    </comment>
    <comment ref="F189" authorId="0">
      <text>
        <r>
          <rPr>
            <sz val="9"/>
            <color rgb="FF000000"/>
            <rFont val="Arial"/>
            <family val="2"/>
          </rPr>
          <t>URI 3Q25 earnings release (Ex.99.1) | Adjusted EBITDA | 1,810</t>
        </r>
      </text>
    </comment>
    <comment ref="G189" authorId="0">
      <text>
        <r>
          <rPr>
            <sz val="9"/>
            <color rgb="FF000000"/>
            <rFont val="Arial"/>
            <family val="2"/>
          </rPr>
          <t>URI 3Q25 earnings release (Ex.99.1) | Adjusted EBITDA | 7,160</t>
        </r>
      </text>
    </comment>
    <comment ref="C190" authorId="0">
      <text>
        <r>
          <rPr>
            <sz val="9"/>
            <color rgb="FF000000"/>
            <rFont val="Arial"/>
            <family val="2"/>
          </rPr>
          <t>URI 3Q25 earnings release (Ex.99.1) | Weighted basic shares (M) | 66</t>
        </r>
      </text>
    </comment>
    <comment ref="D190" authorId="0">
      <text>
        <r>
          <rPr>
            <sz val="9"/>
            <color rgb="FF000000"/>
            <rFont val="Arial"/>
            <family val="2"/>
          </rPr>
          <t>URI 3Q25 earnings release (Ex.99.1) | Weighted basic shares (M) | 65.60</t>
        </r>
      </text>
    </comment>
    <comment ref="E190" authorId="0">
      <text>
        <r>
          <rPr>
            <sz val="9"/>
            <color rgb="FF000000"/>
            <rFont val="Arial"/>
            <family val="2"/>
          </rPr>
          <t>URI 3Q25 earnings release (Ex.99.1) | Weighted basic shares (M) | 65.30</t>
        </r>
      </text>
    </comment>
    <comment ref="F190" authorId="0">
      <text>
        <r>
          <rPr>
            <sz val="9"/>
            <color rgb="FF000000"/>
            <rFont val="Arial"/>
            <family val="2"/>
          </rPr>
          <t>URI 3Q25 earnings release (Ex.99.1) | Weighted basic shares (M) | 64.90</t>
        </r>
      </text>
    </comment>
    <comment ref="G190" authorId="0">
      <text>
        <r>
          <rPr>
            <sz val="9"/>
            <color rgb="FF000000"/>
            <rFont val="Arial"/>
            <family val="2"/>
          </rPr>
          <t>URI 3Q25 earnings release (Ex.99.1) | Weighted basic shares (M) | 66.30</t>
        </r>
      </text>
    </comment>
    <comment ref="C191" authorId="0">
      <text>
        <r>
          <rPr>
            <sz val="9"/>
            <color rgb="FF000000"/>
            <rFont val="Arial"/>
            <family val="2"/>
          </rPr>
          <t>URI 3Q25 earnings release (Ex.99.1) | Weighted diluted shares (M) | 66.20</t>
        </r>
      </text>
    </comment>
    <comment ref="D191" authorId="0">
      <text>
        <r>
          <rPr>
            <sz val="9"/>
            <color rgb="FF000000"/>
            <rFont val="Arial"/>
            <family val="2"/>
          </rPr>
          <t>URI 3Q25 earnings release (Ex.99.1) | Weighted diluted shares (M) | 65.80</t>
        </r>
      </text>
    </comment>
    <comment ref="E191" authorId="0">
      <text>
        <r>
          <rPr>
            <sz val="9"/>
            <color rgb="FF000000"/>
            <rFont val="Arial"/>
            <family val="2"/>
          </rPr>
          <t>URI 3Q25 earnings release (Ex.99.1) | Weighted diluted shares (M) | 65.40</t>
        </r>
      </text>
    </comment>
    <comment ref="F191" authorId="0">
      <text>
        <r>
          <rPr>
            <sz val="9"/>
            <color rgb="FF000000"/>
            <rFont val="Arial"/>
            <family val="2"/>
          </rPr>
          <t>URI 3Q25 earnings release (Ex.99.1) | Weighted diluted shares (M) | 64.90</t>
        </r>
      </text>
    </comment>
    <comment ref="G191" authorId="0">
      <text>
        <r>
          <rPr>
            <sz val="9"/>
            <color rgb="FF000000"/>
            <rFont val="Arial"/>
            <family val="2"/>
          </rPr>
          <t>URI 3Q25 earnings release (Ex.99.1) | Weighted diluted shares (M) | 66.60</t>
        </r>
      </text>
    </comment>
    <comment ref="C192" authorId="0">
      <text>
        <r>
          <rPr>
            <sz val="9"/>
            <color rgb="FF000000"/>
            <rFont val="Arial"/>
            <family val="2"/>
          </rPr>
          <t>URI 3Q25 earnings release (Ex.99.1) | Cost of equipment rentals ex dep. | 1,392</t>
        </r>
      </text>
    </comment>
    <comment ref="D192" authorId="0">
      <text>
        <r>
          <rPr>
            <sz val="9"/>
            <color rgb="FF000000"/>
            <rFont val="Arial"/>
            <family val="2"/>
          </rPr>
          <t>URI 3Q25 earnings release (Ex.99.1) | Cost of equipment rentals ex dep. | 1,407</t>
        </r>
      </text>
    </comment>
    <comment ref="E192" authorId="0">
      <text>
        <r>
          <rPr>
            <sz val="9"/>
            <color rgb="FF000000"/>
            <rFont val="Arial"/>
            <family val="2"/>
          </rPr>
          <t>URI 3Q25 earnings release (Ex.99.1) | Cost of equipment rentals ex dep. | 1,378</t>
        </r>
      </text>
    </comment>
    <comment ref="F192" authorId="0">
      <text>
        <r>
          <rPr>
            <sz val="9"/>
            <color rgb="FF000000"/>
            <rFont val="Arial"/>
            <family val="2"/>
          </rPr>
          <t>URI 3Q25 earnings release (Ex.99.1) | Cost of equipment rentals ex dep. | 1,443</t>
        </r>
      </text>
    </comment>
    <comment ref="G192" authorId="0">
      <text>
        <r>
          <rPr>
            <sz val="9"/>
            <color rgb="FF000000"/>
            <rFont val="Arial"/>
            <family val="2"/>
          </rPr>
          <t>URI 3Q25 earnings release (Ex.99.1) | Cost of equipment rentals ex dep. | 5,365</t>
        </r>
      </text>
    </comment>
    <comment ref="C193" authorId="0">
      <text>
        <r>
          <rPr>
            <sz val="9"/>
            <color rgb="FF000000"/>
            <rFont val="Arial"/>
            <family val="2"/>
          </rPr>
          <t>URI 3Q25 earnings release (Ex.99.1) | Depreciation of rental equipment | 629</t>
        </r>
      </text>
    </comment>
    <comment ref="D193" authorId="0">
      <text>
        <r>
          <rPr>
            <sz val="9"/>
            <color rgb="FF000000"/>
            <rFont val="Arial"/>
            <family val="2"/>
          </rPr>
          <t>URI 3Q25 earnings release (Ex.99.1) | Depreciation of rental equipment | 647</t>
        </r>
      </text>
    </comment>
    <comment ref="E193" authorId="0">
      <text>
        <r>
          <rPr>
            <sz val="9"/>
            <color rgb="FF000000"/>
            <rFont val="Arial"/>
            <family val="2"/>
          </rPr>
          <t>URI 3Q25 earnings release (Ex.99.1) | Depreciation of rental equipment | 637</t>
        </r>
      </text>
    </comment>
    <comment ref="F193" authorId="0">
      <text>
        <r>
          <rPr>
            <sz val="9"/>
            <color rgb="FF000000"/>
            <rFont val="Arial"/>
            <family val="2"/>
          </rPr>
          <t>URI 3Q25 earnings release (Ex.99.1) | Depreciation of rental equipment | 651</t>
        </r>
      </text>
    </comment>
    <comment ref="G193" authorId="0">
      <text>
        <r>
          <rPr>
            <sz val="9"/>
            <color rgb="FF000000"/>
            <rFont val="Arial"/>
            <family val="2"/>
          </rPr>
          <t>URI 3Q25 earnings release (Ex.99.1) | Depreciation of rental equipment | 2,466</t>
        </r>
      </text>
    </comment>
    <comment ref="C194" authorId="0">
      <text>
        <r>
          <rPr>
            <sz val="9"/>
            <color rgb="FF000000"/>
            <rFont val="Arial"/>
            <family val="2"/>
          </rPr>
          <t>URI 3Q25 earnings release (Ex.99.1) | Cost of rental equipment sales | 176</t>
        </r>
      </text>
    </comment>
    <comment ref="D194" authorId="0">
      <text>
        <r>
          <rPr>
            <sz val="9"/>
            <color rgb="FF000000"/>
            <rFont val="Arial"/>
            <family val="2"/>
          </rPr>
          <t>URI 3Q25 earnings release (Ex.99.1) | Cost of rental equipment sales | 247</t>
        </r>
      </text>
    </comment>
    <comment ref="E194" authorId="0">
      <text>
        <r>
          <rPr>
            <sz val="9"/>
            <color rgb="FF000000"/>
            <rFont val="Arial"/>
            <family val="2"/>
          </rPr>
          <t>URI 3Q25 earnings release (Ex.99.1) | Cost of rental equipment sales | 210</t>
        </r>
      </text>
    </comment>
    <comment ref="F194" authorId="0">
      <text>
        <r>
          <rPr>
            <sz val="9"/>
            <color rgb="FF000000"/>
            <rFont val="Arial"/>
            <family val="2"/>
          </rPr>
          <t>URI 3Q25 earnings release (Ex.99.1) | Cost of rental equipment sales | 171</t>
        </r>
      </text>
    </comment>
    <comment ref="G194" authorId="0">
      <text>
        <r>
          <rPr>
            <sz val="9"/>
            <color rgb="FF000000"/>
            <rFont val="Arial"/>
            <family val="2"/>
          </rPr>
          <t>URI 3Q25 earnings release (Ex.99.1) | Cost of rental equipment sales | 811</t>
        </r>
      </text>
    </comment>
    <comment ref="C195" authorId="0">
      <text>
        <r>
          <rPr>
            <sz val="9"/>
            <color rgb="FF000000"/>
            <rFont val="Arial"/>
            <family val="2"/>
          </rPr>
          <t>URI 3Q25 earnings release (Ex.99.1) | Cost of new equipment sales | 65</t>
        </r>
      </text>
    </comment>
    <comment ref="D195" authorId="0">
      <text>
        <r>
          <rPr>
            <sz val="9"/>
            <color rgb="FF000000"/>
            <rFont val="Arial"/>
            <family val="2"/>
          </rPr>
          <t>URI 3Q25 earnings release (Ex.99.1) | Cost of new equipment sales | 77</t>
        </r>
      </text>
    </comment>
    <comment ref="E195" authorId="0">
      <text>
        <r>
          <rPr>
            <sz val="9"/>
            <color rgb="FF000000"/>
            <rFont val="Arial"/>
            <family val="2"/>
          </rPr>
          <t>URI 3Q25 earnings release (Ex.99.1) | Cost of new equipment sales | 56</t>
        </r>
      </text>
    </comment>
    <comment ref="F195" authorId="0">
      <text>
        <r>
          <rPr>
            <sz val="9"/>
            <color rgb="FF000000"/>
            <rFont val="Arial"/>
            <family val="2"/>
          </rPr>
          <t>URI 3Q25 earnings release (Ex.99.1) | Cost of new equipment sales | 61</t>
        </r>
      </text>
    </comment>
    <comment ref="G195" authorId="0">
      <text>
        <r>
          <rPr>
            <sz val="9"/>
            <color rgb="FF000000"/>
            <rFont val="Arial"/>
            <family val="2"/>
          </rPr>
          <t>URI 3Q25 earnings release (Ex.99.1) | Cost of new equipment sales | 229</t>
        </r>
      </text>
    </comment>
    <comment ref="C196" authorId="0">
      <text>
        <r>
          <rPr>
            <sz val="9"/>
            <color rgb="FF000000"/>
            <rFont val="Arial"/>
            <family val="2"/>
          </rPr>
          <t>URI 3Q25 earnings release (Ex.99.1) | Cost of contractor supplies sales | 26</t>
        </r>
      </text>
    </comment>
    <comment ref="D196" authorId="0">
      <text>
        <r>
          <rPr>
            <sz val="9"/>
            <color rgb="FF000000"/>
            <rFont val="Arial"/>
            <family val="2"/>
          </rPr>
          <t>URI 3Q25 earnings release (Ex.99.1) | Cost of contractor supplies sales | 23</t>
        </r>
      </text>
    </comment>
    <comment ref="E196" authorId="0">
      <text>
        <r>
          <rPr>
            <sz val="9"/>
            <color rgb="FF000000"/>
            <rFont val="Arial"/>
            <family val="2"/>
          </rPr>
          <t>URI 3Q25 earnings release (Ex.99.1) | Cost of contractor supplies sales | 26</t>
        </r>
      </text>
    </comment>
    <comment ref="F196" authorId="0">
      <text>
        <r>
          <rPr>
            <sz val="9"/>
            <color rgb="FF000000"/>
            <rFont val="Arial"/>
            <family val="2"/>
          </rPr>
          <t>URI 3Q25 earnings release (Ex.99.1) | Cost of contractor supplies sales | 28</t>
        </r>
      </text>
    </comment>
    <comment ref="G196" authorId="0">
      <text>
        <r>
          <rPr>
            <sz val="9"/>
            <color rgb="FF000000"/>
            <rFont val="Arial"/>
            <family val="2"/>
          </rPr>
          <t>URI 3Q25 earnings release (Ex.99.1) | Cost of contractor supplies sales | 103</t>
        </r>
      </text>
    </comment>
    <comment ref="C197" authorId="0">
      <text>
        <r>
          <rPr>
            <sz val="9"/>
            <color rgb="FF000000"/>
            <rFont val="Arial"/>
            <family val="2"/>
          </rPr>
          <t>URI 3Q25 earnings release (Ex.99.1) | Cost of service and other revenues | 56</t>
        </r>
      </text>
    </comment>
    <comment ref="D197" authorId="0">
      <text>
        <r>
          <rPr>
            <sz val="9"/>
            <color rgb="FF000000"/>
            <rFont val="Arial"/>
            <family val="2"/>
          </rPr>
          <t>URI 3Q25 earnings release (Ex.99.1) | Cost of service and other revenues | 56</t>
        </r>
      </text>
    </comment>
    <comment ref="E197" authorId="0">
      <text>
        <r>
          <rPr>
            <sz val="9"/>
            <color rgb="FF000000"/>
            <rFont val="Arial"/>
            <family val="2"/>
          </rPr>
          <t>URI 3Q25 earnings release (Ex.99.1) | Cost of service and other revenues | 56</t>
        </r>
      </text>
    </comment>
    <comment ref="F197" authorId="0">
      <text>
        <r>
          <rPr>
            <sz val="9"/>
            <color rgb="FF000000"/>
            <rFont val="Arial"/>
            <family val="2"/>
          </rPr>
          <t>URI 3Q25 earnings release (Ex.99.1) | Cost of service and other revenues | 56</t>
        </r>
      </text>
    </comment>
    <comment ref="G197" authorId="0">
      <text>
        <r>
          <rPr>
            <sz val="9"/>
            <color rgb="FF000000"/>
            <rFont val="Arial"/>
            <family val="2"/>
          </rPr>
          <t>URI 3Q25 earnings release (Ex.99.1) | Cost of service and other revenues | 221</t>
        </r>
      </text>
    </comment>
    <comment ref="C198" authorId="0">
      <text>
        <r>
          <rPr>
            <sz val="9"/>
            <color rgb="FF000000"/>
            <rFont val="Arial"/>
            <family val="2"/>
          </rPr>
          <t>URI 3Q25 earnings release (Ex.99.1) | SG&amp;A | 416</t>
        </r>
      </text>
    </comment>
    <comment ref="D198" authorId="0">
      <text>
        <r>
          <rPr>
            <sz val="9"/>
            <color rgb="FF000000"/>
            <rFont val="Arial"/>
            <family val="2"/>
          </rPr>
          <t>URI 3Q25 earnings release (Ex.99.1) | SG&amp;A | 436</t>
        </r>
      </text>
    </comment>
    <comment ref="E198" authorId="0">
      <text>
        <r>
          <rPr>
            <sz val="9"/>
            <color rgb="FF000000"/>
            <rFont val="Arial"/>
            <family val="2"/>
          </rPr>
          <t>URI 3Q25 earnings release (Ex.99.1) | SG&amp;A | 437</t>
        </r>
      </text>
    </comment>
    <comment ref="F198" authorId="0">
      <text>
        <r>
          <rPr>
            <sz val="9"/>
            <color rgb="FF000000"/>
            <rFont val="Arial"/>
            <family val="2"/>
          </rPr>
          <t>URI 3Q25 earnings release (Ex.99.1) | SG&amp;A | 422</t>
        </r>
      </text>
    </comment>
    <comment ref="G198" authorId="0">
      <text>
        <r>
          <rPr>
            <sz val="9"/>
            <color rgb="FF000000"/>
            <rFont val="Arial"/>
            <family val="2"/>
          </rPr>
          <t>URI 3Q25 earnings release (Ex.99.1) | SG&amp;A | 1,645</t>
        </r>
      </text>
    </comment>
    <comment ref="C199" authorId="0">
      <text>
        <r>
          <rPr>
            <sz val="9"/>
            <color rgb="FF000000"/>
            <rFont val="Arial"/>
            <family val="2"/>
          </rPr>
          <t>URI 3Q25 earnings release (Ex.99.1) | Restructuring charge | 1</t>
        </r>
      </text>
    </comment>
    <comment ref="D199" authorId="0">
      <text>
        <r>
          <rPr>
            <sz val="9"/>
            <color rgb="FF000000"/>
            <rFont val="Arial"/>
            <family val="2"/>
          </rPr>
          <t>URI 3Q25 earnings release (Ex.99.1) | Restructuring charge | 0</t>
        </r>
      </text>
    </comment>
    <comment ref="E199" authorId="0">
      <text>
        <r>
          <rPr>
            <sz val="9"/>
            <color rgb="FF000000"/>
            <rFont val="Arial"/>
            <family val="2"/>
          </rPr>
          <t>URI 3Q25 earnings release (Ex.99.1) | Restructuring charge | 1</t>
        </r>
      </text>
    </comment>
    <comment ref="F199" authorId="0">
      <text>
        <r>
          <rPr>
            <sz val="9"/>
            <color rgb="FF000000"/>
            <rFont val="Arial"/>
            <family val="2"/>
          </rPr>
          <t>URI 3Q25 earnings release (Ex.99.1) | Restructuring charge | 0</t>
        </r>
      </text>
    </comment>
    <comment ref="G199" authorId="0">
      <text>
        <r>
          <rPr>
            <sz val="9"/>
            <color rgb="FF000000"/>
            <rFont val="Arial"/>
            <family val="2"/>
          </rPr>
          <t>URI 3Q25 earnings release (Ex.99.1) | Restructuring charge | 3</t>
        </r>
      </text>
    </comment>
    <comment ref="C200" authorId="0">
      <text>
        <r>
          <rPr>
            <sz val="9"/>
            <color rgb="FF000000"/>
            <rFont val="Arial"/>
            <family val="2"/>
          </rPr>
          <t>URI 3Q25 earnings release (Ex.99.1) | Non-rental D&amp;A | 109</t>
        </r>
      </text>
    </comment>
    <comment ref="D200" authorId="0">
      <text>
        <r>
          <rPr>
            <sz val="9"/>
            <color rgb="FF000000"/>
            <rFont val="Arial"/>
            <family val="2"/>
          </rPr>
          <t>URI 3Q25 earnings release (Ex.99.1) | Non-rental D&amp;A | 115</t>
        </r>
      </text>
    </comment>
    <comment ref="E200" authorId="0">
      <text>
        <r>
          <rPr>
            <sz val="9"/>
            <color rgb="FF000000"/>
            <rFont val="Arial"/>
            <family val="2"/>
          </rPr>
          <t>URI 3Q25 earnings release (Ex.99.1) | Non-rental D&amp;A | 114</t>
        </r>
      </text>
    </comment>
    <comment ref="F200" authorId="0">
      <text>
        <r>
          <rPr>
            <sz val="9"/>
            <color rgb="FF000000"/>
            <rFont val="Arial"/>
            <family val="2"/>
          </rPr>
          <t>URI 3Q25 earnings release (Ex.99.1) | Non-rental D&amp;A | 108</t>
        </r>
      </text>
    </comment>
    <comment ref="G200" authorId="0">
      <text>
        <r>
          <rPr>
            <sz val="9"/>
            <color rgb="FF000000"/>
            <rFont val="Arial"/>
            <family val="2"/>
          </rPr>
          <t>URI 3Q25 earnings release (Ex.99.1) | Non-rental D&amp;A | 437</t>
        </r>
      </text>
    </comment>
    <comment ref="C201" authorId="0">
      <text>
        <r>
          <rPr>
            <sz val="9"/>
            <color rgb="FF000000"/>
            <rFont val="Arial"/>
            <family val="2"/>
          </rPr>
          <t>URI 3Q25 earnings release (Ex.99.1) | Interest expense, net | 178</t>
        </r>
      </text>
    </comment>
    <comment ref="D201" authorId="0">
      <text>
        <r>
          <rPr>
            <sz val="9"/>
            <color rgb="FF000000"/>
            <rFont val="Arial"/>
            <family val="2"/>
          </rPr>
          <t>URI 3Q25 earnings release (Ex.99.1) | Interest expense, net | 180</t>
        </r>
      </text>
    </comment>
    <comment ref="E201" authorId="0">
      <text>
        <r>
          <rPr>
            <sz val="9"/>
            <color rgb="FF000000"/>
            <rFont val="Arial"/>
            <family val="2"/>
          </rPr>
          <t>URI 3Q25 earnings release (Ex.99.1) | Interest expense, net | 184</t>
        </r>
      </text>
    </comment>
    <comment ref="F201" authorId="0">
      <text>
        <r>
          <rPr>
            <sz val="9"/>
            <color rgb="FF000000"/>
            <rFont val="Arial"/>
            <family val="2"/>
          </rPr>
          <t>URI 3Q25 earnings release (Ex.99.1) | Interest expense, net | 171</t>
        </r>
      </text>
    </comment>
    <comment ref="G201" authorId="0">
      <text>
        <r>
          <rPr>
            <sz val="9"/>
            <color rgb="FF000000"/>
            <rFont val="Arial"/>
            <family val="2"/>
          </rPr>
          <t>URI 3Q25 earnings release (Ex.99.1) | Interest expense, net | 691</t>
        </r>
      </text>
    </comment>
    <comment ref="C202" authorId="0">
      <text>
        <r>
          <rPr>
            <sz val="9"/>
            <color rgb="FF000000"/>
            <rFont val="Arial"/>
            <family val="2"/>
          </rPr>
          <t>URI 3Q25 earnings release (Ex.99.1) | Other (income) expense, net | -5</t>
        </r>
      </text>
    </comment>
    <comment ref="D202" authorId="0">
      <text>
        <r>
          <rPr>
            <sz val="9"/>
            <color rgb="FF000000"/>
            <rFont val="Arial"/>
            <family val="2"/>
          </rPr>
          <t>URI 3Q25 earnings release (Ex.99.1) | Other (income) expense, net | -2</t>
        </r>
      </text>
    </comment>
    <comment ref="E202" authorId="0">
      <text>
        <r>
          <rPr>
            <sz val="9"/>
            <color rgb="FF000000"/>
            <rFont val="Arial"/>
            <family val="2"/>
          </rPr>
          <t>URI 3Q25 earnings release (Ex.99.1) | Other (income) expense, net | -68</t>
        </r>
      </text>
    </comment>
    <comment ref="F202" authorId="0">
      <text>
        <r>
          <rPr>
            <sz val="9"/>
            <color rgb="FF000000"/>
            <rFont val="Arial"/>
            <family val="2"/>
          </rPr>
          <t>URI 3Q25 earnings release (Ex.99.1) | Other (income) expense, net | -7</t>
        </r>
      </text>
    </comment>
    <comment ref="G202" authorId="0">
      <text>
        <r>
          <rPr>
            <sz val="9"/>
            <color rgb="FF000000"/>
            <rFont val="Arial"/>
            <family val="2"/>
          </rPr>
          <t>URI 3Q25 earnings release (Ex.99.1) | Other (income) expense, net | -14</t>
        </r>
      </text>
    </comment>
    <comment ref="C203" authorId="0">
      <text>
        <r>
          <rPr>
            <sz val="9"/>
            <color rgb="FF000000"/>
            <rFont val="Arial"/>
            <family val="2"/>
          </rPr>
          <t>URI 3Q25 earnings release (Ex.99.1) | Provision for income taxes | 241</t>
        </r>
      </text>
    </comment>
    <comment ref="D203" authorId="0">
      <text>
        <r>
          <rPr>
            <sz val="9"/>
            <color rgb="FF000000"/>
            <rFont val="Arial"/>
            <family val="2"/>
          </rPr>
          <t>URI 3Q25 earnings release (Ex.99.1) | Provision for income taxes | 220</t>
        </r>
      </text>
    </comment>
    <comment ref="E203" authorId="0">
      <text>
        <r>
          <rPr>
            <sz val="9"/>
            <color rgb="FF000000"/>
            <rFont val="Arial"/>
            <family val="2"/>
          </rPr>
          <t>URI 3Q25 earnings release (Ex.99.1) | Provision for income taxes | 170</t>
        </r>
      </text>
    </comment>
    <comment ref="F203" authorId="0">
      <text>
        <r>
          <rPr>
            <sz val="9"/>
            <color rgb="FF000000"/>
            <rFont val="Arial"/>
            <family val="2"/>
          </rPr>
          <t>URI 3Q25 earnings release (Ex.99.1) | Provision for income taxes | 217</t>
        </r>
      </text>
    </comment>
    <comment ref="G203" authorId="0">
      <text>
        <r>
          <rPr>
            <sz val="9"/>
            <color rgb="FF000000"/>
            <rFont val="Arial"/>
            <family val="2"/>
          </rPr>
          <t>URI 3Q25 earnings release (Ex.99.1) | Provision for income taxes | 813</t>
        </r>
      </text>
    </comment>
    <comment ref="C204" authorId="0">
      <text>
        <r>
          <rPr>
            <sz val="9"/>
            <color rgb="FF000000"/>
            <rFont val="Arial"/>
            <family val="2"/>
          </rPr>
          <t>URI 3Q25 earnings release (Ex.99.1) | Stock compensation expense, net | 24</t>
        </r>
      </text>
    </comment>
    <comment ref="D204" authorId="0">
      <text>
        <r>
          <rPr>
            <sz val="9"/>
            <color rgb="FF000000"/>
            <rFont val="Arial"/>
            <family val="2"/>
          </rPr>
          <t>URI 3Q25 earnings release (Ex.99.1) | Stock compensation expense, net | 33</t>
        </r>
      </text>
    </comment>
    <comment ref="E204" authorId="0">
      <text>
        <r>
          <rPr>
            <sz val="9"/>
            <color rgb="FF000000"/>
            <rFont val="Arial"/>
            <family val="2"/>
          </rPr>
          <t>URI 3Q25 earnings release (Ex.99.1) | Stock compensation expense, net | 36</t>
        </r>
      </text>
    </comment>
    <comment ref="F204" authorId="0">
      <text>
        <r>
          <rPr>
            <sz val="9"/>
            <color rgb="FF000000"/>
            <rFont val="Arial"/>
            <family val="2"/>
          </rPr>
          <t>URI 3Q25 earnings release (Ex.99.1) | Stock compensation expense, net | 34</t>
        </r>
      </text>
    </comment>
    <comment ref="G204" authorId="0">
      <text>
        <r>
          <rPr>
            <sz val="9"/>
            <color rgb="FF000000"/>
            <rFont val="Arial"/>
            <family val="2"/>
          </rPr>
          <t>URI 3Q25 earnings release (Ex.99.1) | Stock compensation expense, net | 112</t>
        </r>
      </text>
    </comment>
    <comment ref="C205" authorId="0">
      <text>
        <r>
          <rPr>
            <sz val="9"/>
            <color rgb="FF000000"/>
            <rFont val="Arial"/>
            <family val="2"/>
          </rPr>
          <t>URI 3Q25 earnings release (Ex.99.1) | Fair value mark-up of acquired fleet (pre-tax) | 14</t>
        </r>
      </text>
    </comment>
    <comment ref="D205" authorId="0">
      <text>
        <r>
          <rPr>
            <sz val="9"/>
            <color rgb="FF000000"/>
            <rFont val="Arial"/>
            <family val="2"/>
          </rPr>
          <t>URI 3Q25 earnings release (Ex.99.1) | Fair value mark-up of acquired fleet (pre-tax) | 16</t>
        </r>
      </text>
    </comment>
    <comment ref="E205" authorId="0">
      <text>
        <r>
          <rPr>
            <sz val="9"/>
            <color rgb="FF000000"/>
            <rFont val="Arial"/>
            <family val="2"/>
          </rPr>
          <t>URI 3Q25 earnings release (Ex.99.1) | Fair value mark-up of acquired fleet (pre-tax) | 11</t>
        </r>
      </text>
    </comment>
    <comment ref="F205" authorId="0">
      <text>
        <r>
          <rPr>
            <sz val="9"/>
            <color rgb="FF000000"/>
            <rFont val="Arial"/>
            <family val="2"/>
          </rPr>
          <t>URI 3Q25 earnings release (Ex.99.1) | Fair value mark-up of acquired fleet (pre-tax) | 7</t>
        </r>
      </text>
    </comment>
    <comment ref="G205" authorId="0">
      <text>
        <r>
          <rPr>
            <sz val="9"/>
            <color rgb="FF000000"/>
            <rFont val="Arial"/>
            <family val="2"/>
          </rPr>
          <t>URI 3Q25 earnings release (Ex.99.1) | Fair value mark-up of acquired fleet (pre-tax) | 63</t>
        </r>
      </text>
    </comment>
    <comment ref="E206" authorId="0">
      <text>
        <r>
          <rPr>
            <sz val="9"/>
            <color rgb="FF000000"/>
            <rFont val="Arial"/>
            <family val="2"/>
          </rPr>
          <t>URI 1Q26 earnings release (Ex.99.1) | CF: ni | 518</t>
        </r>
      </text>
    </comment>
    <comment ref="F206" authorId="0">
      <text>
        <r>
          <rPr>
            <sz val="9"/>
            <color rgb="FF000000"/>
            <rFont val="Arial"/>
            <family val="2"/>
          </rPr>
          <t>URI 1Q26 earnings release (Ex.99.1) | CF: ni | 622</t>
        </r>
      </text>
    </comment>
    <comment ref="E207" authorId="0">
      <text>
        <r>
          <rPr>
            <sz val="9"/>
            <color rgb="FF000000"/>
            <rFont val="Arial"/>
            <family val="2"/>
          </rPr>
          <t>URI 1Q26 earnings release (Ex.99.1) | CF: da | 751</t>
        </r>
      </text>
    </comment>
    <comment ref="F207" authorId="0">
      <text>
        <r>
          <rPr>
            <sz val="9"/>
            <color rgb="FF000000"/>
            <rFont val="Arial"/>
            <family val="2"/>
          </rPr>
          <t>URI 1Q26 earnings release (Ex.99.1) | CF: da | 759</t>
        </r>
      </text>
    </comment>
    <comment ref="E208" authorId="0">
      <text>
        <r>
          <rPr>
            <sz val="9"/>
            <color rgb="FF000000"/>
            <rFont val="Arial"/>
            <family val="2"/>
          </rPr>
          <t>URI 1Q26 earnings release (Ex.99.1) | CF: amfin | 4</t>
        </r>
      </text>
    </comment>
    <comment ref="F208" authorId="0">
      <text>
        <r>
          <rPr>
            <sz val="9"/>
            <color rgb="FF000000"/>
            <rFont val="Arial"/>
            <family val="2"/>
          </rPr>
          <t>URI 1Q26 earnings release (Ex.99.1) | CF: amfin | 4</t>
        </r>
      </text>
    </comment>
    <comment ref="E209" authorId="0">
      <text>
        <r>
          <rPr>
            <sz val="9"/>
            <color rgb="FF000000"/>
            <rFont val="Arial"/>
            <family val="2"/>
          </rPr>
          <t>URI 1Q26 earnings release (Ex.99.1) | CF: gainr | -167</t>
        </r>
      </text>
    </comment>
    <comment ref="F209" authorId="0">
      <text>
        <r>
          <rPr>
            <sz val="9"/>
            <color rgb="FF000000"/>
            <rFont val="Arial"/>
            <family val="2"/>
          </rPr>
          <t>URI 1Q26 earnings release (Ex.99.1) | CF: gainr | -146</t>
        </r>
      </text>
    </comment>
    <comment ref="E210" authorId="0">
      <text>
        <r>
          <rPr>
            <sz val="9"/>
            <color rgb="FF000000"/>
            <rFont val="Arial"/>
            <family val="2"/>
          </rPr>
          <t>URI 1Q26 earnings release (Ex.99.1) | CF: gainnr | -4</t>
        </r>
      </text>
    </comment>
    <comment ref="F210" authorId="0">
      <text>
        <r>
          <rPr>
            <sz val="9"/>
            <color rgb="FF000000"/>
            <rFont val="Arial"/>
            <family val="2"/>
          </rPr>
          <t>URI 1Q26 earnings release (Ex.99.1) | CF: gainnr | -6</t>
        </r>
      </text>
    </comment>
    <comment ref="E211" authorId="0">
      <text>
        <r>
          <rPr>
            <sz val="9"/>
            <color rgb="FF000000"/>
            <rFont val="Arial"/>
            <family val="2"/>
          </rPr>
          <t>URI 1Q26 earnings release (Ex.99.1) | CF: gainbus | 0</t>
        </r>
      </text>
    </comment>
    <comment ref="F211" authorId="0">
      <text>
        <r>
          <rPr>
            <sz val="9"/>
            <color rgb="FF000000"/>
            <rFont val="Arial"/>
            <family val="2"/>
          </rPr>
          <t>URI 1Q26 earnings release (Ex.99.1) | CF: gainbus | 0</t>
        </r>
      </text>
    </comment>
    <comment ref="E212" authorId="0">
      <text>
        <r>
          <rPr>
            <sz val="9"/>
            <color rgb="FF000000"/>
            <rFont val="Arial"/>
            <family val="2"/>
          </rPr>
          <t>URI 1Q26 earnings release (Ex.99.1) | CF: insop | -11</t>
        </r>
      </text>
    </comment>
    <comment ref="F212" authorId="0">
      <text>
        <r>
          <rPr>
            <sz val="9"/>
            <color rgb="FF000000"/>
            <rFont val="Arial"/>
            <family val="2"/>
          </rPr>
          <t>URI 1Q26 earnings release (Ex.99.1) | CF: insop | -12</t>
        </r>
      </text>
    </comment>
    <comment ref="E213" authorId="0">
      <text>
        <r>
          <rPr>
            <sz val="9"/>
            <color rgb="FF000000"/>
            <rFont val="Arial"/>
            <family val="2"/>
          </rPr>
          <t>URI 1Q26 earnings release (Ex.99.1) | CF: sbc | 36</t>
        </r>
      </text>
    </comment>
    <comment ref="F213" authorId="0">
      <text>
        <r>
          <rPr>
            <sz val="9"/>
            <color rgb="FF000000"/>
            <rFont val="Arial"/>
            <family val="2"/>
          </rPr>
          <t>URI 1Q26 earnings release (Ex.99.1) | CF: sbc | 34</t>
        </r>
      </text>
    </comment>
    <comment ref="E214" authorId="0">
      <text>
        <r>
          <rPr>
            <sz val="9"/>
            <color rgb="FF000000"/>
            <rFont val="Arial"/>
            <family val="2"/>
          </rPr>
          <t>URI 1Q26 earnings release (Ex.99.1) | CF: restr | 1</t>
        </r>
      </text>
    </comment>
    <comment ref="F214" authorId="0">
      <text>
        <r>
          <rPr>
            <sz val="9"/>
            <color rgb="FF000000"/>
            <rFont val="Arial"/>
            <family val="2"/>
          </rPr>
          <t>URI 1Q26 earnings release (Ex.99.1) | CF: restr | 0</t>
        </r>
      </text>
    </comment>
    <comment ref="E215" authorId="0">
      <text>
        <r>
          <rPr>
            <sz val="9"/>
            <color rgb="FF000000"/>
            <rFont val="Arial"/>
            <family val="2"/>
          </rPr>
          <t>URI 1Q26 earnings release (Ex.99.1) | CF: debtact | 13</t>
        </r>
      </text>
    </comment>
    <comment ref="F215" authorId="0">
      <text>
        <r>
          <rPr>
            <sz val="9"/>
            <color rgb="FF000000"/>
            <rFont val="Arial"/>
            <family val="2"/>
          </rPr>
          <t>URI 1Q26 earnings release (Ex.99.1) | CF: debtact | 0</t>
        </r>
      </text>
    </comment>
    <comment ref="E216" authorId="0">
      <text>
        <r>
          <rPr>
            <sz val="9"/>
            <color rgb="FF000000"/>
            <rFont val="Arial"/>
            <family val="2"/>
          </rPr>
          <t>URI 1Q26 earnings release (Ex.99.1) | CF: dtax | -16</t>
        </r>
      </text>
    </comment>
    <comment ref="F216" authorId="0">
      <text>
        <r>
          <rPr>
            <sz val="9"/>
            <color rgb="FF000000"/>
            <rFont val="Arial"/>
            <family val="2"/>
          </rPr>
          <t>URI 1Q26 earnings release (Ex.99.1) | CF: dtax | -22</t>
        </r>
      </text>
    </comment>
    <comment ref="E217" authorId="0">
      <text>
        <r>
          <rPr>
            <sz val="9"/>
            <color rgb="FF000000"/>
            <rFont val="Arial"/>
            <family val="2"/>
          </rPr>
          <t>URI 1Q26 earnings release (Ex.99.1) | CF: ar | 62</t>
        </r>
      </text>
    </comment>
    <comment ref="F217" authorId="0">
      <text>
        <r>
          <rPr>
            <sz val="9"/>
            <color rgb="FF000000"/>
            <rFont val="Arial"/>
            <family val="2"/>
          </rPr>
          <t>URI 1Q26 earnings release (Ex.99.1) | CF: ar | -57</t>
        </r>
      </text>
    </comment>
    <comment ref="E218" authorId="0">
      <text>
        <r>
          <rPr>
            <sz val="9"/>
            <color rgb="FF000000"/>
            <rFont val="Arial"/>
            <family val="2"/>
          </rPr>
          <t>URI 1Q26 earnings release (Ex.99.1) | CF: inv | -27</t>
        </r>
      </text>
    </comment>
    <comment ref="F218" authorId="0">
      <text>
        <r>
          <rPr>
            <sz val="9"/>
            <color rgb="FF000000"/>
            <rFont val="Arial"/>
            <family val="2"/>
          </rPr>
          <t>URI 1Q26 earnings release (Ex.99.1) | CF: inv | -14</t>
        </r>
      </text>
    </comment>
    <comment ref="E219" authorId="0">
      <text>
        <r>
          <rPr>
            <sz val="9"/>
            <color rgb="FF000000"/>
            <rFont val="Arial"/>
            <family val="2"/>
          </rPr>
          <t>URI 1Q26 earnings release (Ex.99.1) | CF: prep | 67</t>
        </r>
      </text>
    </comment>
    <comment ref="F219" authorId="0">
      <text>
        <r>
          <rPr>
            <sz val="9"/>
            <color rgb="FF000000"/>
            <rFont val="Arial"/>
            <family val="2"/>
          </rPr>
          <t>URI 1Q26 earnings release (Ex.99.1) | CF: prep | -181</t>
        </r>
      </text>
    </comment>
    <comment ref="E220" authorId="0">
      <text>
        <r>
          <rPr>
            <sz val="9"/>
            <color rgb="FF000000"/>
            <rFont val="Arial"/>
            <family val="2"/>
          </rPr>
          <t>URI 1Q26 earnings release (Ex.99.1) | CF: ap | 233</t>
        </r>
      </text>
    </comment>
    <comment ref="F220" authorId="0">
      <text>
        <r>
          <rPr>
            <sz val="9"/>
            <color rgb="FF000000"/>
            <rFont val="Arial"/>
            <family val="2"/>
          </rPr>
          <t>URI 1Q26 earnings release (Ex.99.1) | CF: ap | 296</t>
        </r>
      </text>
    </comment>
    <comment ref="E221" authorId="0">
      <text>
        <r>
          <rPr>
            <sz val="9"/>
            <color rgb="FF000000"/>
            <rFont val="Arial"/>
            <family val="2"/>
          </rPr>
          <t>URI 1Q26 earnings release (Ex.99.1) | CF: accr | -35</t>
        </r>
      </text>
    </comment>
    <comment ref="F221" authorId="0">
      <text>
        <r>
          <rPr>
            <sz val="9"/>
            <color rgb="FF000000"/>
            <rFont val="Arial"/>
            <family val="2"/>
          </rPr>
          <t>URI 1Q26 earnings release (Ex.99.1) | CF: accr | 51</t>
        </r>
      </text>
    </comment>
    <comment ref="E222" authorId="0">
      <text>
        <r>
          <rPr>
            <sz val="9"/>
            <color rgb="FF000000"/>
            <rFont val="Arial"/>
            <family val="2"/>
          </rPr>
          <t>URI 1Q26 earnings release (Ex.99.1) | CF: purchr | -661</t>
        </r>
      </text>
    </comment>
    <comment ref="F222" authorId="0">
      <text>
        <r>
          <rPr>
            <sz val="9"/>
            <color rgb="FF000000"/>
            <rFont val="Arial"/>
            <family val="2"/>
          </rPr>
          <t>URI 1Q26 earnings release (Ex.99.1) | CF: purchr | -1,460</t>
        </r>
      </text>
    </comment>
    <comment ref="E223" authorId="0">
      <text>
        <r>
          <rPr>
            <sz val="9"/>
            <color rgb="FF000000"/>
            <rFont val="Arial"/>
            <family val="2"/>
          </rPr>
          <t>URI 1Q26 earnings release (Ex.99.1) | CF: purchnr | -84</t>
        </r>
      </text>
    </comment>
    <comment ref="F223" authorId="0">
      <text>
        <r>
          <rPr>
            <sz val="9"/>
            <color rgb="FF000000"/>
            <rFont val="Arial"/>
            <family val="2"/>
          </rPr>
          <t>URI 1Q26 earnings release (Ex.99.1) | CF: purchnr | -98</t>
        </r>
      </text>
    </comment>
    <comment ref="E224" authorId="0">
      <text>
        <r>
          <rPr>
            <sz val="9"/>
            <color rgb="FF000000"/>
            <rFont val="Arial"/>
            <family val="2"/>
          </rPr>
          <t>URI 1Q26 earnings release (Ex.99.1) | CF: procr | 377</t>
        </r>
      </text>
    </comment>
    <comment ref="F224" authorId="0">
      <text>
        <r>
          <rPr>
            <sz val="9"/>
            <color rgb="FF000000"/>
            <rFont val="Arial"/>
            <family val="2"/>
          </rPr>
          <t>URI 1Q26 earnings release (Ex.99.1) | CF: procr | 317</t>
        </r>
      </text>
    </comment>
    <comment ref="E225" authorId="0">
      <text>
        <r>
          <rPr>
            <sz val="9"/>
            <color rgb="FF000000"/>
            <rFont val="Arial"/>
            <family val="2"/>
          </rPr>
          <t>URI 1Q26 earnings release (Ex.99.1) | CF: procnr | 14</t>
        </r>
      </text>
    </comment>
    <comment ref="F225" authorId="0">
      <text>
        <r>
          <rPr>
            <sz val="9"/>
            <color rgb="FF000000"/>
            <rFont val="Arial"/>
            <family val="2"/>
          </rPr>
          <t>URI 1Q26 earnings release (Ex.99.1) | CF: procnr | 17</t>
        </r>
      </text>
    </comment>
    <comment ref="E226" authorId="0">
      <text>
        <r>
          <rPr>
            <sz val="9"/>
            <color rgb="FF000000"/>
            <rFont val="Arial"/>
            <family val="2"/>
          </rPr>
          <t>URI 1Q26 earnings release (Ex.99.1) | CF: procbus | 0</t>
        </r>
      </text>
    </comment>
    <comment ref="F226" authorId="0">
      <text>
        <r>
          <rPr>
            <sz val="9"/>
            <color rgb="FF000000"/>
            <rFont val="Arial"/>
            <family val="2"/>
          </rPr>
          <t>URI 1Q26 earnings release (Ex.99.1) | CF: procbus | 0</t>
        </r>
      </text>
    </comment>
    <comment ref="E227" authorId="0">
      <text>
        <r>
          <rPr>
            <sz val="9"/>
            <color rgb="FF000000"/>
            <rFont val="Arial"/>
            <family val="2"/>
          </rPr>
          <t>URI 1Q26 earnings release (Ex.99.1) | CF: insinv | 11</t>
        </r>
      </text>
    </comment>
    <comment ref="F227" authorId="0">
      <text>
        <r>
          <rPr>
            <sz val="9"/>
            <color rgb="FF000000"/>
            <rFont val="Arial"/>
            <family val="2"/>
          </rPr>
          <t>URI 1Q26 earnings release (Ex.99.1) | CF: insinv | 12</t>
        </r>
      </text>
    </comment>
    <comment ref="E228" authorId="0">
      <text>
        <r>
          <rPr>
            <sz val="9"/>
            <color rgb="FF000000"/>
            <rFont val="Arial"/>
            <family val="2"/>
          </rPr>
          <t>URI 1Q26 earnings release (Ex.99.1) | CF: acq | -17</t>
        </r>
      </text>
    </comment>
    <comment ref="F228" authorId="0">
      <text>
        <r>
          <rPr>
            <sz val="9"/>
            <color rgb="FF000000"/>
            <rFont val="Arial"/>
            <family val="2"/>
          </rPr>
          <t>URI 1Q26 earnings release (Ex.99.1) | CF: acq | 1</t>
        </r>
      </text>
    </comment>
    <comment ref="E229" authorId="0">
      <text>
        <r>
          <rPr>
            <sz val="9"/>
            <color rgb="FF000000"/>
            <rFont val="Arial"/>
            <family val="2"/>
          </rPr>
          <t>URI 1Q26 earnings release (Ex.99.1) | CF: invpur | -1</t>
        </r>
      </text>
    </comment>
    <comment ref="F229" authorId="0">
      <text>
        <r>
          <rPr>
            <sz val="9"/>
            <color rgb="FF000000"/>
            <rFont val="Arial"/>
            <family val="2"/>
          </rPr>
          <t>URI 1Q26 earnings release (Ex.99.1) | CF: invpur | 0</t>
        </r>
      </text>
    </comment>
    <comment ref="E230" authorId="0">
      <text>
        <r>
          <rPr>
            <sz val="9"/>
            <color rgb="FF000000"/>
            <rFont val="Arial"/>
            <family val="2"/>
          </rPr>
          <t>URI 1Q26 earnings release (Ex.99.1) | CF: invpro | 0</t>
        </r>
      </text>
    </comment>
    <comment ref="F230" authorId="0">
      <text>
        <r>
          <rPr>
            <sz val="9"/>
            <color rgb="FF000000"/>
            <rFont val="Arial"/>
            <family val="2"/>
          </rPr>
          <t>URI 1Q26 earnings release (Ex.99.1) | CF: invpro | 0</t>
        </r>
      </text>
    </comment>
    <comment ref="E231" authorId="0">
      <text>
        <r>
          <rPr>
            <sz val="9"/>
            <color rgb="FF000000"/>
            <rFont val="Arial"/>
            <family val="2"/>
          </rPr>
          <t>URI 1Q26 earnings release (Ex.99.1) | CF: debtin | 2,098</t>
        </r>
      </text>
    </comment>
    <comment ref="F231" authorId="0">
      <text>
        <r>
          <rPr>
            <sz val="9"/>
            <color rgb="FF000000"/>
            <rFont val="Arial"/>
            <family val="2"/>
          </rPr>
          <t>URI 1Q26 earnings release (Ex.99.1) | CF: debtin | 2,731</t>
        </r>
      </text>
    </comment>
    <comment ref="E232" authorId="0">
      <text>
        <r>
          <rPr>
            <sz val="9"/>
            <color rgb="FF000000"/>
            <rFont val="Arial"/>
            <family val="2"/>
          </rPr>
          <t>URI 1Q26 earnings release (Ex.99.1) | CF: debtout | -2,636</t>
        </r>
      </text>
    </comment>
    <comment ref="F232" authorId="0">
      <text>
        <r>
          <rPr>
            <sz val="9"/>
            <color rgb="FF000000"/>
            <rFont val="Arial"/>
            <family val="2"/>
          </rPr>
          <t>URI 1Q26 earnings release (Ex.99.1) | CF: debtout | -2,316</t>
        </r>
      </text>
    </comment>
    <comment ref="E233" authorId="0">
      <text>
        <r>
          <rPr>
            <sz val="9"/>
            <color rgb="FF000000"/>
            <rFont val="Arial"/>
            <family val="2"/>
          </rPr>
          <t>URI 1Q26 earnings release (Ex.99.1) | CF: contin | -23</t>
        </r>
      </text>
    </comment>
    <comment ref="F233" authorId="0">
      <text>
        <r>
          <rPr>
            <sz val="9"/>
            <color rgb="FF000000"/>
            <rFont val="Arial"/>
            <family val="2"/>
          </rPr>
          <t>URI 1Q26 earnings release (Ex.99.1) | CF: contin | 0</t>
        </r>
      </text>
    </comment>
    <comment ref="E234" authorId="0">
      <text>
        <r>
          <rPr>
            <sz val="9"/>
            <color rgb="FF000000"/>
            <rFont val="Arial"/>
            <family val="2"/>
          </rPr>
          <t>URI 1Q26 earnings release (Ex.99.1) | CF: fincost | -13</t>
        </r>
      </text>
    </comment>
    <comment ref="F234" authorId="0">
      <text>
        <r>
          <rPr>
            <sz val="9"/>
            <color rgb="FF000000"/>
            <rFont val="Arial"/>
            <family val="2"/>
          </rPr>
          <t>URI 1Q26 earnings release (Ex.99.1) | CF: fincost | -1</t>
        </r>
      </text>
    </comment>
    <comment ref="E235" authorId="0">
      <text>
        <r>
          <rPr>
            <sz val="9"/>
            <color rgb="FF000000"/>
            <rFont val="Arial"/>
            <family val="2"/>
          </rPr>
          <t>URI 1Q26 earnings release (Ex.99.1) | CF: repo | -289</t>
        </r>
      </text>
    </comment>
    <comment ref="F235" authorId="0">
      <text>
        <r>
          <rPr>
            <sz val="9"/>
            <color rgb="FF000000"/>
            <rFont val="Arial"/>
            <family val="2"/>
          </rPr>
          <t>URI 1Q26 earnings release (Ex.99.1) | CF: repo | -431</t>
        </r>
      </text>
    </comment>
    <comment ref="E236" authorId="0">
      <text>
        <r>
          <rPr>
            <sz val="9"/>
            <color rgb="FF000000"/>
            <rFont val="Arial"/>
            <family val="2"/>
          </rPr>
          <t>URI 1Q26 earnings release (Ex.99.1) | CF: div | -118</t>
        </r>
      </text>
    </comment>
    <comment ref="F236" authorId="0">
      <text>
        <r>
          <rPr>
            <sz val="9"/>
            <color rgb="FF000000"/>
            <rFont val="Arial"/>
            <family val="2"/>
          </rPr>
          <t>URI 1Q26 earnings release (Ex.99.1) | CF: div | -117</t>
        </r>
      </text>
    </comment>
    <comment ref="E237" authorId="0">
      <text>
        <r>
          <rPr>
            <sz val="9"/>
            <color rgb="FF000000"/>
            <rFont val="Arial"/>
            <family val="2"/>
          </rPr>
          <t>URI 1Q26 earnings release (Ex.99.1) | CF: fx | 2</t>
        </r>
      </text>
    </comment>
    <comment ref="F237" authorId="0">
      <text>
        <r>
          <rPr>
            <sz val="9"/>
            <color rgb="FF000000"/>
            <rFont val="Arial"/>
            <family val="2"/>
          </rPr>
          <t>URI 1Q26 earnings release (Ex.99.1) | CF: fx | 23</t>
        </r>
      </text>
    </comment>
    <comment ref="E238" authorId="0">
      <text>
        <r>
          <rPr>
            <sz val="9"/>
            <color rgb="FF000000"/>
            <rFont val="Arial"/>
            <family val="2"/>
          </rPr>
          <t>URI 1Q26 earnings release (Ex.99.1) | CF: cash at beginning of period | 457</t>
        </r>
      </text>
    </comment>
    <comment ref="F238" authorId="0">
      <text>
        <r>
          <rPr>
            <sz val="9"/>
            <color rgb="FF000000"/>
            <rFont val="Arial"/>
            <family val="2"/>
          </rPr>
          <t>URI 1Q26 earnings release (Ex.99.1) | CF: cash at beginning of period | 542</t>
        </r>
      </text>
    </comment>
    <comment ref="F239" authorId="0">
      <text>
        <r>
          <rPr>
            <sz val="9"/>
            <color rgb="FF000000"/>
            <rFont val="Arial"/>
            <family val="2"/>
          </rPr>
          <t>URI 2Q25 earnings release (Ex.99.1) | Fleet OEC at period end ($M) | 22,090</t>
        </r>
      </text>
    </comment>
    <comment ref="F240" authorId="0">
      <text>
        <r>
          <rPr>
            <sz val="9"/>
            <color rgb="FF000000"/>
            <rFont val="Arial"/>
            <family val="2"/>
          </rPr>
          <t>URI 2Q25 earnings release (Ex.99.1) | Rental locations at period end | 1,713</t>
        </r>
      </text>
    </comment>
    <comment ref="E241" authorId="0">
      <text>
        <r>
          <rPr>
            <sz val="9"/>
            <color rgb="FF000000"/>
            <rFont val="Arial"/>
            <family val="2"/>
          </rPr>
          <t>URI 1Q26 earnings release (Ex.99.1) | Free cash flow (issuer definition) | 1,082</t>
        </r>
      </text>
    </comment>
    <comment ref="F241" authorId="0">
      <text>
        <r>
          <rPr>
            <sz val="9"/>
            <color rgb="FF000000"/>
            <rFont val="Arial"/>
            <family val="2"/>
          </rPr>
          <t>URI 1Q26 earnings release (Ex.99.1) | Free cash flow (issuer definition) | 116</t>
        </r>
      </text>
    </comment>
  </commentList>
</comments>
</file>

<file path=xl/sharedStrings.xml><?xml version="1.0" encoding="utf-8"?>
<sst xmlns="http://schemas.openxmlformats.org/spreadsheetml/2006/main" count="843" uniqueCount="843">
  <si>
    <t>United Rentals, Inc. (NYSE: URI)</t>
  </si>
  <si>
    <t>Company Model — built by Shortcut</t>
  </si>
  <si>
    <t>$ millions, except per share</t>
  </si>
  <si>
    <t>Period</t>
  </si>
  <si>
    <t>3Q26E</t>
  </si>
  <si>
    <t>Period end</t>
  </si>
  <si>
    <t>Days in period</t>
  </si>
  <si>
    <t>Company</t>
  </si>
  <si>
    <t>United Rentals, Inc.</t>
  </si>
  <si>
    <t>Ticker / exchange</t>
  </si>
  <si>
    <t>URI / NYSE (NYSE:URI)</t>
  </si>
  <si>
    <t>Fiscal year end</t>
  </si>
  <si>
    <t>31-Dec (calendar); 3Q26 = quarter ended 30-Sep-2026 (supplied label FQ3 2026 - Sep 2026 confirmed)</t>
  </si>
  <si>
    <t>Reporting currency / units</t>
  </si>
  <si>
    <t>USD; $ millions except per-share; EPS per diluted common share</t>
  </si>
  <si>
    <t>EPS basis (consensus)</t>
  </si>
  <si>
    <t>Normalized diluted EPS = issuer "adjusted EPS" (adds back merger intangibles, acquired-fleet depreciation &amp; FV mark-up, restructuring, impairment, debt losses)</t>
  </si>
  <si>
    <t>Information cutoff</t>
  </si>
  <si>
    <t>2026-10-18 21:34 UTC</t>
  </si>
  <si>
    <t>Expected report date</t>
  </si>
  <si>
    <t>21-Oct-2026 after market close (issuer-confirmed 08-Oct-26; matches supplied CapIQ date); call 22-Oct-2026 08:30 ET</t>
  </si>
  <si>
    <t>Market cap ($bn) / index</t>
  </si>
  <si>
    <t>S&amp;P 500 member</t>
  </si>
  <si>
    <t>Headline: 3Q26E vs consensus vs guidance</t>
  </si>
  <si>
    <t>Shortcut 3Q26E</t>
  </si>
  <si>
    <t>Consensus (CapIQ, 18-Oct-26)</t>
  </si>
  <si>
    <t>Variance</t>
  </si>
  <si>
    <t>Variance %</t>
  </si>
  <si>
    <t>Guidance mid (implied 3Q)</t>
  </si>
  <si>
    <t>Est. vs guidance %</t>
  </si>
  <si>
    <t>Total revenue ($M)</t>
  </si>
  <si>
    <t>Adjusted EBITDA ($M)</t>
  </si>
  <si>
    <t>Net income — GAAP ($M)</t>
  </si>
  <si>
    <t>n/a</t>
  </si>
  <si>
    <t>Net income — adjusted / consensus basis ($M)</t>
  </si>
  <si>
    <t>Diluted EPS — GAAP ($)</t>
  </si>
  <si>
    <t>Diluted EPS — normalized / adjusted ($) [scored]</t>
  </si>
  <si>
    <t>Overall model integrity check (mechanical; not forecast validation)</t>
  </si>
  <si>
    <t>PASS</t>
  </si>
  <si>
    <t>P(beat consensus EPS)</t>
  </si>
  <si>
    <t>Confidence</t>
  </si>
  <si>
    <t>low</t>
  </si>
  <si>
    <t>Check: Cover ties to statements (TRUE)</t>
  </si>
  <si>
    <t>Consensus n = 17 normalized-EPS estimates (eps_normalized_n_est); revenue n = 15. Guidance midpoint = FY26 guide less 1H26 actual x 2025 3Q share of 2H.</t>
  </si>
  <si>
    <t>Issuer does not guide EPS or net income; those guidance cells are n/a by design. Frozen CapIQ consensus is the scoring baseline.</t>
  </si>
  <si>
    <t>C26 = mechanical integrity only. 3Q26E identities hold by construction (Revenue summary H125 residual -&gt; H109/H139; IS H84 = H95/H66; IS H113 = ISNUMBER; BS balances via CF cash; CF H59 net-borrowing plug to target cash H58) and are disclosed as assumptions, not independent forecast validation.</t>
  </si>
  <si>
    <t>Revenue summary and rental revenue drivers</t>
  </si>
  <si>
    <t>3Q25A</t>
  </si>
  <si>
    <t>4Q25A</t>
  </si>
  <si>
    <t>1Q26A</t>
  </si>
  <si>
    <t>2Q26A</t>
  </si>
  <si>
    <t>FY25A</t>
  </si>
  <si>
    <t>Notes / sources</t>
  </si>
  <si>
    <t>Revenue by reportable segment</t>
  </si>
  <si>
    <t>General Rentals total revenue</t>
  </si>
  <si>
    <t>Links to Segment - General Rentals</t>
  </si>
  <si>
    <t xml:space="preserve">    % Y/Y</t>
  </si>
  <si>
    <t xml:space="preserve">    % Q/Q</t>
  </si>
  <si>
    <t xml:space="preserve">    % of total revenue</t>
  </si>
  <si>
    <t xml:space="preserve">    Organic growth</t>
  </si>
  <si>
    <t>Organic = (1+Y/Y)/((1+M&amp;A)(1+FX))-1; n/a because issuer does not disclose M&amp;A or FX contributions</t>
  </si>
  <si>
    <t xml:space="preserve">    M&amp;A / scope (not disclosed)</t>
  </si>
  <si>
    <t xml:space="preserve">    FX impact (not disclosed)</t>
  </si>
  <si>
    <t xml:space="preserve">    Total Y/Y</t>
  </si>
  <si>
    <t>Specialty total revenue</t>
  </si>
  <si>
    <t>Links to Segment - Specialty</t>
  </si>
  <si>
    <t>Total revenues</t>
  </si>
  <si>
    <t>Revenue by type (consolidated = General Rentals + Specialty)</t>
  </si>
  <si>
    <t>Equipment rentals</t>
  </si>
  <si>
    <t>Sales of rental equipment</t>
  </si>
  <si>
    <t>Sales of new equipment</t>
  </si>
  <si>
    <t>Contractor supplies sales</t>
  </si>
  <si>
    <t>Service and other revenues</t>
  </si>
  <si>
    <t>Total revenues (by type)</t>
  </si>
  <si>
    <t>Check: segments sum to total</t>
  </si>
  <si>
    <t>Check: revenue ties to IS</t>
  </si>
  <si>
    <t>Equipment rental revenue build — fleet (OEC) ladder, $M original equipment cost</t>
  </si>
  <si>
    <t>Opening fleet OEC</t>
  </si>
  <si>
    <t xml:space="preserve">    Δ Y/Y (abs.)</t>
  </si>
  <si>
    <t xml:space="preserve">    Δ Q/Q (abs.)</t>
  </si>
  <si>
    <t>3Q25 Q/Q n/a: 2Q25 opening OEC not in workbook (C81 = 2Q25 closing)</t>
  </si>
  <si>
    <t>+ Gross rental capex (fleet additions)</t>
  </si>
  <si>
    <t>3Q26E: FY26 guide $4.85-5.25bn less 6M26 $2.931bn = $2.12bn H2 mid; ~75% in Q3 (2025: 78%)</t>
  </si>
  <si>
    <t>- OEC sold (fleet disposals)</t>
  </si>
  <si>
    <t>Mgmt: ~$2.8bn OEC to be sold in 2026; H1 $1.30bn -&gt; H2 ~$1.5bn, ~45% in Q3</t>
  </si>
  <si>
    <t>+/- Acq./divest./FX/other (derived)</t>
  </si>
  <si>
    <t>Historical = closing - opening - capex + sold; 3Q26E none assumed</t>
  </si>
  <si>
    <t>Closing fleet OEC</t>
  </si>
  <si>
    <t>Average fleet OEC (simple avg.)</t>
  </si>
  <si>
    <t>Avg. OEC % Y/Y (model)</t>
  </si>
  <si>
    <t>Avg. OEC % Y/Y (reported; E = model)</t>
  </si>
  <si>
    <t xml:space="preserve">    Δ vs prior-year rate (bps)</t>
  </si>
  <si>
    <t>Assumed fleet inflation impact</t>
  </si>
  <si>
    <t>Fleet productivity</t>
  </si>
  <si>
    <t>3Q26E 2.8%: below 2Q26 3.4% (World Cup / easier timing) but above 3Q25 2.0%; record time utilization (2Q26 call)</t>
  </si>
  <si>
    <t>Ancillary &amp; re-rent contribution</t>
  </si>
  <si>
    <t>Total change in equipment rentals</t>
  </si>
  <si>
    <t>Check: issuer change = model Y/Y</t>
  </si>
  <si>
    <t>3Q26E: holds by construction (H125 residual); memo, not independent validation</t>
  </si>
  <si>
    <t>Equipment rentals by revenue type (consolidated, 10-Q revenue note)</t>
  </si>
  <si>
    <t>Owned equipment rentals (OER)</t>
  </si>
  <si>
    <t>3Q26E = 3Q25 OER x (1+avg OEC) x (1+fleet productivity) x (1+inflation)</t>
  </si>
  <si>
    <t xml:space="preserve">    % of equipment rentals</t>
  </si>
  <si>
    <t>OER yield: annualized OER / average OEC</t>
  </si>
  <si>
    <t xml:space="preserve">    Δ Y/Y (bps)</t>
  </si>
  <si>
    <t xml:space="preserve">    Δ Q/Q (bps)</t>
  </si>
  <si>
    <t xml:space="preserve">  Re-rent revenue</t>
  </si>
  <si>
    <t xml:space="preserve">    % Y/Y (3Q26E = growth driver)</t>
  </si>
  <si>
    <t>Re-rent +47% in 2Q26, +24% 1Q26; tight fleet</t>
  </si>
  <si>
    <t xml:space="preserve">  Delivery and pick-up</t>
  </si>
  <si>
    <t>Delivery +16% 2Q26, +9% 1Q26</t>
  </si>
  <si>
    <t xml:space="preserve">  Other ancillary (3Q26E = residual)</t>
  </si>
  <si>
    <t>3Q26E = segment-built equipment rentals less OER, re-rent and delivery (incl. fuel pass-through)</t>
  </si>
  <si>
    <t xml:space="preserve">    % Y/Y (3Q26E implied)</t>
  </si>
  <si>
    <t>Other ancillary +36% 2Q26 (fuel pass-through); diesel flat Q2-&gt;Q3</t>
  </si>
  <si>
    <t xml:space="preserve">  Ancillary and other rental revenues</t>
  </si>
  <si>
    <t>Ancillary + re-rent subtotal</t>
  </si>
  <si>
    <t>Ancillary + re-rent % of rentals</t>
  </si>
  <si>
    <t>Equipment rentals (build)</t>
  </si>
  <si>
    <t>Check: build = segment rentals</t>
  </si>
  <si>
    <t>Used equipment (sales of rental equipment)</t>
  </si>
  <si>
    <t>OEC recovery rate (proceeds / OEC sold)</t>
  </si>
  <si>
    <t>4Q25 recovery disclosed (50.2%); 3Q26E 53% ~ 2Q26 52.9%, used market healthy</t>
  </si>
  <si>
    <t>Used proceeds (OEC sold x recovery)</t>
  </si>
  <si>
    <t>Network and operating statistics</t>
  </si>
  <si>
    <t xml:space="preserve">  North America rental locations</t>
  </si>
  <si>
    <t>3Q26E held flat (no disclosure)</t>
  </si>
  <si>
    <t xml:space="preserve">  Europe locations</t>
  </si>
  <si>
    <t xml:space="preserve">  Australia locations</t>
  </si>
  <si>
    <t xml:space="preserve">  New Zealand locations</t>
  </si>
  <si>
    <t>Opening rental locations</t>
  </si>
  <si>
    <t>Net location additions</t>
  </si>
  <si>
    <t>Closing rental locations</t>
  </si>
  <si>
    <t>Average rental locations</t>
  </si>
  <si>
    <t>Ann. revenue per avg. location</t>
  </si>
  <si>
    <t>Employees (approx.)</t>
  </si>
  <si>
    <t>Geography (revenue effectively one country: ~91% U.S.; Geo tab omitted)</t>
  </si>
  <si>
    <t xml:space="preserve">  Revenue — U.S. (annual, 10-K)</t>
  </si>
  <si>
    <t xml:space="preserve">  Revenue — foreign (annual, 10-K)</t>
  </si>
  <si>
    <t>% of revenue U.S.</t>
  </si>
  <si>
    <t>% of revenue U.S., YTD (10-Q narrative)</t>
  </si>
  <si>
    <t>Segment - General Rentals: revenue and rental gross profit drivers</t>
  </si>
  <si>
    <t>Rental revenue drivers — segment fleet (OEC) ladder, $M (allocated from company ladder)</t>
  </si>
  <si>
    <t xml:space="preserve">  Segment capex (reported)</t>
  </si>
  <si>
    <t>Quarterly = difference of YTD segment capex disclosures (Inputs E); includes non-rental capex</t>
  </si>
  <si>
    <t xml:space="preserve">    Share of company capex (driver)</t>
  </si>
  <si>
    <t>GR share 77.8% 3Q25, 75.7% 2Q26, 74.6% FY25; Specialty mix rising</t>
  </si>
  <si>
    <t xml:space="preserve">  Share of fleet OEC (dep. proxy)</t>
  </si>
  <si>
    <t>Segment OEC not disclosed; historical closing OEC allocated by share of rental depreciation; 3Q26E derived from allocated flows. FY25 (G16) = FY depreciation share, not the 4Q25 closing-OEC share behind G30</t>
  </si>
  <si>
    <t xml:space="preserve">  Opening fleet OEC (allocated)</t>
  </si>
  <si>
    <t xml:space="preserve">  + Gross rental capex (allocated)</t>
  </si>
  <si>
    <t xml:space="preserve">  - OEC sold (allocated)</t>
  </si>
  <si>
    <t xml:space="preserve">  +/- Other / reallocation (derived)</t>
  </si>
  <si>
    <t xml:space="preserve">  Closing fleet OEC (allocated)</t>
  </si>
  <si>
    <t xml:space="preserve">  Average fleet OEC (allocated)</t>
  </si>
  <si>
    <t xml:space="preserve">    Average OEC % Y/Y</t>
  </si>
  <si>
    <t xml:space="preserve">  Rental yield (ann. rentals / avg OEC)</t>
  </si>
  <si>
    <t xml:space="preserve">    Yield change Y/Y (driver)</t>
  </si>
  <si>
    <t>Rate/time-utilization/mix: company fleet productivity +3.4% 2Q26, +2.3% 1Q26; GR margin trends</t>
  </si>
  <si>
    <t>Revenue</t>
  </si>
  <si>
    <t>3Q26E = 3Q25 x (avg OEC 3Q26 / avg OEC 3Q25) x (1 + yield change)</t>
  </si>
  <si>
    <t xml:space="preserve">    Share of company used sales</t>
  </si>
  <si>
    <t>Total segment revenue</t>
  </si>
  <si>
    <t xml:space="preserve">    % of company revenue</t>
  </si>
  <si>
    <t>Rentals % of segment revenue</t>
  </si>
  <si>
    <t>Equipment rental revenue by product line (FY25, % of company equipment rentals per 10-K; quarterly not disclosed)</t>
  </si>
  <si>
    <t xml:space="preserve">  Gen. construction &amp; industrial %</t>
  </si>
  <si>
    <t xml:space="preserve">    Gen. construction &amp; industrial $M</t>
  </si>
  <si>
    <t xml:space="preserve">  Aerial work platforms %</t>
  </si>
  <si>
    <t xml:space="preserve">    Aerial work platforms $M</t>
  </si>
  <si>
    <t xml:space="preserve">  General tools &amp; light equip. %</t>
  </si>
  <si>
    <t xml:space="preserve">    General tools &amp; light equip. $M</t>
  </si>
  <si>
    <t>Product lines disclosed ($M)</t>
  </si>
  <si>
    <t>Note: 10-K categories include tools/site services in GR; may not sum to segment</t>
  </si>
  <si>
    <t>Equipment rentals gross profit build (cost lines as % of segment equipment rentals)</t>
  </si>
  <si>
    <t xml:space="preserve">  Depreciation of rental equipment</t>
  </si>
  <si>
    <t xml:space="preserve">    % of segment rentals (driver)</t>
  </si>
  <si>
    <t>2Q26 21.2% (-70bp y/y); fleet growth below revenue growth</t>
  </si>
  <si>
    <t xml:space="preserve">  Labor and benefits</t>
  </si>
  <si>
    <t>2Q26 18.1% (-20bp y/y); restructuring savings</t>
  </si>
  <si>
    <t xml:space="preserve">  Repairs and maintenance</t>
  </si>
  <si>
    <t>2Q26 9.1%</t>
  </si>
  <si>
    <t xml:space="preserve">  Delivery</t>
  </si>
  <si>
    <t>2Q26 5.5% (-10bp)</t>
  </si>
  <si>
    <t xml:space="preserve">  All other rental expenses</t>
  </si>
  <si>
    <t>2Q26 10.4% (+60bp y/y)</t>
  </si>
  <si>
    <t>Rental costs excluding depreciation</t>
  </si>
  <si>
    <t>Equipment rentals gross profit</t>
  </si>
  <si>
    <t>Equipment rentals gross margin</t>
  </si>
  <si>
    <t>Rental GP before depreciation</t>
  </si>
  <si>
    <t>Rental gross margin before depreciation</t>
  </si>
  <si>
    <t>Segment assets and operating statistics</t>
  </si>
  <si>
    <t>Segment total assets (period end)</t>
  </si>
  <si>
    <t xml:space="preserve">    Share of company total assets</t>
  </si>
  <si>
    <t>Ann. rental GP / segment assets</t>
  </si>
  <si>
    <t>Segment - Specialty: revenue and rental gross profit drivers</t>
  </si>
  <si>
    <t>Specialty yield up with ancillary/re-rent mix and power/HVAC demand; Specialty rentals +24.8% 2Q26</t>
  </si>
  <si>
    <t xml:space="preserve">  Power &amp; HVAC equipment %</t>
  </si>
  <si>
    <t xml:space="preserve">    Power &amp; HVAC equipment $M</t>
  </si>
  <si>
    <t xml:space="preserve">  Trench safety equipment %</t>
  </si>
  <si>
    <t xml:space="preserve">    Trench safety equipment $M</t>
  </si>
  <si>
    <t xml:space="preserve">  Fluid solutions equipment %</t>
  </si>
  <si>
    <t xml:space="preserve">    Fluid solutions equipment $M</t>
  </si>
  <si>
    <t xml:space="preserve">  Mobile storage &amp; modular %</t>
  </si>
  <si>
    <t xml:space="preserve">    Mobile storage &amp; modular $M</t>
  </si>
  <si>
    <t xml:space="preserve">  Surface protection mats %</t>
  </si>
  <si>
    <t xml:space="preserve">    Surface protection mats $M</t>
  </si>
  <si>
    <t>2Q26 13.3%</t>
  </si>
  <si>
    <t>2Q26 10.2% (-100bp y/y)</t>
  </si>
  <si>
    <t>2Q26 4.8%</t>
  </si>
  <si>
    <t>2Q26 10.1%</t>
  </si>
  <si>
    <t>2Q26 17.2% (+310bp y/y: re-rent/ancillary mix)</t>
  </si>
  <si>
    <t>Specialty cold-start locations opened</t>
  </si>
  <si>
    <t>Mgmt targets 50+ Specialty cold starts in 2026; 3Q26 count not forecast</t>
  </si>
  <si>
    <t>Income Statement (GAAP) with non-GAAP bridge</t>
  </si>
  <si>
    <t>Revenues</t>
  </si>
  <si>
    <t xml:space="preserve">  Equipment rentals</t>
  </si>
  <si>
    <t xml:space="preserve">  Sales of rental equipment</t>
  </si>
  <si>
    <t xml:space="preserve">  Sales of new equipment</t>
  </si>
  <si>
    <t xml:space="preserve">  Contractor supplies sales</t>
  </si>
  <si>
    <t xml:space="preserve">  Service and other revenues</t>
  </si>
  <si>
    <t>Cost of revenues</t>
  </si>
  <si>
    <t xml:space="preserve">  Cost of equip. rentals ex dep.</t>
  </si>
  <si>
    <t xml:space="preserve">  Cost of rental equipment sales</t>
  </si>
  <si>
    <t xml:space="preserve">  Cost of new equipment sales</t>
  </si>
  <si>
    <t xml:space="preserve">  Cost of contractor supplies sales</t>
  </si>
  <si>
    <t xml:space="preserve">  Cost of service and other revenues</t>
  </si>
  <si>
    <t>Total cost of revenues</t>
  </si>
  <si>
    <t>Gross profit</t>
  </si>
  <si>
    <t>Gross margin</t>
  </si>
  <si>
    <t xml:space="preserve">  Memo: equipment rentals gross profit</t>
  </si>
  <si>
    <t xml:space="preserve">  Equipment rentals gross margin</t>
  </si>
  <si>
    <t xml:space="preserve">  Used equip. GAAP margin (driver)</t>
  </si>
  <si>
    <t>Used GAAP margin 46.7% 2Q26, 45.7% 1Q26, 44.1% 3Q25</t>
  </si>
  <si>
    <t xml:space="preserve">  New equip. margin (driver)</t>
  </si>
  <si>
    <t>New equipment margin ~21%</t>
  </si>
  <si>
    <t xml:space="preserve">  Supplies margin (driver)</t>
  </si>
  <si>
    <t>Supplies margin 26-32%</t>
  </si>
  <si>
    <t xml:space="preserve">  Service margin (driver)</t>
  </si>
  <si>
    <t>Service margin 39-45%</t>
  </si>
  <si>
    <t>Operating expenses</t>
  </si>
  <si>
    <t xml:space="preserve">  Selling, general and administrative</t>
  </si>
  <si>
    <t xml:space="preserve">    SG&amp;A % of revenue (3Q26E driver)</t>
  </si>
  <si>
    <t>3Q25 10.45%, 2Q26 10.70% (flat y/y), 1Q26 11.1% (-70bp); cost actions; H1 SG&amp;A +6% vs revenue +10%</t>
  </si>
  <si>
    <t xml:space="preserve">  Restructuring charge</t>
  </si>
  <si>
    <t>Program initiated 4Q25; 1Q26 $45M, 2Q26 $6M</t>
  </si>
  <si>
    <t xml:space="preserve">  Non-rental D&amp;A</t>
  </si>
  <si>
    <t>2Q26 $116M; 1Q26 $114M</t>
  </si>
  <si>
    <t>Operating income</t>
  </si>
  <si>
    <t>Operating margin</t>
  </si>
  <si>
    <t xml:space="preserve">  Interest expense, net</t>
  </si>
  <si>
    <t>2Q26 $178M; debt up modestly with capex/buybacks</t>
  </si>
  <si>
    <t xml:space="preserve">  Other (income) expense, net</t>
  </si>
  <si>
    <t>Run-rate ex 2Q26 $49M scaffolding gain</t>
  </si>
  <si>
    <t>Income before provision for income taxes</t>
  </si>
  <si>
    <t>Pre-tax margin</t>
  </si>
  <si>
    <t xml:space="preserve">  Provision for income taxes</t>
  </si>
  <si>
    <t xml:space="preserve">    Effective tax rate (3Q26E driver)</t>
  </si>
  <si>
    <t>3Q25 25.2%, 2Q26 25.2%, 1Q26 24.3%, FY25 25.3%</t>
  </si>
  <si>
    <t>Net income to common</t>
  </si>
  <si>
    <t>Net income margin</t>
  </si>
  <si>
    <t>Per share</t>
  </si>
  <si>
    <t xml:space="preserve">  Weighted average basic shares (M)</t>
  </si>
  <si>
    <t xml:space="preserve">  Weighted average diluted shares (M)</t>
  </si>
  <si>
    <t>Diluted EPS — GAAP</t>
  </si>
  <si>
    <t xml:space="preserve">  Check: net income / diluted shares</t>
  </si>
  <si>
    <t>Check: EPS = NI / diluted shares</t>
  </si>
  <si>
    <t xml:space="preserve">  Dividends declared per share</t>
  </si>
  <si>
    <t>GAAP to adjusted (consensus-basis) EPS bridge — issuer definition; per diluted share</t>
  </si>
  <si>
    <t xml:space="preserve">  + Merger intangible amortization</t>
  </si>
  <si>
    <t xml:space="preserve">  + Acquired fleet/P&amp;E depreciation</t>
  </si>
  <si>
    <t xml:space="preserve">  + Fair value mark-up of acquired fleet</t>
  </si>
  <si>
    <t xml:space="preserve">  + Restructuring charge</t>
  </si>
  <si>
    <t xml:space="preserve">  + Asset impairment charge</t>
  </si>
  <si>
    <t xml:space="preserve">  + Debt-related losses</t>
  </si>
  <si>
    <t>Adjusted diluted EPS (normalized)</t>
  </si>
  <si>
    <t xml:space="preserve">  Adjusted EPS — as reported by issuer</t>
  </si>
  <si>
    <t>Check: bridge = reported adj. EPS</t>
  </si>
  <si>
    <t>3Q26E: structural identity (H81 vs H95/H66); memo, not independent validation</t>
  </si>
  <si>
    <t xml:space="preserve">  Memo: scaffolding gain (in adj. EPS)</t>
  </si>
  <si>
    <t>Adjustments in $M (3Q26E pre-tax inputs; history derived = per share x diluted shares / (1 - tax rate))</t>
  </si>
  <si>
    <t xml:space="preserve">  Merger intangibles (pre-tax)</t>
  </si>
  <si>
    <t>Pre-tax ~$32M (2Q26 $0.39/sh); declining</t>
  </si>
  <si>
    <t xml:space="preserve">  Acquired fleet/P&amp;E dep. (pre-tax)</t>
  </si>
  <si>
    <t>2Q26 $0.22/sh; declining trend</t>
  </si>
  <si>
    <t xml:space="preserve">  FV mark-up of fleet (pre-tax)</t>
  </si>
  <si>
    <t>Link to EBITDA add-back</t>
  </si>
  <si>
    <t xml:space="preserve">  Restructuring (pre-tax)</t>
  </si>
  <si>
    <t>Link to IS restructuring</t>
  </si>
  <si>
    <t xml:space="preserve">  Asset impairment (pre-tax)</t>
  </si>
  <si>
    <t>Small, recurring. Risk: no explicit 3Q26E impairment expense line; add-back = +$0.012/sh (adj. EPS 13.914 if 0). Matching expense not proved; retained</t>
  </si>
  <si>
    <t xml:space="preserve">  Debt-related losses (pre-tax)</t>
  </si>
  <si>
    <t>No refinancing assumed</t>
  </si>
  <si>
    <t xml:space="preserve">  Tax rate applied to adjustments</t>
  </si>
  <si>
    <t xml:space="preserve">  After-tax adjustments ($M)</t>
  </si>
  <si>
    <t>Adjusted net income (cons. basis)</t>
  </si>
  <si>
    <t>EPS on consensus basis (= adjusted EPS)</t>
  </si>
  <si>
    <t>EBITDA and adjusted EBITDA (issuer definition)</t>
  </si>
  <si>
    <t xml:space="preserve">  Net income</t>
  </si>
  <si>
    <t xml:space="preserve">  + Provision for income taxes</t>
  </si>
  <si>
    <t xml:space="preserve">  + Interest expense, net</t>
  </si>
  <si>
    <t xml:space="preserve">  + Depreciation of rental equipment</t>
  </si>
  <si>
    <t xml:space="preserve">  + Non-rental D&amp;A</t>
  </si>
  <si>
    <t>EBITDA</t>
  </si>
  <si>
    <t xml:space="preserve">  + Stock compensation expense, net</t>
  </si>
  <si>
    <t>1Q26 $36M, 2Q26 $43M</t>
  </si>
  <si>
    <t>Adjusted EBITDA</t>
  </si>
  <si>
    <t>Adjusted EBITDA margin</t>
  </si>
  <si>
    <t xml:space="preserve">  Adjusted EBITDA — as reported</t>
  </si>
  <si>
    <t>Check: adjusted EBITDA = reported (TRUE)</t>
  </si>
  <si>
    <t>3Q26E: ISNUMBER test only; memo, not independent validation</t>
  </si>
  <si>
    <t>Balance Sheet (condensed, as reported)</t>
  </si>
  <si>
    <t>Assets</t>
  </si>
  <si>
    <t xml:space="preserve">  Cash and cash equivalents</t>
  </si>
  <si>
    <t xml:space="preserve">  Accounts receivable, net</t>
  </si>
  <si>
    <t xml:space="preserve">  Inventory</t>
  </si>
  <si>
    <t xml:space="preserve">  Prepaid expenses and other assets</t>
  </si>
  <si>
    <t>Total current assets</t>
  </si>
  <si>
    <t xml:space="preserve">  Rental equipment, net</t>
  </si>
  <si>
    <t>3Q26E = 2Q26 + accrued gross rental capex (Revenue summary H84) - rental depreciation - NBV of units sold</t>
  </si>
  <si>
    <t xml:space="preserve">  Property and equipment, net</t>
  </si>
  <si>
    <t xml:space="preserve">  Goodwill</t>
  </si>
  <si>
    <t xml:space="preserve">  Other intangible assets, net</t>
  </si>
  <si>
    <t xml:space="preserve">  Operating lease right-of-use assets</t>
  </si>
  <si>
    <t xml:space="preserve">  Other long-term assets</t>
  </si>
  <si>
    <t>Total assets</t>
  </si>
  <si>
    <t>Liabilities</t>
  </si>
  <si>
    <t xml:space="preserve">  Short-term debt &amp; current LTD</t>
  </si>
  <si>
    <t xml:space="preserve">  Accounts payable</t>
  </si>
  <si>
    <t>3Q26E = 2Q26 + operating AP change (CF H25) - capex-payables unwind (CF H57); model AP classification assumption, consistent with historical BS/CF AP tie-out</t>
  </si>
  <si>
    <t xml:space="preserve">  Accrued expenses and other liabilities</t>
  </si>
  <si>
    <t>Total current liabilities</t>
  </si>
  <si>
    <t xml:space="preserve">  Long-term debt</t>
  </si>
  <si>
    <t xml:space="preserve">  Deferred taxes</t>
  </si>
  <si>
    <t xml:space="preserve">  Operating lease liabilities</t>
  </si>
  <si>
    <t xml:space="preserve">  Other long-term liabilities</t>
  </si>
  <si>
    <t>Total liabilities</t>
  </si>
  <si>
    <t>Stockholders' equity</t>
  </si>
  <si>
    <t xml:space="preserve">  Common stock</t>
  </si>
  <si>
    <t xml:space="preserve">  Additional paid-in capital</t>
  </si>
  <si>
    <t xml:space="preserve">  Retained earnings</t>
  </si>
  <si>
    <t xml:space="preserve">  Treasury stock</t>
  </si>
  <si>
    <t xml:space="preserve">  Accumulated other comprehensive loss</t>
  </si>
  <si>
    <t>Total stockholders' equity</t>
  </si>
  <si>
    <t>Total liabilities &amp; equity</t>
  </si>
  <si>
    <t>Check: assets - liab. - equity</t>
  </si>
  <si>
    <t xml:space="preserve">  Total assets — as reported</t>
  </si>
  <si>
    <t>Check: assets = reported assets</t>
  </si>
  <si>
    <t>Memo and ratios</t>
  </si>
  <si>
    <t xml:space="preserve">  Memo: intangible amortization</t>
  </si>
  <si>
    <t>Assumption; drives intangibles vs PP&amp;E split only. Unreconciled vs IS H87 merger-intangible add-back of 32 (8 difference); same scope not proved, retained</t>
  </si>
  <si>
    <t xml:space="preserve">  Total debt</t>
  </si>
  <si>
    <t xml:space="preserve">  Net debt</t>
  </si>
  <si>
    <t xml:space="preserve">  Net debt / LTM adjusted EBITDA</t>
  </si>
  <si>
    <t>Cash Flow Statement (condensed, as reported; quarterly = three months)</t>
  </si>
  <si>
    <t>Operating activities</t>
  </si>
  <si>
    <t xml:space="preserve">  Depreciation and amortization</t>
  </si>
  <si>
    <t xml:space="preserve">  Amort. of deferred financing/OID</t>
  </si>
  <si>
    <t xml:space="preserve">  Gain on sales of rental equipment</t>
  </si>
  <si>
    <t xml:space="preserve">  Gain on sales of non-rental equipment</t>
  </si>
  <si>
    <t xml:space="preserve">  Gain on sale of business</t>
  </si>
  <si>
    <t xml:space="preserve">  Insurance proceeds (damaged equip.)</t>
  </si>
  <si>
    <t>Reclass -13 CFO / +13 investing nets to zero cash and FCF; matching insurance gain in 3Q26E NI not proved (OCF scope caveat: 1,358.9 ex-reclass)</t>
  </si>
  <si>
    <t xml:space="preserve">  Stock compensation expense, net</t>
  </si>
  <si>
    <t xml:space="preserve">  Debt-related activity</t>
  </si>
  <si>
    <t xml:space="preserve">  Increase (decrease) in deferred taxes</t>
  </si>
  <si>
    <t>Bonus depreciation (H.R.1) keeps deferred tax build elevated; 2Q26 $137M</t>
  </si>
  <si>
    <t xml:space="preserve">  (Inc.) dec. in receivables</t>
  </si>
  <si>
    <t>Seasonal Q3 build (3Q25 -$213M)</t>
  </si>
  <si>
    <t xml:space="preserve">  (Increase) decrease in inventory</t>
  </si>
  <si>
    <t xml:space="preserve">  (Inc.) dec. in prepaid &amp; other</t>
  </si>
  <si>
    <t xml:space="preserve">  Inc. (dec.) in accounts payable</t>
  </si>
  <si>
    <t>Model assumption: operating AP change (seasonal; 3Q25 reported -$191M), excl. capex payables. History: BS dAP - CF AP = accrued - cash capex (4Q25 -140/-144, 1Q26 +111/+107, 2Q26 +100/+104); capex unwind is H57 only</t>
  </si>
  <si>
    <t xml:space="preserve">  Inc. (dec.) in accrued expenses</t>
  </si>
  <si>
    <t>Cash from operating activities</t>
  </si>
  <si>
    <t>Investing activities</t>
  </si>
  <si>
    <t xml:space="preserve">  Purchases of rental equipment</t>
  </si>
  <si>
    <t xml:space="preserve">  Purchases of non-rental equip.</t>
  </si>
  <si>
    <t xml:space="preserve">  Proceeds: rental equipment sales</t>
  </si>
  <si>
    <t xml:space="preserve">  Proceeds: non-rental equip. sales</t>
  </si>
  <si>
    <t xml:space="preserve">  Proceeds from sale of business</t>
  </si>
  <si>
    <t xml:space="preserve">  Acquisitions, net of cash</t>
  </si>
  <si>
    <t>No acquisition announced in 3Q26</t>
  </si>
  <si>
    <t xml:space="preserve">  Purchases of investments</t>
  </si>
  <si>
    <t xml:space="preserve">  Proceeds from sales of investments</t>
  </si>
  <si>
    <t>Net cash used in investing activities</t>
  </si>
  <si>
    <t>Financing activities</t>
  </si>
  <si>
    <t xml:space="preserve">  Proceeds from debt</t>
  </si>
  <si>
    <t xml:space="preserve">  Payments of debt</t>
  </si>
  <si>
    <t xml:space="preserve">  Payment of contingent consideration</t>
  </si>
  <si>
    <t xml:space="preserve">  Financing &amp; debt costs paid</t>
  </si>
  <si>
    <t xml:space="preserve">  Share repurchases (incl. withholding)</t>
  </si>
  <si>
    <t xml:space="preserve">  Dividends paid</t>
  </si>
  <si>
    <t>Net cash used in financing activities</t>
  </si>
  <si>
    <t xml:space="preserve">  Effect of foreign exchange rates</t>
  </si>
  <si>
    <t>Net increase (decrease) in cash</t>
  </si>
  <si>
    <t xml:space="preserve">  Cash at beginning of period</t>
  </si>
  <si>
    <t>Cash at end of period</t>
  </si>
  <si>
    <t>Check: CF end cash - BS cash</t>
  </si>
  <si>
    <t>Check: Δ cash = Δ BS cash</t>
  </si>
  <si>
    <t>Free cash flow and capex (issuer definitions) and forecast plugs</t>
  </si>
  <si>
    <t>Free cash flow (issuer definition)</t>
  </si>
  <si>
    <t xml:space="preserve">  Net rental capex</t>
  </si>
  <si>
    <t xml:space="preserve">  Memo: capex payables unwind</t>
  </si>
  <si>
    <t>2Q26 payables elevated after $2.06bn capex quarter; capital AP unwind reduces BS H25 (BS H16 adds accrued capex)</t>
  </si>
  <si>
    <t xml:space="preserve">  Memo: target ending cash (3Q26E)</t>
  </si>
  <si>
    <t>Cash held ~$100-160M in 2026</t>
  </si>
  <si>
    <t xml:space="preserve">  Memo: net borrowing (plug)</t>
  </si>
  <si>
    <t>Net borrowing plug = target cash H58 less pre-financing cash; drives H41/H42 (mechanical plug, not forecast validation)</t>
  </si>
  <si>
    <t>Share Count, buybacks and dividends</t>
  </si>
  <si>
    <t>Weighted average shares (M)</t>
  </si>
  <si>
    <t>Weighted average basic shares</t>
  </si>
  <si>
    <t xml:space="preserve">  Dilutive RSUs / options</t>
  </si>
  <si>
    <t>Weighted average diluted shares</t>
  </si>
  <si>
    <t>Check: basic + dilutive = diluted</t>
  </si>
  <si>
    <t>Shares outstanding and repurchases</t>
  </si>
  <si>
    <t>Shares out. at filing cover (M)</t>
  </si>
  <si>
    <t>Cover dates: 20-Oct-25, 26-Jan-26, 20-Apr-26, 20-Jul-26</t>
  </si>
  <si>
    <t>Repurchases incl. withholding ($M)</t>
  </si>
  <si>
    <t xml:space="preserve">  FY26 planned repurchases ($M)</t>
  </si>
  <si>
    <t xml:space="preserve">  Less: 6M26 program repurchases ($M)</t>
  </si>
  <si>
    <t xml:space="preserve">  Program buyback in qtr = (plan-H1)/2</t>
  </si>
  <si>
    <t xml:space="preserve">  Tax withholding on RSU vesting ($M)</t>
  </si>
  <si>
    <t>Total repurchases ($M)</t>
  </si>
  <si>
    <t xml:space="preserve">  Average repurchase price ($/share)</t>
  </si>
  <si>
    <t>Q3 trading ~$950-1,180 (52-wk range $702-1,179; 16-Oct close $1,030)</t>
  </si>
  <si>
    <t xml:space="preserve">  Shares repurchased (M)</t>
  </si>
  <si>
    <t xml:space="preserve">  Shares issued (RSU vesting, net) (M)</t>
  </si>
  <si>
    <t xml:space="preserve">  In-quarter weighting (mid-period)</t>
  </si>
  <si>
    <t>Assumes repurchases spread evenly through the quarter</t>
  </si>
  <si>
    <t xml:space="preserve">  Opening shares out. (20-Jul-26)</t>
  </si>
  <si>
    <t>Assumption: 20-Jul-26 cover count used as 1-Jul opening, dilutive 0.05 (H14); judgmental, alternate ~+0.10M shares = ~-$0.02 EPS; retained</t>
  </si>
  <si>
    <t>Closing shares outstanding (M, est.)</t>
  </si>
  <si>
    <t>Dividends</t>
  </si>
  <si>
    <t>Dividends declared per share ($)</t>
  </si>
  <si>
    <t>$1.97 declared for Aug-26 payment</t>
  </si>
  <si>
    <t>Dividends paid ($M)</t>
  </si>
  <si>
    <t>Share count behind forecast EPS</t>
  </si>
  <si>
    <t>Diluted shares used in 3Q26E EPS (M)</t>
  </si>
  <si>
    <t>Adjusted EPS on these shares ($)</t>
  </si>
  <si>
    <t>Guidance history, track record and implied 3Q26</t>
  </si>
  <si>
    <t>Metric</t>
  </si>
  <si>
    <t>Date given</t>
  </si>
  <si>
    <t>Low</t>
  </si>
  <si>
    <t>High</t>
  </si>
  <si>
    <t>Midpoint</t>
  </si>
  <si>
    <t>Actual</t>
  </si>
  <si>
    <t>Above / below mid</t>
  </si>
  <si>
    <t>FY25 guidance (given 23-Jul-25, per 3Q25 release "prior outlook")</t>
  </si>
  <si>
    <t>FY25</t>
  </si>
  <si>
    <t>Beat</t>
  </si>
  <si>
    <t>Miss</t>
  </si>
  <si>
    <t>Gross rental capex ($M)</t>
  </si>
  <si>
    <t>Above</t>
  </si>
  <si>
    <t>Operating cash flow ($M)</t>
  </si>
  <si>
    <t>FY25 guidance (given 22-Oct-25)</t>
  </si>
  <si>
    <t>Net rental capex ($M)</t>
  </si>
  <si>
    <t>FCF ex merger/restructuring ($M)</t>
  </si>
  <si>
    <t>FY26 guidance (initial, 28-Jan-26)</t>
  </si>
  <si>
    <t>FY26</t>
  </si>
  <si>
    <t>Pending</t>
  </si>
  <si>
    <t>FCF ex restructuring ($M)</t>
  </si>
  <si>
    <t>FY26 guidance (raised, 22-Apr-26)</t>
  </si>
  <si>
    <t>FY26 guidance (raised, 22-Jul-26) — current at cutoff</t>
  </si>
  <si>
    <t>Used equipment sales (~) ($M)</t>
  </si>
  <si>
    <t>Share repurchases ($M)</t>
  </si>
  <si>
    <t>EPS guidance</t>
  </si>
  <si>
    <t>Not guided</t>
  </si>
  <si>
    <t>Track record (FY25 guidance vs actual)</t>
  </si>
  <si>
    <t>FY25 items above midpoint (#)</t>
  </si>
  <si>
    <t>FY25 items with actuals (#)</t>
  </si>
  <si>
    <t>FY26 planned share repurchases ($M)</t>
  </si>
  <si>
    <t>Implied 3Q26 from current FY26 guidance midpoint (issuer gives no quarterly guidance)</t>
  </si>
  <si>
    <t>FY26 revenue guidance midpoint ($M)</t>
  </si>
  <si>
    <t>Less: 1H26 actual revenue ($M)</t>
  </si>
  <si>
    <t>Implied 2H26 revenue ($M)</t>
  </si>
  <si>
    <t>3Q share of 2H (2025 actual)</t>
  </si>
  <si>
    <t>Implied 3Q26 revenue (mid)</t>
  </si>
  <si>
    <t>FY26 adj. EBITDA midpoint</t>
  </si>
  <si>
    <t>Less: 1H26 actual adjusted EBITDA ($M)</t>
  </si>
  <si>
    <t>Implied 2H26 adjusted EBITDA ($M)</t>
  </si>
  <si>
    <t>Implied 3Q26 adj. EBITDA (mid)</t>
  </si>
  <si>
    <t>Implied 2H26 adjusted EBITDA margin</t>
  </si>
  <si>
    <t>2H25 actual adjusted EBITDA margin</t>
  </si>
  <si>
    <t>Implied 3Q26 revenue (top)</t>
  </si>
  <si>
    <t>Sources</t>
  </si>
  <si>
    <t>Source</t>
  </si>
  <si>
    <t>ID</t>
  </si>
  <si>
    <t>Pub. date</t>
  </si>
  <si>
    <t>Publisher</t>
  </si>
  <si>
    <t>Retrieved (UTC)</t>
  </si>
  <si>
    <t>Feeds</t>
  </si>
  <si>
    <t>URL or file</t>
  </si>
  <si>
    <t>URI 3Q25 earnings release (Ex.99.1)</t>
  </si>
  <si>
    <t>S1</t>
  </si>
  <si>
    <t>United Rentals / SEC EDGAR</t>
  </si>
  <si>
    <t>2026-10-18/19 (pre-cutoff publication)</t>
  </si>
  <si>
    <t>3Q25A IS, BS, CF, fleet productivity, adj. EPS/EBITDA, guidance (Oct-25)</t>
  </si>
  <si>
    <t>https://www.sec.gov/Archives/edgar/data/1067701/000106770125000041/uri-9302025xex991.htm</t>
  </si>
  <si>
    <t>URI 4Q25/FY25 earnings release (Ex.99.1)</t>
  </si>
  <si>
    <t>S2</t>
  </si>
  <si>
    <t>4Q25A/FY25A IS, BS, CF, adj. EPS/EBITDA, FY26 initial guidance</t>
  </si>
  <si>
    <t>https://www.sec.gov/Archives/edgar/data/1067701/000106770126000009/uri-12312025xex991.htm</t>
  </si>
  <si>
    <t>URI 1Q26 earnings release (Ex.99.1)</t>
  </si>
  <si>
    <t>S3</t>
  </si>
  <si>
    <t>1Q26A IS, BS, CF, adj. EPS/EBITDA, guidance (Apr-26); 1Q25 comparatives</t>
  </si>
  <si>
    <t>https://www.sec.gov/Archives/edgar/data/1067701/000106770126000018/uri-3312026xex991.htm</t>
  </si>
  <si>
    <t>URI 2Q26 earnings release (Ex.99.1)</t>
  </si>
  <si>
    <t>S4</t>
  </si>
  <si>
    <t>2Q26A IS, BS, CF, adj. EPS/EBITDA, current FY26 guidance; 2Q25 comparatives</t>
  </si>
  <si>
    <t>https://www.sec.gov/Archives/edgar/data/1067701/000106770126000028/uri-6302026xex991.htm</t>
  </si>
  <si>
    <t>URI Form 10-Q 3Q25</t>
  </si>
  <si>
    <t>S5</t>
  </si>
  <si>
    <t>Segment revenue/costs 3Q25, 3Q24, 9M24; revenue by type; shares outstanding 20-Oct-25</t>
  </si>
  <si>
    <t>https://www.sec.gov/Archives/edgar/data/1067701/000106770125000039/uri-20250930.htm</t>
  </si>
  <si>
    <t>URI Form 10-K FY25 (incl. XBRL R47/R51/R52/R54)</t>
  </si>
  <si>
    <t>S6</t>
  </si>
  <si>
    <t>FY25/FY24 segment revenue &amp; costs, revenue by type, product-line mix, geography</t>
  </si>
  <si>
    <t>https://www.sec.gov/Archives/edgar/data/1067701/000106770126000007/uri-20251231.htm</t>
  </si>
  <si>
    <t>URI Form 10-Q 1Q26</t>
  </si>
  <si>
    <t>S7</t>
  </si>
  <si>
    <t>Segment revenue/costs 1Q26, 1Q25; revenue by type; segment capex/assets; shares 20-Apr-26</t>
  </si>
  <si>
    <t>https://www.sec.gov/Archives/edgar/data/1047166/000106770126000016/uri-20260331.htm</t>
  </si>
  <si>
    <t>URI Form 10-Q 2Q26</t>
  </si>
  <si>
    <t>S8</t>
  </si>
  <si>
    <t>Segment revenue/costs 2Q26, 2Q25; revenue by type; % U.S.; shares 20-Jul-26</t>
  </si>
  <si>
    <t>https://www.sec.gov/Archives/edgar/data/1067701/000106770126000026/uri-20260630.htm</t>
  </si>
  <si>
    <t>URI 2Q26 earnings call transcript</t>
  </si>
  <si>
    <t>S9</t>
  </si>
  <si>
    <t>StockAnalysis</t>
  </si>
  <si>
    <t>OEC sold, gross capex, fuel/ancillary commentary, H2 margin framing, $1.5B buyback plan</t>
  </si>
  <si>
    <t>https://stockanalysis.com/stocks/uri/transcripts/653566-q2-2026/</t>
  </si>
  <si>
    <t>URI 1Q26 earnings call transcript</t>
  </si>
  <si>
    <t>S10</t>
  </si>
  <si>
    <t>StockAnalysis / Motley Fool</t>
  </si>
  <si>
    <t>1Q26 OEC sold $680M, recovery 51.5%, specialty cold starts 17</t>
  </si>
  <si>
    <t>https://stockanalysis.com/stocks/uri/transcripts/548416-q1-2026/</t>
  </si>
  <si>
    <t>URI 3Q25 earnings call transcript</t>
  </si>
  <si>
    <t>S11</t>
  </si>
  <si>
    <t>3Q25 OEC sold $619M, gross rental capex $1.49B</t>
  </si>
  <si>
    <t>https://stockanalysis.com/stocks/uri/transcripts/366764-q3-2025/</t>
  </si>
  <si>
    <t>URI 3Q26 call/webcast date announcement</t>
  </si>
  <si>
    <t>S12</t>
  </si>
  <si>
    <t>Business Wire</t>
  </si>
  <si>
    <t>Issuer release timing: 21-Oct-26 after close; call 22-Oct-26</t>
  </si>
  <si>
    <t>https://www.businesswire.com/news/home/20261008930674/en/United-Rentals-Inc.-Third-Quarter-2026-Conference-Call-and-Audio-Webcast-Thursday-October-22-2026-at-830-a.m.-ET</t>
  </si>
  <si>
    <t>URI 2Q25 earnings release (Ex.99.1)</t>
  </si>
  <si>
    <t>S13</t>
  </si>
  <si>
    <t>Fleet OEC $22.09B at 30-Jun-25 (opening fleet for 3Q25)</t>
  </si>
  <si>
    <t>https://www.sec.gov/Archives/edgar/data/1067701/000162828025035758/uri-6302025xex991.htm</t>
  </si>
  <si>
    <t>S&amp;P Capital IQ consensus snapshot (URI_consensus.json)</t>
  </si>
  <si>
    <t>S14</t>
  </si>
  <si>
    <t>S&amp;P Capital IQ (supplied)</t>
  </si>
  <si>
    <t>Frozen consensus: EPS 14.03 normalized, GAAP 13.32, revenue 4,709.32, EBITDA, NI</t>
  </si>
  <si>
    <t>file: URI_consensus.json</t>
  </si>
  <si>
    <t>S&amp;P Capital IQ history (URI_history.csv)</t>
  </si>
  <si>
    <t>S15</t>
  </si>
  <si>
    <t>Six quarters of actual vs consensus EPS/revenue; beat-rate prior</t>
  </si>
  <si>
    <t>file: URI_history.csv</t>
  </si>
  <si>
    <t>Zacks: Exploring analyst estimates for URI Q3</t>
  </si>
  <si>
    <t>S16</t>
  </si>
  <si>
    <t>Zacks via Yahoo Finance</t>
  </si>
  <si>
    <t>Newer (non-frozen) consensus detail by revenue line; recorded separately</t>
  </si>
  <si>
    <t>https://finance.yahoo.com/markets/stocks/articles/exploring-analyst-estimates-united-rentals-121523903.html</t>
  </si>
  <si>
    <t>Zacks: URI to report Q3 earnings - what to expect</t>
  </si>
  <si>
    <t>S17</t>
  </si>
  <si>
    <t>Segment-level consensus (GR $3.02B, Specialty $1.69B); ESP</t>
  </si>
  <si>
    <t>https://finance.yahoo.com/markets/stocks/articles/united-rentals-report-q3-earnings-134700195.html</t>
  </si>
  <si>
    <t>Sunbelt Rentals 1Q FY27 results (May-Jul 2026)</t>
  </si>
  <si>
    <t>S18</t>
  </si>
  <si>
    <t>Sunbelt Rentals / Business Wire</t>
  </si>
  <si>
    <t>Peer read-across: rental +12.5%, Specialty +25.3%, World Cup ~250bp</t>
  </si>
  <si>
    <t>https://ir.sunbeltrentals.com/news-events/press-releases/detail/158/sunbelt-rentals-reports-record-first-quarter-results-and-raises-full-year-fiscal-2027-guidance</t>
  </si>
  <si>
    <t>JPMorgan downgrades URI to Neutral</t>
  </si>
  <si>
    <t>S19</t>
  </si>
  <si>
    <t>Investing.com</t>
  </si>
  <si>
    <t>Sentiment / FY26 revenue $17.8B model; valuation</t>
  </si>
  <si>
    <t>https://www.investing.com/news/analyst-ratings/jpmorgan-downgrades-united-rentals-stock-rating-on-ma-concerns-93CH-4895177</t>
  </si>
  <si>
    <t>Bernstein cuts URI PT; market cap ~$66B</t>
  </si>
  <si>
    <t>S20</t>
  </si>
  <si>
    <t>Dated market capitalization (size bucket)</t>
  </si>
  <si>
    <t>https://www.investing.com/news/analyst-ratings/bernstein-socgen-cuts-united-rentals-stock-price-target-on-valuation-93CH-4949283</t>
  </si>
  <si>
    <t>Diesel prices Q3 2026 (EIA via Land Line)</t>
  </si>
  <si>
    <t>S21</t>
  </si>
  <si>
    <t>Land Line Media</t>
  </si>
  <si>
    <t>Fuel cost / ancillary pass-through assumption</t>
  </si>
  <si>
    <t>https://landline.media/fuel-relief-not-expected-soon/</t>
  </si>
  <si>
    <t>ARA quarterly rental forecast</t>
  </si>
  <si>
    <t>S22</t>
  </si>
  <si>
    <t>Rental Equipment Register</t>
  </si>
  <si>
    <t>Industry growth backdrop (+3.4% 2026)</t>
  </si>
  <si>
    <t>https://www.rermag.com/news-analysis/headline-news/article/55400064/aras-latest-quarterly-forecast-projects-continuing-growth-through-2028</t>
  </si>
  <si>
    <t>MarketBeat URI Q3 2026 estimates page</t>
  </si>
  <si>
    <t>S23</t>
  </si>
  <si>
    <t>MarketBeat</t>
  </si>
  <si>
    <t>2026-10-18/19 (publication NOT pre-cutoff verifiable)</t>
  </si>
  <si>
    <t>Newer consensus reference ($13.97 / $4.71B); page crawler-dated 20-Oct-26, not pre-cutoff verifiable; excluded from forecast and scoring</t>
  </si>
  <si>
    <t>https://www.marketbeat.com/earnings/reports/2026-10-21-united-rentals-inc-stock/</t>
  </si>
  <si>
    <t>Geo tab omitted: FY25 10-K (S6) discloses only annual U.S./foreign revenue (U.S. 91%); 10-Qs (S7, S8) give no quarterly geographic split — one line kept on Revenue summary.</t>
  </si>
  <si>
    <t>Target-actual exposure: none. Issuer 3Q26 release scheduled 21-Oct-26 after close (S12); no 3Q26 actuals seen. A search result claiming a "Sep-15-2026 Q3 call" (earningscalls.dev) is spurious and was not used.</t>
  </si>
  <si>
    <t>No OpenStocks forecasts or reasoning used. Consensus baseline = frozen CapIQ snapshot (S14); newer consensus recorded separately on Inputs.</t>
  </si>
  <si>
    <t>Retrieved column is date precision only; no capture timestamps exist and pages are not frozen snapshots. Retrieval after the cutoff is a documented limitation for S1-S22 (publication pre-cutoff); S23 is not pre-cutoff verifiable and is excluded.</t>
  </si>
  <si>
    <t>Inputs — CapIQ snapshot, prior-year comparatives, calibration</t>
  </si>
  <si>
    <t>3Q24A</t>
  </si>
  <si>
    <t>4Q24A</t>
  </si>
  <si>
    <t>1Q25A</t>
  </si>
  <si>
    <t>2Q25A</t>
  </si>
  <si>
    <t>FY24A</t>
  </si>
  <si>
    <t>9M24A</t>
  </si>
  <si>
    <t>A. S&amp;P Capital IQ consensus snapshot (URI_consensus.json) — raw, blanks preserved</t>
  </si>
  <si>
    <t>Field</t>
  </si>
  <si>
    <t>Value (as supplied)</t>
  </si>
  <si>
    <t>source</t>
  </si>
  <si>
    <t>S&amp;P Capital IQ</t>
  </si>
  <si>
    <t>ticker</t>
  </si>
  <si>
    <t>URI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</si>
  <si>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</si>
  <si>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</si>
  <si>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</si>
  <si>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</si>
  <si>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</si>
  <si>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</si>
  <si>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</si>
  <si>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</si>
  <si>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</si>
  <si>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</si>
  <si>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</si>
  <si>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</si>
  <si>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</si>
  <si>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</si>
  <si>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</si>
  <si>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</si>
  <si>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</si>
  <si>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</si>
  <si>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</si>
  <si>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</si>
  <si>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</si>
  <si>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</si>
  <si>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</si>
  <si>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summary_row (all fields; numeric strings stored as numbers, blanks left empty)</t>
  </si>
  <si>
    <t>company_name</t>
  </si>
  <si>
    <t>exchange_ticker</t>
  </si>
  <si>
    <t>NYSE:URI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</si>
  <si>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</si>
  <si>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</si>
  <si>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</si>
  <si>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</si>
  <si>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</si>
  <si>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</si>
  <si>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</si>
  <si>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</si>
  <si>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</si>
  <si>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</si>
  <si>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</si>
  <si>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</si>
  <si>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</si>
  <si>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</si>
  <si>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</si>
  <si>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</si>
  <si>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</si>
  <si>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</si>
  <si>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</si>
  <si>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</si>
  <si>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</si>
  <si>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</si>
  <si>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</si>
  <si>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</si>
  <si>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</si>
  <si>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</si>
  <si>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</si>
  <si>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</si>
  <si>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</si>
  <si>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</si>
  <si>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</si>
  <si>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</si>
  <si>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</si>
  <si>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</si>
  <si>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</si>
  <si>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</si>
  <si>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</si>
  <si>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</si>
  <si>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</si>
  <si>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</si>
  <si>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</si>
  <si>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</si>
  <si>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</si>
  <si>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</si>
  <si>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</si>
  <si>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</si>
  <si>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</si>
  <si>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</si>
  <si>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</si>
  <si>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</si>
  <si>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</si>
  <si>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</si>
  <si>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</si>
  <si>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</si>
  <si>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</si>
  <si>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</si>
  <si>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</si>
  <si>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</si>
  <si>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</si>
  <si>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</si>
  <si>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</si>
  <si>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</si>
  <si>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</si>
  <si>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</si>
  <si>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</si>
  <si>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1179.18/701.59</t>
  </si>
  <si>
    <t>estimates_captured_at</t>
  </si>
  <si>
    <t>notes</t>
  </si>
  <si>
    <t>a GAAP EPS "Guidance 1.97" value on the CapIQ page looks like a different line item and was excluded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</si>
  <si>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</si>
  <si>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</si>
  <si>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B. S&amp;P Capital IQ history (URI_history.csv) — six quarters, as supplied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</si>
  <si>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</si>
  <si>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</si>
  <si>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</si>
  <si>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</si>
  <si>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</si>
  <si>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</si>
  <si>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</si>
  <si>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C. Size-aware starting probability (playbook v2) and evidence updates</t>
  </si>
  <si>
    <t>Market cap ($bn), 16-Oct-26 close x 20-Jul-26 shares</t>
  </si>
  <si>
    <t>Market cap ($bn) per Bernstein note, 14-Oct-26</t>
  </si>
  <si>
    <t>Shares outstanding 20-Jul-26 (M, 10-Q cover)</t>
  </si>
  <si>
    <t>Size bucket / S&amp;P 500 member</t>
  </si>
  <si>
    <t>Large (&gt;$10bn) / Yes — S&amp;P 500 (2Q26 release)</t>
  </si>
  <si>
    <t>Cohort prior (large OR S&amp;P 500)</t>
  </si>
  <si>
    <t>b = strict beats in six CapIQ pairs</t>
  </si>
  <si>
    <t>n = valid pairs</t>
  </si>
  <si>
    <t>Pseudo-count</t>
  </si>
  <si>
    <t>Starting P(beat) = (k*prior + b)/(k + n)</t>
  </si>
  <si>
    <t>Update: model EPS vs frozen consensus (model ~at/below)</t>
  </si>
  <si>
    <t>Update: consensus already at top of FY26 guide, revised up</t>
  </si>
  <si>
    <t>Update: diesel ~$5+/gal Q3 cost drag (20-30bp)</t>
  </si>
  <si>
    <t>Update: peer (Sunbelt) May-Jul strength, 2026 cost execution</t>
  </si>
  <si>
    <t>Final P(beat consensus EPS)</t>
  </si>
  <si>
    <t>D. Newer consensus seen after snapshot (reference only; frozen CapIQ baseline unchanged)</t>
  </si>
  <si>
    <t>Zacks consensus EPS, 16-Oct-26</t>
  </si>
  <si>
    <t>Zacks consensus revenue ($M), 16-Oct-26</t>
  </si>
  <si>
    <t>MarketBeat consensus EPS (page crawler-dated 20-Oct-26; NOT pre-cutoff verifiable; reference only, excluded from forecast and scoring)</t>
  </si>
  <si>
    <t>Zacks: equipment rentals revenue est. ($M)</t>
  </si>
  <si>
    <t>Zacks: sales of rental equipment est. ($M)</t>
  </si>
  <si>
    <t>E. Other sourced scalars</t>
  </si>
  <si>
    <t>Gross rental capex, 9M25 YTD ($M)</t>
  </si>
  <si>
    <t>Gross rental capex, 6M26 YTD ($M)</t>
  </si>
  <si>
    <t>GR capital expenditures, 6M25 YTD ($M, segment note)</t>
  </si>
  <si>
    <t>Specialty capital expenditures, 6M25 YTD ($M, segment note)</t>
  </si>
  <si>
    <t>GR capital expenditures, 9M25 YTD ($M, segment note)</t>
  </si>
  <si>
    <t>Specialty capital expenditures, 9M25 YTD ($M, segment note)</t>
  </si>
  <si>
    <t>GR capital expenditures, FY25 ($M, segment note)</t>
  </si>
  <si>
    <t>Specialty capital expenditures, FY25 ($M, segment note)</t>
  </si>
  <si>
    <t>GR capital expenditures, 6M26 YTD ($M, segment note)</t>
  </si>
  <si>
    <t>Specialty capital expenditures, 6M26 YTD ($M, segment note)</t>
  </si>
  <si>
    <t>F. Prior-year comparatives (for Y/Y rows); 4Q24 segment/type = FY24 - 9M24</t>
  </si>
  <si>
    <t>GR equipment rentals</t>
  </si>
  <si>
    <t>GR sales of rental equipment</t>
  </si>
  <si>
    <t>GR sales of new equipment</t>
  </si>
  <si>
    <t>GR contractor supplies</t>
  </si>
  <si>
    <t>GR service &amp; other</t>
  </si>
  <si>
    <t>GR total revenue</t>
  </si>
  <si>
    <t>Specialty equipment rentals</t>
  </si>
  <si>
    <t>Specialty sales of rental equipment</t>
  </si>
  <si>
    <t>Specialty sales of new equipment</t>
  </si>
  <si>
    <t>Specialty contractor supplies</t>
  </si>
  <si>
    <t>Specialty service &amp; other</t>
  </si>
  <si>
    <t>GR depreciation of rental equipment</t>
  </si>
  <si>
    <t>GR labor &amp; benefits</t>
  </si>
  <si>
    <t>GR repairs &amp; maintenance</t>
  </si>
  <si>
    <t>GR delivery</t>
  </si>
  <si>
    <t>GR all other rental expenses</t>
  </si>
  <si>
    <t>GR equipment rentals gross profit</t>
  </si>
  <si>
    <t>Specialty depreciation of rental equipment</t>
  </si>
  <si>
    <t>Specialty labor &amp; benefits</t>
  </si>
  <si>
    <t>Specialty repairs &amp; maintenance</t>
  </si>
  <si>
    <t>Specialty delivery</t>
  </si>
  <si>
    <t>Specialty all other rental expenses</t>
  </si>
  <si>
    <t>Specialty equipment rentals gross profit</t>
  </si>
  <si>
    <t>Owned equipment rentals</t>
  </si>
  <si>
    <t>Re-rent revenue</t>
  </si>
  <si>
    <t>Delivery and pick-up</t>
  </si>
  <si>
    <t>Other ancillary rental revenue</t>
  </si>
  <si>
    <t>Ancillary and other rental revenues</t>
  </si>
  <si>
    <t>Ancillary + re-rent</t>
  </si>
  <si>
    <t>Equipment rentals (consolidated)</t>
  </si>
  <si>
    <t>Total revenues (reported)</t>
  </si>
  <si>
    <t>Gross profit (reported)</t>
  </si>
  <si>
    <t>Income before taxes</t>
  </si>
  <si>
    <t>Net income</t>
  </si>
  <si>
    <t>Diluted EPS (GAAP)</t>
  </si>
  <si>
    <t>Adjusted EPS</t>
  </si>
  <si>
    <t>Weighted basic shares (M)</t>
  </si>
  <si>
    <t>Weighted diluted shares (M)</t>
  </si>
  <si>
    <t>Cost of equipment rentals ex dep.</t>
  </si>
  <si>
    <t>Depreciation of rental equipment</t>
  </si>
  <si>
    <t>Cost of rental equipment sales</t>
  </si>
  <si>
    <t>Cost of new equipment sales</t>
  </si>
  <si>
    <t>Cost of contractor supplies sales</t>
  </si>
  <si>
    <t>Cost of service and other revenues</t>
  </si>
  <si>
    <t>SG&amp;A</t>
  </si>
  <si>
    <t>Restructuring charge</t>
  </si>
  <si>
    <t>Non-rental D&amp;A</t>
  </si>
  <si>
    <t>Interest expense, net</t>
  </si>
  <si>
    <t>Other (income) expense, net</t>
  </si>
  <si>
    <t>Provision for income taxes</t>
  </si>
  <si>
    <t>Stock compensation expense, net</t>
  </si>
  <si>
    <t>Fair value mark-up of acquired fleet (pre-tax)</t>
  </si>
  <si>
    <t>CF: ni</t>
  </si>
  <si>
    <t>CF: da</t>
  </si>
  <si>
    <t>CF: amfin</t>
  </si>
  <si>
    <t>CF: gainr</t>
  </si>
  <si>
    <t>CF: gainnr</t>
  </si>
  <si>
    <t>CF: gainbus</t>
  </si>
  <si>
    <t>CF: insop</t>
  </si>
  <si>
    <t>CF: sbc</t>
  </si>
  <si>
    <t>CF: restr</t>
  </si>
  <si>
    <t>CF: debtact</t>
  </si>
  <si>
    <t>CF: dtax</t>
  </si>
  <si>
    <t>CF: ar</t>
  </si>
  <si>
    <t>CF: inv</t>
  </si>
  <si>
    <t>CF: prep</t>
  </si>
  <si>
    <t>CF: ap</t>
  </si>
  <si>
    <t>CF: accr</t>
  </si>
  <si>
    <t>CF: purchr</t>
  </si>
  <si>
    <t>CF: purchnr</t>
  </si>
  <si>
    <t>CF: procr</t>
  </si>
  <si>
    <t>CF: procnr</t>
  </si>
  <si>
    <t>CF: procbus</t>
  </si>
  <si>
    <t>CF: insinv</t>
  </si>
  <si>
    <t>CF: acq</t>
  </si>
  <si>
    <t>CF: invpur</t>
  </si>
  <si>
    <t>CF: invpro</t>
  </si>
  <si>
    <t>CF: debtin</t>
  </si>
  <si>
    <t>CF: debtout</t>
  </si>
  <si>
    <t>CF: contin</t>
  </si>
  <si>
    <t>CF: fincost</t>
  </si>
  <si>
    <t>CF: repo</t>
  </si>
  <si>
    <t>CF: div</t>
  </si>
  <si>
    <t>CF: fx</t>
  </si>
  <si>
    <t>CF: cash at beginning of period</t>
  </si>
  <si>
    <t>Fleet OEC at period end ($M)</t>
  </si>
  <si>
    <t>Rental locations at period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</si>
</sst>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9947" formatCode="yyyy-mm-dd"/>
    <numFmt numFmtId="9948" formatCode="dd-mmm-yy"/>
    <numFmt numFmtId="9949" formatCode="#,##0.0_);(#,##0.0);–_)"/>
    <numFmt numFmtId="9950" formatCode="0.0%_);(0.0%);–_)"/>
    <numFmt numFmtId="9953" formatCode="$0.00_);($0.00);–_)"/>
    <numFmt numFmtId="9961" formatCode="0.0x"/>
    <numFmt numFmtId="9969" formatCode="#,##0_);(#,##0);–_)"/>
  </numFmts>
  <fonts count="12">
    <font>
      <b val="0"/>
      <i val="0"/>
      <sz val="11"/>
      <color auto="1"/>
      <name val="Calibri"/>
    </font>
    <font>
      <b val="0"/>
      <i val="0"/>
      <sz val="10"/>
      <color rgb="FF000000"/>
      <name val="Arial"/>
    </font>
    <font>
      <b val="0"/>
      <i val="0"/>
      <sz val="10"/>
      <color rgb="FF0000FF"/>
      <name val="Arial"/>
    </font>
    <font>
      <b/>
      <i val="0"/>
      <sz val="10"/>
      <color rgb="FF000000"/>
      <name val="Arial"/>
    </font>
    <font>
      <b val="0"/>
      <i/>
      <sz val="10"/>
      <color rgb="FF000000"/>
      <name val="Arial"/>
    </font>
    <font>
      <b val="0"/>
      <i val="0"/>
      <sz val="10"/>
      <color rgb="FF006100"/>
      <name val="Arial"/>
    </font>
    <font>
      <b/>
      <i val="0"/>
      <sz val="12"/>
      <color rgb="FF000000"/>
      <name val="Arial"/>
    </font>
    <font>
      <b/>
      <i val="0"/>
      <sz val="10"/>
      <color rgb="FF006100"/>
      <name val="Arial"/>
    </font>
    <font>
      <b/>
      <i val="0"/>
      <u/>
      <sz val="10"/>
      <color rgb="FF000000"/>
      <name val="Arial"/>
    </font>
    <font>
      <b val="0"/>
      <i/>
      <sz val="10"/>
      <color rgb="FF006100"/>
      <name val="Arial"/>
    </font>
    <font>
      <b/>
      <i val="0"/>
      <sz val="10"/>
      <color rgb="FF0000FF"/>
      <name val="Arial"/>
    </font>
    <font>
      <b val="0"/>
      <i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EF3FA"/>
      </patternFill>
    </fill>
    <fill>
      <patternFill patternType="solid">
        <fgColor rgb="FFDDE7F3"/>
      </patternFill>
    </fill>
  </fills>
  <borders count="8">
    <border>
      <left/>
      <right/>
      <top/>
      <bottom/>
    </border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1"/>
  </cellStyleXfs>
  <cellXfs count="83">
    <xf numFmtId="0" fontId="0" fillId="0" borderId="1" xfId="0"/>
    <xf numFmtId="0" fontId="1" fillId="0" borderId="1" xfId="0"/>
    <xf numFmtId="0" fontId="6" fillId="0" borderId="1" xfId="0"/>
    <xf numFmtId="0" fontId="3" fillId="0" borderId="1" xfId="0"/>
    <xf numFmtId="0" fontId="4" fillId="0" borderId="1" xfId="0"/>
    <xf numFmtId="0" fontId="3" fillId="2" borderId="5" xfId="0"/>
    <xf numFmtId="0" fontId="3" fillId="2" borderId="5" xfId="0">
      <alignment horizontal="right" vertical="bottom"/>
    </xf>
    <xf numFmtId="0" fontId="1" fillId="2" borderId="1" xfId="0"/>
    <xf numFmtId="9948" fontId="1" fillId="2" borderId="1" xfId="0">
      <alignment horizontal="right" vertical="bottom"/>
    </xf>
    <xf numFmtId="0" fontId="1" fillId="2" borderId="6" xfId="0"/>
    <xf numFmtId="1" fontId="1" fillId="2" borderId="6" xfId="0">
      <alignment horizontal="right" vertical="bottom"/>
    </xf>
    <xf numFmtId="49" fontId="1" fillId="0" borderId="1" xfId="0">
      <alignment horizontal="left" vertical="bottom"/>
    </xf>
    <xf numFmtId="9949" fontId="5" fillId="0" borderId="1" xfId="0">
      <alignment horizontal="right" vertical="bottom"/>
    </xf>
    <xf numFmtId="0" fontId="3" fillId="2" borderId="7" xfId="0">
      <alignment vertical="bottom" wrapText="1"/>
    </xf>
    <xf numFmtId="0" fontId="3" fillId="2" borderId="7" xfId="0">
      <alignment horizontal="right" vertical="bottom" wrapText="1"/>
    </xf>
    <xf numFmtId="9949" fontId="1" fillId="0" borderId="1" xfId="0">
      <alignment horizontal="right" vertical="bottom"/>
    </xf>
    <xf numFmtId="9950" fontId="1" fillId="0" borderId="1" xfId="0">
      <alignment horizontal="right" vertical="bottom"/>
    </xf>
    <xf numFmtId="9953" fontId="5" fillId="0" borderId="1" xfId="0">
      <alignment horizontal="right" vertical="bottom"/>
    </xf>
    <xf numFmtId="9953" fontId="1" fillId="0" borderId="1" xfId="0">
      <alignment horizontal="right" vertical="bottom"/>
    </xf>
    <xf numFmtId="9953" fontId="7" fillId="0" borderId="1" xfId="0">
      <alignment horizontal="right" vertical="bottom"/>
    </xf>
    <xf numFmtId="9953" fontId="3" fillId="0" borderId="1" xfId="0">
      <alignment horizontal="right" vertical="bottom"/>
    </xf>
    <xf numFmtId="9950" fontId="3" fillId="0" borderId="1" xfId="0">
      <alignment horizontal="right" vertical="bottom"/>
    </xf>
    <xf numFmtId="0" fontId="7" fillId="0" borderId="1" xfId="0">
      <alignment horizontal="right" vertical="bottom"/>
    </xf>
    <xf numFmtId="49" fontId="3" fillId="0" borderId="1" xfId="0">
      <alignment horizontal="right" vertical="bottom"/>
    </xf>
    <xf numFmtId="9950" fontId="7" fillId="0" borderId="1" xfId="0">
      <alignment horizontal="right" vertical="bottom"/>
    </xf>
    <xf numFmtId="49" fontId="7" fillId="0" borderId="1" xfId="0">
      <alignment horizontal="right" vertical="bottom"/>
    </xf>
    <xf numFmtId="0" fontId="5" fillId="0" borderId="1" xfId="0">
      <alignment horizontal="right" vertical="bottom"/>
    </xf>
    <xf numFmtId="0" fontId="1" fillId="0" borderId="1" xfId="0">
      <alignment horizontal="right" vertical="bottom"/>
    </xf>
    <xf numFmtId="0" fontId="3" fillId="4" borderId="5" xfId="0">
      <alignment horizontal="right" vertical="bottom"/>
    </xf>
    <xf numFmtId="9948" fontId="1" fillId="4" borderId="1" xfId="0">
      <alignment horizontal="right" vertical="bottom"/>
    </xf>
    <xf numFmtId="1" fontId="1" fillId="4" borderId="6" xfId="0">
      <alignment horizontal="right" vertical="bottom"/>
    </xf>
    <xf numFmtId="0" fontId="8" fillId="0" borderId="1" xfId="0"/>
    <xf numFmtId="0" fontId="1" fillId="3" borderId="1" xfId="0"/>
    <xf numFmtId="9949" fontId="5" fillId="3" borderId="1" xfId="0">
      <alignment horizontal="right" vertical="bottom"/>
    </xf>
    <xf numFmtId="9950" fontId="9" fillId="0" borderId="1" xfId="0">
      <alignment horizontal="right" vertical="bottom"/>
    </xf>
    <xf numFmtId="9950" fontId="4" fillId="3" borderId="1" xfId="0">
      <alignment horizontal="right" vertical="bottom"/>
    </xf>
    <xf numFmtId="9950" fontId="4" fillId="0" borderId="1" xfId="0">
      <alignment horizontal="right" vertical="bottom"/>
    </xf>
    <xf numFmtId="9949" fontId="3" fillId="0" borderId="5" xfId="0">
      <alignment horizontal="right" vertical="bottom"/>
    </xf>
    <xf numFmtId="9949" fontId="3" fillId="3" borderId="5" xfId="0">
      <alignment horizontal="right" vertical="bottom"/>
    </xf>
    <xf numFmtId="0" fontId="1" fillId="3" borderId="1" xfId="0">
      <alignment horizontal="right" vertical="bottom"/>
    </xf>
    <xf numFmtId="0" fontId="5" fillId="3" borderId="1" xfId="0">
      <alignment horizontal="right" vertical="bottom"/>
    </xf>
    <xf numFmtId="9949" fontId="1" fillId="3" borderId="1" xfId="0">
      <alignment horizontal="right" vertical="bottom"/>
    </xf>
    <xf numFmtId="9949" fontId="2" fillId="0" borderId="1" xfId="0">
      <alignment horizontal="right" vertical="bottom"/>
    </xf>
    <xf numFmtId="9949" fontId="2" fillId="3" borderId="1" xfId="0">
      <alignment horizontal="right" vertical="bottom"/>
    </xf>
    <xf numFmtId="9949" fontId="10" fillId="0" borderId="5" xfId="0">
      <alignment horizontal="right" vertical="bottom"/>
    </xf>
    <xf numFmtId="9950" fontId="2" fillId="0" borderId="1" xfId="0">
      <alignment horizontal="right" vertical="bottom"/>
    </xf>
    <xf numFmtId="9950" fontId="1" fillId="3" borderId="1" xfId="0">
      <alignment horizontal="right" vertical="bottom"/>
    </xf>
    <xf numFmtId="9969" fontId="1" fillId="0" borderId="1" xfId="0">
      <alignment horizontal="right" vertical="bottom"/>
    </xf>
    <xf numFmtId="9969" fontId="1" fillId="3" borderId="1" xfId="0">
      <alignment horizontal="right" vertical="bottom"/>
    </xf>
    <xf numFmtId="9950" fontId="2" fillId="3" borderId="1" xfId="0">
      <alignment horizontal="right" vertical="bottom"/>
    </xf>
    <xf numFmtId="9950" fontId="11" fillId="3" borderId="1" xfId="0">
      <alignment horizontal="right" vertical="bottom"/>
    </xf>
    <xf numFmtId="9969" fontId="5" fillId="0" borderId="1" xfId="0">
      <alignment horizontal="right" vertical="bottom"/>
    </xf>
    <xf numFmtId="9969" fontId="2" fillId="0" borderId="1" xfId="0">
      <alignment horizontal="right" vertical="bottom"/>
    </xf>
    <xf numFmtId="9969" fontId="3" fillId="0" borderId="5" xfId="0">
      <alignment horizontal="right" vertical="bottom"/>
    </xf>
    <xf numFmtId="9969" fontId="3" fillId="3" borderId="5" xfId="0">
      <alignment horizontal="right" vertical="bottom"/>
    </xf>
    <xf numFmtId="9950" fontId="11" fillId="0" borderId="1" xfId="0">
      <alignment horizontal="right" vertical="bottom"/>
    </xf>
    <xf numFmtId="9950" fontId="9" fillId="3" borderId="1" xfId="0">
      <alignment horizontal="right" vertical="bottom"/>
    </xf>
    <xf numFmtId="9949" fontId="7" fillId="0" borderId="5" xfId="0">
      <alignment horizontal="right" vertical="bottom"/>
    </xf>
    <xf numFmtId="9953" fontId="10" fillId="0" borderId="5" xfId="0">
      <alignment horizontal="right" vertical="bottom"/>
    </xf>
    <xf numFmtId="9953" fontId="3" fillId="3" borderId="5" xfId="0">
      <alignment horizontal="right" vertical="bottom"/>
    </xf>
    <xf numFmtId="9953" fontId="4" fillId="0" borderId="1" xfId="0">
      <alignment horizontal="right" vertical="bottom"/>
    </xf>
    <xf numFmtId="9953" fontId="4" fillId="3" borderId="1" xfId="0">
      <alignment horizontal="right" vertical="bottom"/>
    </xf>
    <xf numFmtId="9953" fontId="5" fillId="3" borderId="1" xfId="0">
      <alignment horizontal="right" vertical="bottom"/>
    </xf>
    <xf numFmtId="9953" fontId="1" fillId="3" borderId="1" xfId="0">
      <alignment horizontal="right" vertical="bottom"/>
    </xf>
    <xf numFmtId="9953" fontId="2" fillId="0" borderId="1" xfId="0">
      <alignment horizontal="right" vertical="bottom"/>
    </xf>
    <xf numFmtId="9953" fontId="3" fillId="0" borderId="5" xfId="0">
      <alignment horizontal="right" vertical="bottom"/>
    </xf>
    <xf numFmtId="9953" fontId="2" fillId="3" borderId="1" xfId="0">
      <alignment horizontal="right" vertical="bottom"/>
    </xf>
    <xf numFmtId="9953" fontId="3" fillId="3" borderId="1" xfId="0">
      <alignment horizontal="right" vertical="bottom"/>
    </xf>
    <xf numFmtId="9961" fontId="5" fillId="0" borderId="1" xfId="0">
      <alignment horizontal="right" vertical="bottom"/>
    </xf>
    <xf numFmtId="9961" fontId="5" fillId="3" borderId="1" xfId="0">
      <alignment horizontal="right" vertical="bottom"/>
    </xf>
    <xf numFmtId="9949" fontId="3" fillId="0" borderId="1" xfId="0">
      <alignment horizontal="right" vertical="bottom"/>
    </xf>
    <xf numFmtId="9949" fontId="3" fillId="3" borderId="1" xfId="0">
      <alignment horizontal="right" vertical="bottom"/>
    </xf>
    <xf numFmtId="9947" fontId="2" fillId="0" borderId="1" xfId="0">
      <alignment horizontal="right" vertical="bottom"/>
    </xf>
    <xf numFmtId="49" fontId="1" fillId="0" borderId="1" xfId="0">
      <alignment horizontal="right" vertical="bottom"/>
    </xf>
    <xf numFmtId="9949" fontId="1" fillId="0" borderId="5" xfId="0">
      <alignment horizontal="right" vertical="bottom"/>
    </xf>
    <xf numFmtId="0" fontId="3" fillId="2" borderId="7" xfId="0">
      <alignment horizontal="left" vertical="bottom" wrapText="1"/>
    </xf>
    <xf numFmtId="0" fontId="1" fillId="0" borderId="1" xfId="0">
      <alignment vertical="top"/>
    </xf>
    <xf numFmtId="0" fontId="1" fillId="0" borderId="1" xfId="0">
      <alignment horizontal="left" vertical="top"/>
    </xf>
    <xf numFmtId="9947" fontId="2" fillId="0" borderId="1" xfId="0">
      <alignment horizontal="right" vertical="top"/>
    </xf>
    <xf numFmtId="0" fontId="1" fillId="0" borderId="1" xfId="0">
      <alignment horizontal="left" vertical="top" wrapText="1"/>
    </xf>
    <xf numFmtId="0" fontId="2" fillId="0" borderId="1" xfId="0">
      <alignment horizontal="right" vertical="bottom"/>
    </xf>
    <xf numFmtId="9947" fontId="1" fillId="0" borderId="1" xfId="0"/>
    <xf numFmtId="9950" fontId="3" fillId="0" borderId="5" xfId="0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Relationship Id="rId13" Type="http://schemas.openxmlformats.org/officeDocument/2006/relationships/theme" Target="theme/theme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628650</xdr:colOff>
      <xdr:row>3</xdr:row>
      <xdr:rowOff>38100</xdr:rowOff>
    </xdr:to>
    <xdr:pic>
      <xdr:nvPicPr>
        <xdr:cNvPr id="2" name="Shortcut 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57150" y="38100"/>
          <a:ext cx="571500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B2B5F72-7D79-0994-EA6E-3B60CFA13B1D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9.140625" customHeight="1"/>
  <cols>
    <col min="1" max="1" width="10.00390625" customWidth="1"/>
    <col min="2" max="2" width="40.00390625" customWidth="1"/>
    <col min="3" max="8" width="14.00390625" customWidth="1"/>
    <col min="9" max="9" width="2.00390625" customWidth="1"/>
    <col min="10" max="10" width="4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4</v>
      </c>
      <c r="D6" s="6"/>
      <c r="E6" s="6"/>
      <c r="F6" s="6"/>
      <c r="G6" s="6"/>
      <c r="H6" s="6"/>
      <c r="I6" s="1"/>
      <c r="J6" s="1"/>
    </row>
    <row r="7" ht="15" customHeight="1">
      <c r="A7" s="1"/>
      <c r="B7" s="7" t="s">
        <v>5</v>
      </c>
      <c r="C7" s="8">
        <v>46295</v>
      </c>
      <c r="D7" s="8"/>
      <c r="E7" s="8"/>
      <c r="F7" s="8"/>
      <c r="G7" s="8"/>
      <c r="H7" s="8"/>
      <c r="I7" s="1"/>
      <c r="J7" s="1"/>
    </row>
    <row r="8" ht="15" customHeight="1">
      <c r="A8" s="1"/>
      <c r="B8" s="9" t="s">
        <v>6</v>
      </c>
      <c r="C8" s="10">
        <f>C7-EOMONTH(C7,-3)</f>
        <v>92</v>
      </c>
      <c r="D8" s="10"/>
      <c r="E8" s="10"/>
      <c r="F8" s="10"/>
      <c r="G8" s="10"/>
      <c r="H8" s="10"/>
      <c r="I8" s="1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ht="15" customHeight="1">
      <c r="A10" s="1"/>
      <c r="B10" s="1" t="s">
        <v>7</v>
      </c>
      <c r="C10" s="11" t="s">
        <v>8</v>
      </c>
      <c r="D10" s="1"/>
      <c r="E10" s="1"/>
      <c r="F10" s="1"/>
      <c r="G10" s="1"/>
      <c r="H10" s="1"/>
      <c r="I10" s="1"/>
      <c r="J10" s="1"/>
    </row>
    <row r="11" ht="15" customHeight="1">
      <c r="A11" s="1"/>
      <c r="B11" s="1" t="s">
        <v>9</v>
      </c>
      <c r="C11" s="11" t="s">
        <v>10</v>
      </c>
      <c r="D11" s="1"/>
      <c r="E11" s="1"/>
      <c r="F11" s="1"/>
      <c r="G11" s="1"/>
      <c r="H11" s="1"/>
      <c r="I11" s="1"/>
      <c r="J11" s="1"/>
    </row>
    <row r="12" ht="15" customHeight="1">
      <c r="A12" s="1"/>
      <c r="B12" s="1" t="s">
        <v>11</v>
      </c>
      <c r="C12" s="11" t="s">
        <v>12</v>
      </c>
      <c r="D12" s="1"/>
      <c r="E12" s="1"/>
      <c r="F12" s="1"/>
      <c r="G12" s="1"/>
      <c r="H12" s="1"/>
      <c r="I12" s="1"/>
      <c r="J12" s="1"/>
    </row>
    <row r="13" ht="15" customHeight="1">
      <c r="A13" s="1"/>
      <c r="B13" s="1" t="s">
        <v>13</v>
      </c>
      <c r="C13" s="11" t="s">
        <v>14</v>
      </c>
      <c r="D13" s="1"/>
      <c r="E13" s="1"/>
      <c r="F13" s="1"/>
      <c r="G13" s="1"/>
      <c r="H13" s="1"/>
      <c r="I13" s="1"/>
      <c r="J13" s="1"/>
    </row>
    <row r="14" ht="15" customHeight="1">
      <c r="A14" s="1"/>
      <c r="B14" s="1" t="s">
        <v>15</v>
      </c>
      <c r="C14" s="11" t="s">
        <v>16</v>
      </c>
      <c r="D14" s="1"/>
      <c r="E14" s="1"/>
      <c r="F14" s="1"/>
      <c r="G14" s="1"/>
      <c r="H14" s="1"/>
      <c r="I14" s="1"/>
      <c r="J14" s="1"/>
    </row>
    <row r="15" ht="15" customHeight="1">
      <c r="A15" s="1"/>
      <c r="B15" s="1" t="s">
        <v>17</v>
      </c>
      <c r="C15" s="11" t="s">
        <v>18</v>
      </c>
      <c r="D15" s="1"/>
      <c r="E15" s="1"/>
      <c r="F15" s="1"/>
      <c r="G15" s="1"/>
      <c r="H15" s="1"/>
      <c r="I15" s="1"/>
      <c r="J15" s="1"/>
    </row>
    <row r="16" ht="15" customHeight="1">
      <c r="A16" s="1"/>
      <c r="B16" s="1" t="s">
        <v>19</v>
      </c>
      <c r="C16" s="11" t="s">
        <v>20</v>
      </c>
      <c r="D16" s="1"/>
      <c r="E16" s="1"/>
      <c r="F16" s="1"/>
      <c r="G16" s="1"/>
      <c r="H16" s="1"/>
      <c r="I16" s="1"/>
      <c r="J16" s="1"/>
    </row>
    <row r="17" ht="15" customHeight="1">
      <c r="A17" s="1"/>
      <c r="B17" s="1" t="s">
        <v>21</v>
      </c>
      <c r="C17" s="12">
        <f>Inputs!C111</f>
        <v>64.08735637396</v>
      </c>
      <c r="D17" s="1" t="s">
        <v>22</v>
      </c>
      <c r="E17" s="1"/>
      <c r="F17" s="1"/>
      <c r="G17" s="1"/>
      <c r="H17" s="1"/>
      <c r="I17" s="1"/>
      <c r="J17" s="1"/>
    </row>
    <row r="18" ht="15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ht="15" customHeight="1">
      <c r="A19" s="1"/>
      <c r="B19" s="13" t="s">
        <v>23</v>
      </c>
      <c r="C19" s="14" t="s">
        <v>24</v>
      </c>
      <c r="D19" s="14" t="s">
        <v>25</v>
      </c>
      <c r="E19" s="14" t="s">
        <v>26</v>
      </c>
      <c r="F19" s="14" t="s">
        <v>27</v>
      </c>
      <c r="G19" s="14" t="s">
        <v>28</v>
      </c>
      <c r="H19" s="14" t="s">
        <v>29</v>
      </c>
      <c r="I19" s="14"/>
      <c r="J19" s="1"/>
    </row>
    <row r="20" ht="15" customHeight="1">
      <c r="A20" s="1"/>
      <c r="B20" s="1" t="s">
        <v>30</v>
      </c>
      <c r="C20" s="12">
        <f>'Income Statement'!H16</f>
        <v>4699.092500570347</v>
      </c>
      <c r="D20" s="12">
        <f>Inputs!C21</f>
        <v>4709.32</v>
      </c>
      <c r="E20" s="15">
        <f t="shared" si="0" ref="E20:E25">IF(ISNUMBER(D20),C20-D20,"n/a")</f>
        <v>-10.227499429653108</v>
      </c>
      <c r="F20" s="16">
        <f t="shared" si="1" ref="F20:F25">IF(ISNUMBER(D20),C20/D20-1,"n/a")</f>
        <v>-0.0021717571601957975</v>
      </c>
      <c r="G20" s="12">
        <f>Guidance!C58</f>
        <v>4639.018015882423</v>
      </c>
      <c r="H20" s="16">
        <f t="shared" si="2" ref="H20:H25">IF(ISNUMBER(G20),C20/G20-1,"n/a")</f>
        <v>0.012949827847671402</v>
      </c>
      <c r="I20" s="1"/>
      <c r="J20" s="1"/>
    </row>
    <row r="21" ht="15" customHeight="1">
      <c r="A21" s="1"/>
      <c r="B21" s="1" t="s">
        <v>31</v>
      </c>
      <c r="C21" s="12">
        <f>'Income Statement'!H108</f>
        <v>2175.273886257658</v>
      </c>
      <c r="D21" s="12">
        <f>Inputs!C71</f>
        <v>2171</v>
      </c>
      <c r="E21" s="15">
        <f t="shared" si="0"/>
        <v>4.273886257657978</v>
      </c>
      <c r="F21" s="16">
        <f t="shared" si="1"/>
        <v>0.0019686256368760535</v>
      </c>
      <c r="G21" s="12">
        <f>Guidance!C63</f>
        <v>2142.269300753834</v>
      </c>
      <c r="H21" s="16">
        <f t="shared" si="2"/>
        <v>0.015406366273469807</v>
      </c>
      <c r="I21" s="1"/>
      <c r="J21" s="1"/>
    </row>
    <row r="22" ht="15" customHeight="1">
      <c r="A22" s="1"/>
      <c r="B22" s="1" t="s">
        <v>32</v>
      </c>
      <c r="C22" s="12">
        <f>'Income Statement'!H60</f>
        <v>821.5745164523728</v>
      </c>
      <c r="D22" s="12">
        <f>Inputs!C76</f>
        <v>828.95</v>
      </c>
      <c r="E22" s="15">
        <f t="shared" si="0"/>
        <v>-7.375483547627255</v>
      </c>
      <c r="F22" s="16">
        <f t="shared" si="1"/>
        <v>-0.008897380478469441</v>
      </c>
      <c r="G22" s="15" t="s">
        <v>33</v>
      </c>
      <c r="H22" s="16" t="str">
        <f t="shared" si="2"/>
        <v>n/a</v>
      </c>
      <c r="I22" s="1"/>
      <c r="J22" s="1"/>
    </row>
    <row r="23" ht="15" customHeight="1">
      <c r="A23" s="1"/>
      <c r="B23" s="1" t="s">
        <v>34</v>
      </c>
      <c r="C23" s="12">
        <f>'Income Statement'!H95</f>
        <v>865.0165164523728</v>
      </c>
      <c r="D23" s="12">
        <f>Inputs!C75</f>
        <v>861.55</v>
      </c>
      <c r="E23" s="15">
        <f t="shared" si="0"/>
        <v>3.4665164523728436</v>
      </c>
      <c r="F23" s="16">
        <f t="shared" si="1"/>
        <v>0.004023581280683475</v>
      </c>
      <c r="G23" s="15" t="s">
        <v>33</v>
      </c>
      <c r="H23" s="16" t="str">
        <f t="shared" si="2"/>
        <v>n/a</v>
      </c>
      <c r="I23" s="1"/>
      <c r="J23" s="1"/>
    </row>
    <row r="24" ht="15" customHeight="1">
      <c r="A24" s="1"/>
      <c r="B24" s="1" t="s">
        <v>35</v>
      </c>
      <c r="C24" s="17">
        <f>'Income Statement'!H67</f>
        <v>13.226899036075038</v>
      </c>
      <c r="D24" s="17">
        <f>Inputs!C53</f>
        <v>13.32</v>
      </c>
      <c r="E24" s="18">
        <f t="shared" si="0"/>
        <v>-0.0931009639249627</v>
      </c>
      <c r="F24" s="16">
        <f t="shared" si="1"/>
        <v>-0.0069895618562284545</v>
      </c>
      <c r="G24" s="18" t="s">
        <v>33</v>
      </c>
      <c r="H24" s="16" t="str">
        <f t="shared" si="2"/>
        <v>n/a</v>
      </c>
      <c r="I24" s="1"/>
      <c r="J24" s="1"/>
    </row>
    <row r="25" ht="15" customHeight="1">
      <c r="A25" s="1"/>
      <c r="B25" s="3" t="s">
        <v>36</v>
      </c>
      <c r="C25" s="19">
        <f>'Income Statement'!H81</f>
        <v>13.926291405748765</v>
      </c>
      <c r="D25" s="19">
        <f>Inputs!C19</f>
        <v>14.03</v>
      </c>
      <c r="E25" s="20">
        <f t="shared" si="0"/>
        <v>-0.10370859425123413</v>
      </c>
      <c r="F25" s="21">
        <f t="shared" si="1"/>
        <v>-0.007391916910280405</v>
      </c>
      <c r="G25" s="20" t="s">
        <v>33</v>
      </c>
      <c r="H25" s="21" t="str">
        <f t="shared" si="2"/>
        <v>n/a</v>
      </c>
      <c r="I25" s="1"/>
      <c r="J25" s="1"/>
    </row>
    <row r="26" ht="15" customHeight="1">
      <c r="A26" s="1"/>
      <c r="B26" s="3" t="s">
        <v>37</v>
      </c>
      <c r="C26" s="22" t="str">
        <f>IF(AND(C30,AND('Revenue summary'!C77:H77),AND('Revenue summary'!C78:H78),AND('Revenue summary'!C109:H109),AND('Revenue summary'!C139:H139),AND('Income Statement'!C70:H70),AND('Income Statement'!C84:H84),AND('Income Statement'!C113:H113),(ABS('Balance Sheet'!C41)+ABS('Balance Sheet'!D41)+ABS('Balance Sheet'!E41)+ABS('Balance Sheet'!F41)+ABS('Balance Sheet'!G41)+ABS('Balance Sheet'!H41))&lt;0.01,(ABS('Balance Sheet'!C43)+ABS('Balance Sheet'!D43)+ABS('Balance Sheet'!E43)+ABS('Balance Sheet'!F43)+ABS('Balance Sheet'!G43))&lt;0.01,(ABS('Cash Flow Statement'!C52)+ABS('Cash Flow Statement'!D52)+ABS('Cash Flow Statement'!E52)+ABS('Cash Flow Statement'!F52)+ABS('Cash Flow Statement'!G52)+ABS('Cash Flow Statement'!H52))&lt;0.01,(ABS('Cash Flow Statement'!C53)+ABS('Cash Flow Statement'!D53)+ABS('Cash Flow Statement'!E53)+ABS('Cash Flow Statement'!F53)+ABS('Cash Flow Statement'!G53)+ABS('Cash Flow Statement'!H53))&lt;0.01,AND('Share Count'!C18:H18),ISNUMBER('Cash Flow Statement'!H59),ISNUMBER('Segment - General Rentals'!H141),ISNUMBER('Segment - Specialty'!H145),_xlfn.IFERROR('Balance Sheet'!H11&gt;=0,FALSE),_xlfn.IFERROR(AND(ISNUMBER('Segment - General Rentals'!H139),ISNUMBER('Segment - Specialty'!H143),ISNUMBER('Segment - General Rentals'!H142),ISNUMBER('Segment - Specialty'!H146),'Segment - General Rentals'!H139&gt;0,'Segment - Specialty'!H143&gt;0,'Segment - General Rentals'!H142&gt;0,'Segment - Specialty'!H146&gt;0),FALSE)),"PASS","FAIL")</f>
        <v>PASS</v>
      </c>
      <c r="D26" s="23"/>
      <c r="E26" s="23"/>
      <c r="F26" s="21"/>
      <c r="G26" s="23"/>
      <c r="H26" s="21"/>
      <c r="I26" s="1"/>
      <c r="J26" s="1"/>
    </row>
    <row r="27" ht="15" customHeight="1">
      <c r="A27" s="1"/>
      <c r="B27" s="3" t="s">
        <v>39</v>
      </c>
      <c r="C27" s="24">
        <f>Inputs!C124</f>
        <v>0.52</v>
      </c>
      <c r="D27" s="21"/>
      <c r="E27" s="21"/>
      <c r="F27" s="21"/>
      <c r="G27" s="21"/>
      <c r="H27" s="21"/>
      <c r="I27" s="1"/>
      <c r="J27" s="1"/>
    </row>
    <row r="28" ht="15" customHeight="1">
      <c r="A28" s="1"/>
      <c r="B28" s="3" t="s">
        <v>40</v>
      </c>
      <c r="C28" s="25" t="str">
        <f>Inputs!C125</f>
        <v>low</v>
      </c>
      <c r="D28" s="23"/>
      <c r="E28" s="23"/>
      <c r="F28" s="21"/>
      <c r="G28" s="23"/>
      <c r="H28" s="21"/>
      <c r="I28" s="1"/>
      <c r="J28" s="1"/>
    </row>
    <row r="29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ht="15" customHeight="1">
      <c r="A30" s="1"/>
      <c r="B30" s="1" t="s">
        <v>42</v>
      </c>
      <c r="C30" s="26" t="b">
        <f>AND(C20='Income Statement'!H16,C25='Income Statement'!H81,C22='Income Statement'!H60,C23='Income Statement'!H95)</f>
        <v>1</v>
      </c>
      <c r="D30" s="27"/>
      <c r="E30" s="27"/>
      <c r="F30" s="27"/>
      <c r="G30" s="27"/>
      <c r="H30" s="27"/>
      <c r="I30" s="1"/>
      <c r="J30" s="1"/>
    </row>
    <row r="31" ht="15" customHeight="1">
      <c r="A31" s="1"/>
      <c r="B31" s="4" t="s">
        <v>43</v>
      </c>
      <c r="C31" s="1"/>
      <c r="D31" s="1"/>
      <c r="E31" s="1"/>
      <c r="F31" s="1"/>
      <c r="G31" s="1"/>
      <c r="H31" s="1"/>
      <c r="I31" s="1"/>
      <c r="J31" s="1"/>
    </row>
    <row r="32" ht="15" customHeight="1">
      <c r="A32" s="1"/>
      <c r="B32" s="4" t="s">
        <v>44</v>
      </c>
      <c r="C32" s="1"/>
      <c r="D32" s="1"/>
      <c r="E32" s="1"/>
      <c r="F32" s="1"/>
      <c r="G32" s="1"/>
      <c r="H32" s="1"/>
      <c r="I32" s="1"/>
      <c r="J32" s="1"/>
    </row>
    <row r="33" ht="15" customHeight="1">
      <c r="A33" s="1"/>
      <c r="B33" s="4" t="s">
        <v>45</v>
      </c>
      <c r="C33" s="1"/>
      <c r="D33" s="1"/>
      <c r="E33" s="1"/>
      <c r="F33" s="1"/>
      <c r="G33" s="1"/>
      <c r="H33" s="1"/>
      <c r="I33" s="1"/>
      <c r="J33" s="1"/>
    </row>
    <row r="34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72BC278-AA94-6228-7059-502A03B8EF7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46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47</v>
      </c>
      <c r="D6" s="6" t="s">
        <v>48</v>
      </c>
      <c r="E6" s="6" t="s">
        <v>49</v>
      </c>
      <c r="F6" s="6" t="s">
        <v>50</v>
      </c>
      <c r="G6" s="6" t="s">
        <v>51</v>
      </c>
      <c r="H6" s="28" t="s">
        <v>4</v>
      </c>
      <c r="I6" s="1"/>
      <c r="J6" s="1"/>
    </row>
    <row r="7" ht="15" customHeight="1">
      <c r="A7" s="1"/>
      <c r="B7" s="7" t="s">
        <v>5</v>
      </c>
      <c r="C7" s="8">
        <v>45930</v>
      </c>
      <c r="D7" s="8">
        <v>46022</v>
      </c>
      <c r="E7" s="8">
        <v>46112</v>
      </c>
      <c r="F7" s="8">
        <v>46203</v>
      </c>
      <c r="G7" s="8">
        <v>46022</v>
      </c>
      <c r="H7" s="29">
        <v>46295</v>
      </c>
      <c r="I7" s="1"/>
      <c r="J7" s="1"/>
    </row>
    <row r="8" ht="15" customHeight="1">
      <c r="A8" s="1"/>
      <c r="B8" s="9" t="s">
        <v>6</v>
      </c>
      <c r="C8" s="10">
        <f t="shared" si="0" ref="C8:H8">C7-EOMONTH(C7,-3)</f>
        <v>92</v>
      </c>
      <c r="D8" s="10">
        <f t="shared" si="0"/>
        <v>92</v>
      </c>
      <c r="E8" s="10">
        <f t="shared" si="0"/>
        <v>90</v>
      </c>
      <c r="F8" s="10">
        <f t="shared" si="0"/>
        <v>91</v>
      </c>
      <c r="G8" s="10">
        <f>G7-EOMONTH(G7,-12)</f>
        <v>365</v>
      </c>
      <c r="H8" s="30">
        <f t="shared" si="0"/>
        <v>92</v>
      </c>
      <c r="I8" s="1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3" t="s">
        <v>52</v>
      </c>
    </row>
    <row r="10" ht="15" customHeight="1">
      <c r="A10" s="1"/>
      <c r="B10" s="31" t="s">
        <v>53</v>
      </c>
      <c r="C10" s="1"/>
      <c r="D10" s="1"/>
      <c r="E10" s="1"/>
      <c r="F10" s="1"/>
      <c r="G10" s="1"/>
      <c r="H10" s="32"/>
      <c r="I10" s="1"/>
      <c r="J10" s="1"/>
    </row>
    <row r="11" ht="15" customHeight="1">
      <c r="A11" s="1"/>
      <c r="B11" s="1" t="s">
        <v>54</v>
      </c>
      <c r="C11" s="12">
        <f>'Segment - General Rentals'!C81</f>
        <v>2826</v>
      </c>
      <c r="D11" s="12">
        <f>'Segment - General Rentals'!D81</f>
        <v>2904</v>
      </c>
      <c r="E11" s="12">
        <f>'Segment - General Rentals'!E81</f>
        <v>2683</v>
      </c>
      <c r="F11" s="12">
        <f>'Segment - General Rentals'!F81</f>
        <v>2855</v>
      </c>
      <c r="G11" s="12">
        <f>'Segment - General Rentals'!G81</f>
        <v>11001</v>
      </c>
      <c r="H11" s="33">
        <f>'Segment - General Rentals'!H81</f>
        <v>3013.6799672711895</v>
      </c>
      <c r="I11" s="1"/>
      <c r="J11" s="1" t="s">
        <v>55</v>
      </c>
    </row>
    <row r="12" ht="15" customHeight="1">
      <c r="A12" s="1"/>
      <c r="B12" s="4" t="s">
        <v>56</v>
      </c>
      <c r="C12" s="34">
        <f>C11/Inputs!C152-1</f>
        <v>0.029508196721311553</v>
      </c>
      <c r="D12" s="34">
        <f>D11/Inputs!D152-1</f>
        <v>0.0010341261633919352</v>
      </c>
      <c r="E12" s="34">
        <f>E11/Inputs!E152-1</f>
        <v>0.04275165176836371</v>
      </c>
      <c r="F12" s="34">
        <f>F11/Inputs!F152-1</f>
        <v>0.058191252779836944</v>
      </c>
      <c r="G12" s="34">
        <f>G11/Inputs!G152-1</f>
        <v>0.014384508990318068</v>
      </c>
      <c r="H12" s="35">
        <f t="shared" si="4" ref="H12:H175">H11/C11-1</f>
        <v>0.06641187801528292</v>
      </c>
      <c r="I12" s="1"/>
      <c r="J12" s="1"/>
    </row>
    <row r="13" ht="15" customHeight="1">
      <c r="A13" s="1"/>
      <c r="B13" s="4" t="s">
        <v>57</v>
      </c>
      <c r="C13" s="34">
        <f>C11/Inputs!F152-1</f>
        <v>0.047442550037064546</v>
      </c>
      <c r="D13" s="36">
        <f t="shared" si="1" ref="D13:F70">D11/C11-1</f>
        <v>0.027600849256900206</v>
      </c>
      <c r="E13" s="36">
        <f t="shared" si="1"/>
        <v>-0.07610192837465568</v>
      </c>
      <c r="F13" s="36">
        <f t="shared" si="1"/>
        <v>0.064107342527022</v>
      </c>
      <c r="G13" s="36"/>
      <c r="H13" s="35">
        <f t="shared" si="5" ref="H13:H70">H11/F11-1</f>
        <v>0.05557967329989122</v>
      </c>
      <c r="I13" s="1"/>
      <c r="J13" s="1"/>
    </row>
    <row r="14" ht="15" customHeight="1">
      <c r="A14" s="1"/>
      <c r="B14" s="4" t="s">
        <v>58</v>
      </c>
      <c r="C14" s="36">
        <f t="shared" si="2" ref="C14:H14">C11/C27</f>
        <v>0.6682430834712698</v>
      </c>
      <c r="D14" s="36">
        <f t="shared" si="2"/>
        <v>0.6901140684410646</v>
      </c>
      <c r="E14" s="36">
        <f t="shared" si="2"/>
        <v>0.6732747804265997</v>
      </c>
      <c r="F14" s="36">
        <f t="shared" si="2"/>
        <v>0.6473922902494331</v>
      </c>
      <c r="G14" s="36">
        <f t="shared" si="2"/>
        <v>0.6833343685943226</v>
      </c>
      <c r="H14" s="35">
        <f t="shared" si="2"/>
        <v>0.6413323353190872</v>
      </c>
      <c r="I14" s="1"/>
      <c r="J14" s="1"/>
    </row>
    <row r="15" ht="15" customHeight="1">
      <c r="A15" s="1"/>
      <c r="B15" s="4" t="s">
        <v>59</v>
      </c>
      <c r="C15" s="36" t="s">
        <v>33</v>
      </c>
      <c r="D15" s="36" t="s">
        <v>33</v>
      </c>
      <c r="E15" s="36" t="s">
        <v>33</v>
      </c>
      <c r="F15" s="36" t="s">
        <v>33</v>
      </c>
      <c r="G15" s="36" t="s">
        <v>33</v>
      </c>
      <c r="H15" s="35" t="s">
        <v>33</v>
      </c>
      <c r="I15" s="1"/>
      <c r="J15" s="1" t="s">
        <v>60</v>
      </c>
    </row>
    <row r="16" ht="15" customHeight="1">
      <c r="A16" s="1"/>
      <c r="B16" s="4" t="s">
        <v>61</v>
      </c>
      <c r="C16" s="36" t="s">
        <v>33</v>
      </c>
      <c r="D16" s="36" t="s">
        <v>33</v>
      </c>
      <c r="E16" s="36" t="s">
        <v>33</v>
      </c>
      <c r="F16" s="36" t="s">
        <v>33</v>
      </c>
      <c r="G16" s="36" t="s">
        <v>33</v>
      </c>
      <c r="H16" s="35" t="s">
        <v>33</v>
      </c>
      <c r="I16" s="1"/>
      <c r="J16" s="1"/>
    </row>
    <row r="17" ht="15" customHeight="1">
      <c r="A17" s="1"/>
      <c r="B17" s="4" t="s">
        <v>62</v>
      </c>
      <c r="C17" s="36" t="s">
        <v>33</v>
      </c>
      <c r="D17" s="36" t="s">
        <v>33</v>
      </c>
      <c r="E17" s="36" t="s">
        <v>33</v>
      </c>
      <c r="F17" s="36" t="s">
        <v>33</v>
      </c>
      <c r="G17" s="36" t="s">
        <v>33</v>
      </c>
      <c r="H17" s="35" t="s">
        <v>33</v>
      </c>
      <c r="I17" s="1"/>
      <c r="J17" s="1"/>
    </row>
    <row r="18" ht="15" customHeight="1">
      <c r="A18" s="1"/>
      <c r="B18" s="4" t="s">
        <v>63</v>
      </c>
      <c r="C18" s="36">
        <f t="shared" si="3" ref="C18:H75">C12</f>
        <v>0.029508196721311553</v>
      </c>
      <c r="D18" s="36">
        <f t="shared" si="3"/>
        <v>0.0010341261633919352</v>
      </c>
      <c r="E18" s="36">
        <f t="shared" si="3"/>
        <v>0.04275165176836371</v>
      </c>
      <c r="F18" s="36">
        <f t="shared" si="3"/>
        <v>0.058191252779836944</v>
      </c>
      <c r="G18" s="36">
        <f t="shared" si="3"/>
        <v>0.014384508990318068</v>
      </c>
      <c r="H18" s="35">
        <f t="shared" si="3"/>
        <v>0.06641187801528292</v>
      </c>
      <c r="I18" s="1"/>
      <c r="J18" s="1"/>
    </row>
    <row r="19" ht="15" customHeight="1">
      <c r="A19" s="1"/>
      <c r="B19" s="1" t="s">
        <v>64</v>
      </c>
      <c r="C19" s="12">
        <f>'Segment - Specialty'!C81</f>
        <v>1403</v>
      </c>
      <c r="D19" s="12">
        <f>'Segment - Specialty'!D81</f>
        <v>1304</v>
      </c>
      <c r="E19" s="12">
        <f>'Segment - Specialty'!E81</f>
        <v>1302</v>
      </c>
      <c r="F19" s="12">
        <f>'Segment - Specialty'!F81</f>
        <v>1555</v>
      </c>
      <c r="G19" s="12">
        <f>'Segment - Specialty'!G81</f>
        <v>5098</v>
      </c>
      <c r="H19" s="33">
        <f>'Segment - Specialty'!H81</f>
        <v>1685.4125332991568</v>
      </c>
      <c r="I19" s="1"/>
      <c r="J19" s="1" t="s">
        <v>65</v>
      </c>
    </row>
    <row r="20" ht="15" customHeight="1">
      <c r="A20" s="1"/>
      <c r="B20" s="4" t="s">
        <v>56</v>
      </c>
      <c r="C20" s="34">
        <f>C19/Inputs!C158-1</f>
        <v>0.12510024057738578</v>
      </c>
      <c r="D20" s="34">
        <f>D19/Inputs!D158-1</f>
        <v>0.09212730318257956</v>
      </c>
      <c r="E20" s="34">
        <f>E19/Inputs!E158-1</f>
        <v>0.1361256544502618</v>
      </c>
      <c r="F20" s="34">
        <f>F19/Inputs!F158-1</f>
        <v>0.24899598393574296</v>
      </c>
      <c r="G20" s="34">
        <f>G19/Inputs!G158-1</f>
        <v>0.13288888888888883</v>
      </c>
      <c r="H20" s="35">
        <f t="shared" si="4"/>
        <v>0.20129189828877903</v>
      </c>
      <c r="I20" s="1"/>
      <c r="J20" s="1"/>
    </row>
    <row r="21" ht="15" customHeight="1">
      <c r="A21" s="1"/>
      <c r="B21" s="4" t="s">
        <v>57</v>
      </c>
      <c r="C21" s="34">
        <f>C19/Inputs!F158-1</f>
        <v>0.12690763052208842</v>
      </c>
      <c r="D21" s="36">
        <f t="shared" si="1"/>
        <v>-0.07056307911617965</v>
      </c>
      <c r="E21" s="36">
        <f t="shared" si="1"/>
        <v>-0.0015337423312883347</v>
      </c>
      <c r="F21" s="36">
        <f t="shared" si="1"/>
        <v>0.19431643625192008</v>
      </c>
      <c r="G21" s="36"/>
      <c r="H21" s="35">
        <f t="shared" si="5"/>
        <v>0.08386658089977939</v>
      </c>
      <c r="I21" s="1"/>
      <c r="J21" s="1"/>
    </row>
    <row r="22" ht="15" customHeight="1">
      <c r="A22" s="1"/>
      <c r="B22" s="4" t="s">
        <v>58</v>
      </c>
      <c r="C22" s="36">
        <f t="shared" si="6" ref="C22:H22">C19/C27</f>
        <v>0.3317569165287302</v>
      </c>
      <c r="D22" s="36">
        <f t="shared" si="6"/>
        <v>0.30988593155893535</v>
      </c>
      <c r="E22" s="36">
        <f t="shared" si="6"/>
        <v>0.3267252195734002</v>
      </c>
      <c r="F22" s="36">
        <f t="shared" si="6"/>
        <v>0.3526077097505669</v>
      </c>
      <c r="G22" s="36">
        <f t="shared" si="6"/>
        <v>0.3166656314056774</v>
      </c>
      <c r="H22" s="35">
        <f t="shared" si="6"/>
        <v>0.35866766468091277</v>
      </c>
      <c r="I22" s="1"/>
      <c r="J22" s="1"/>
    </row>
    <row r="23" ht="15" customHeight="1">
      <c r="A23" s="1"/>
      <c r="B23" s="4" t="s">
        <v>59</v>
      </c>
      <c r="C23" s="36" t="s">
        <v>33</v>
      </c>
      <c r="D23" s="36" t="s">
        <v>33</v>
      </c>
      <c r="E23" s="36" t="s">
        <v>33</v>
      </c>
      <c r="F23" s="36" t="s">
        <v>33</v>
      </c>
      <c r="G23" s="36" t="s">
        <v>33</v>
      </c>
      <c r="H23" s="35" t="s">
        <v>33</v>
      </c>
      <c r="I23" s="1"/>
      <c r="J23" s="1" t="s">
        <v>60</v>
      </c>
    </row>
    <row r="24" ht="15" customHeight="1">
      <c r="A24" s="1"/>
      <c r="B24" s="4" t="s">
        <v>61</v>
      </c>
      <c r="C24" s="36" t="s">
        <v>33</v>
      </c>
      <c r="D24" s="36" t="s">
        <v>33</v>
      </c>
      <c r="E24" s="36" t="s">
        <v>33</v>
      </c>
      <c r="F24" s="36" t="s">
        <v>33</v>
      </c>
      <c r="G24" s="36" t="s">
        <v>33</v>
      </c>
      <c r="H24" s="35" t="s">
        <v>33</v>
      </c>
      <c r="I24" s="1"/>
      <c r="J24" s="1"/>
    </row>
    <row r="25" ht="15" customHeight="1">
      <c r="A25" s="1"/>
      <c r="B25" s="4" t="s">
        <v>62</v>
      </c>
      <c r="C25" s="36" t="s">
        <v>33</v>
      </c>
      <c r="D25" s="36" t="s">
        <v>33</v>
      </c>
      <c r="E25" s="36" t="s">
        <v>33</v>
      </c>
      <c r="F25" s="36" t="s">
        <v>33</v>
      </c>
      <c r="G25" s="36" t="s">
        <v>33</v>
      </c>
      <c r="H25" s="35" t="s">
        <v>33</v>
      </c>
      <c r="I25" s="1"/>
      <c r="J25" s="1"/>
    </row>
    <row r="26" ht="15" customHeight="1">
      <c r="A26" s="1"/>
      <c r="B26" s="4" t="s">
        <v>63</v>
      </c>
      <c r="C26" s="36">
        <f t="shared" si="3"/>
        <v>0.12510024057738578</v>
      </c>
      <c r="D26" s="36">
        <f t="shared" si="3"/>
        <v>0.09212730318257956</v>
      </c>
      <c r="E26" s="36">
        <f t="shared" si="3"/>
        <v>0.1361256544502618</v>
      </c>
      <c r="F26" s="36">
        <f t="shared" si="3"/>
        <v>0.24899598393574296</v>
      </c>
      <c r="G26" s="36">
        <f t="shared" si="3"/>
        <v>0.13288888888888883</v>
      </c>
      <c r="H26" s="35">
        <f t="shared" si="3"/>
        <v>0.20129189828877903</v>
      </c>
      <c r="I26" s="1"/>
      <c r="J26" s="1"/>
    </row>
    <row r="27" ht="15" customHeight="1">
      <c r="A27" s="1"/>
      <c r="B27" s="3" t="s">
        <v>66</v>
      </c>
      <c r="C27" s="37">
        <f t="shared" si="7" ref="C27:H27">C11+C19</f>
        <v>4229</v>
      </c>
      <c r="D27" s="37">
        <f t="shared" si="7"/>
        <v>4208</v>
      </c>
      <c r="E27" s="37">
        <f t="shared" si="7"/>
        <v>3985</v>
      </c>
      <c r="F27" s="37">
        <f t="shared" si="7"/>
        <v>4410</v>
      </c>
      <c r="G27" s="37">
        <f t="shared" si="7"/>
        <v>16099</v>
      </c>
      <c r="H27" s="38">
        <f t="shared" si="7"/>
        <v>4699.092500570347</v>
      </c>
      <c r="I27" s="1"/>
      <c r="J27" s="1"/>
    </row>
    <row r="28" ht="15" customHeight="1">
      <c r="A28" s="1"/>
      <c r="B28" s="4" t="s">
        <v>56</v>
      </c>
      <c r="C28" s="34">
        <f>C27/Inputs!C182-1</f>
        <v>0.05936873747494986</v>
      </c>
      <c r="D28" s="34">
        <f>D27/Inputs!D182-1</f>
        <v>0.027594627594627497</v>
      </c>
      <c r="E28" s="34">
        <f>E27/Inputs!E182-1</f>
        <v>0.07152460338800748</v>
      </c>
      <c r="F28" s="34">
        <f>F27/Inputs!F182-1</f>
        <v>0.1184377377631245</v>
      </c>
      <c r="G28" s="34">
        <f>G27/Inputs!G182-1</f>
        <v>0.04913652655588141</v>
      </c>
      <c r="H28" s="35">
        <f t="shared" si="4"/>
        <v>0.11115925764255064</v>
      </c>
      <c r="I28" s="1"/>
      <c r="J28" s="1"/>
    </row>
    <row r="29" ht="15" customHeight="1">
      <c r="A29" s="1"/>
      <c r="B29" s="4" t="s">
        <v>57</v>
      </c>
      <c r="C29" s="34">
        <f>C27/Inputs!F182-1</f>
        <v>0.07253360385493268</v>
      </c>
      <c r="D29" s="36">
        <f t="shared" si="1"/>
        <v>-0.004965712934499877</v>
      </c>
      <c r="E29" s="36">
        <f t="shared" si="1"/>
        <v>-0.05299429657794674</v>
      </c>
      <c r="F29" s="36">
        <f t="shared" si="1"/>
        <v>0.1066499372647427</v>
      </c>
      <c r="G29" s="36"/>
      <c r="H29" s="35">
        <f t="shared" si="5"/>
        <v>0.06555385500461375</v>
      </c>
      <c r="I29" s="1"/>
      <c r="J29" s="1"/>
    </row>
    <row r="30" ht="15" customHeight="1">
      <c r="A30" s="1"/>
      <c r="B30" s="4" t="s">
        <v>59</v>
      </c>
      <c r="C30" s="36" t="s">
        <v>33</v>
      </c>
      <c r="D30" s="36" t="s">
        <v>33</v>
      </c>
      <c r="E30" s="36" t="s">
        <v>33</v>
      </c>
      <c r="F30" s="36" t="s">
        <v>33</v>
      </c>
      <c r="G30" s="36" t="s">
        <v>33</v>
      </c>
      <c r="H30" s="35" t="s">
        <v>33</v>
      </c>
      <c r="I30" s="1"/>
      <c r="J30" s="1" t="s">
        <v>60</v>
      </c>
    </row>
    <row r="31" ht="15" customHeight="1">
      <c r="A31" s="1"/>
      <c r="B31" s="4" t="s">
        <v>61</v>
      </c>
      <c r="C31" s="36" t="s">
        <v>33</v>
      </c>
      <c r="D31" s="36" t="s">
        <v>33</v>
      </c>
      <c r="E31" s="36" t="s">
        <v>33</v>
      </c>
      <c r="F31" s="36" t="s">
        <v>33</v>
      </c>
      <c r="G31" s="36" t="s">
        <v>33</v>
      </c>
      <c r="H31" s="35" t="s">
        <v>33</v>
      </c>
      <c r="I31" s="1"/>
      <c r="J31" s="1"/>
    </row>
    <row r="32" ht="15" customHeight="1">
      <c r="A32" s="1"/>
      <c r="B32" s="4" t="s">
        <v>62</v>
      </c>
      <c r="C32" s="36" t="s">
        <v>33</v>
      </c>
      <c r="D32" s="36" t="s">
        <v>33</v>
      </c>
      <c r="E32" s="36" t="s">
        <v>33</v>
      </c>
      <c r="F32" s="36" t="s">
        <v>33</v>
      </c>
      <c r="G32" s="36" t="s">
        <v>33</v>
      </c>
      <c r="H32" s="35" t="s">
        <v>33</v>
      </c>
      <c r="I32" s="1"/>
      <c r="J32" s="1"/>
    </row>
    <row r="33" ht="15" customHeight="1">
      <c r="A33" s="1"/>
      <c r="B33" s="4" t="s">
        <v>63</v>
      </c>
      <c r="C33" s="36">
        <f t="shared" si="8" ref="C33:H33">C28</f>
        <v>0.05936873747494986</v>
      </c>
      <c r="D33" s="36">
        <f t="shared" si="8"/>
        <v>0.027594627594627497</v>
      </c>
      <c r="E33" s="36">
        <f t="shared" si="8"/>
        <v>0.07152460338800748</v>
      </c>
      <c r="F33" s="36">
        <f t="shared" si="8"/>
        <v>0.1184377377631245</v>
      </c>
      <c r="G33" s="36">
        <f t="shared" si="8"/>
        <v>0.04913652655588141</v>
      </c>
      <c r="H33" s="35">
        <f t="shared" si="8"/>
        <v>0.11115925764255064</v>
      </c>
      <c r="I33" s="1"/>
      <c r="J33" s="1"/>
    </row>
    <row r="34" ht="15" customHeight="1">
      <c r="A34" s="1"/>
      <c r="B34" s="1"/>
      <c r="C34" s="1"/>
      <c r="D34" s="1"/>
      <c r="E34" s="1"/>
      <c r="F34" s="1"/>
      <c r="G34" s="1"/>
      <c r="H34" s="32"/>
      <c r="I34" s="1"/>
      <c r="J34" s="1"/>
    </row>
    <row r="35" ht="15" customHeight="1">
      <c r="A35" s="1"/>
      <c r="B35" s="31" t="s">
        <v>67</v>
      </c>
      <c r="C35" s="1"/>
      <c r="D35" s="1"/>
      <c r="E35" s="1"/>
      <c r="F35" s="1"/>
      <c r="G35" s="1"/>
      <c r="H35" s="32"/>
      <c r="I35" s="1"/>
      <c r="J35" s="1"/>
    </row>
    <row r="36" ht="15" customHeight="1">
      <c r="A36" s="1"/>
      <c r="B36" s="1" t="s">
        <v>68</v>
      </c>
      <c r="C36" s="12">
        <f>'Segment - General Rentals'!C43+'Segment - Specialty'!C43</f>
        <v>3665</v>
      </c>
      <c r="D36" s="12">
        <f>'Segment - General Rentals'!D43+'Segment - Specialty'!D43</f>
        <v>3581</v>
      </c>
      <c r="E36" s="12">
        <f>'Segment - General Rentals'!E43+'Segment - Specialty'!E43</f>
        <v>3419</v>
      </c>
      <c r="F36" s="12">
        <f>'Segment - General Rentals'!F43+'Segment - Specialty'!F43</f>
        <v>3849</v>
      </c>
      <c r="G36" s="12">
        <f>'Segment - General Rentals'!G43+'Segment - Specialty'!G43</f>
        <v>13806</v>
      </c>
      <c r="H36" s="33">
        <f>'Segment - General Rentals'!H43+'Segment - Specialty'!H43</f>
        <v>4090.2125005703465</v>
      </c>
      <c r="I36" s="1"/>
      <c r="J36" s="1"/>
    </row>
    <row r="37" ht="15" customHeight="1">
      <c r="A37" s="1"/>
      <c r="B37" s="4" t="s">
        <v>56</v>
      </c>
      <c r="C37" s="34">
        <f>C36/Inputs!C177-1</f>
        <v>0.05833092694195785</v>
      </c>
      <c r="D37" s="34">
        <f>D36/Inputs!D177-1</f>
        <v>0.04646405610753934</v>
      </c>
      <c r="E37" s="34">
        <f>E36/Inputs!E177-1</f>
        <v>0.08712241653418129</v>
      </c>
      <c r="F37" s="34">
        <f>F36/Inputs!F177-1</f>
        <v>0.12708638360175706</v>
      </c>
      <c r="G37" s="34">
        <f>G36/Inputs!G177-1</f>
        <v>0.059636196177757395</v>
      </c>
      <c r="H37" s="35">
        <f t="shared" si="4"/>
        <v>0.11601978187458295</v>
      </c>
      <c r="I37" s="1"/>
      <c r="J37" s="1"/>
    </row>
    <row r="38" ht="15" customHeight="1">
      <c r="A38" s="1"/>
      <c r="B38" s="4" t="s">
        <v>57</v>
      </c>
      <c r="C38" s="34">
        <f>C36/Inputs!F177-1</f>
        <v>0.07320644216691075</v>
      </c>
      <c r="D38" s="36">
        <f t="shared" si="1"/>
        <v>-0.022919508867667138</v>
      </c>
      <c r="E38" s="36">
        <f t="shared" si="1"/>
        <v>-0.04523876012287076</v>
      </c>
      <c r="F38" s="36">
        <f t="shared" si="1"/>
        <v>0.1257677683533196</v>
      </c>
      <c r="G38" s="36"/>
      <c r="H38" s="35">
        <f t="shared" si="5"/>
        <v>0.06266887518065634</v>
      </c>
      <c r="I38" s="1"/>
      <c r="J38" s="1"/>
    </row>
    <row r="39" ht="15" customHeight="1">
      <c r="A39" s="1"/>
      <c r="B39" s="4" t="s">
        <v>58</v>
      </c>
      <c r="C39" s="36">
        <f t="shared" si="9" ref="C39:H39">C36/C27</f>
        <v>0.8666351383305746</v>
      </c>
      <c r="D39" s="36">
        <f t="shared" si="9"/>
        <v>0.8509980988593155</v>
      </c>
      <c r="E39" s="36">
        <f t="shared" si="9"/>
        <v>0.8579673776662484</v>
      </c>
      <c r="F39" s="36">
        <f t="shared" si="9"/>
        <v>0.8727891156462585</v>
      </c>
      <c r="G39" s="36">
        <f t="shared" si="9"/>
        <v>0.8575687930927387</v>
      </c>
      <c r="H39" s="35">
        <f t="shared" si="9"/>
        <v>0.8704260450446341</v>
      </c>
      <c r="I39" s="1"/>
      <c r="J39" s="1"/>
    </row>
    <row r="40" ht="15" customHeight="1">
      <c r="A40" s="1"/>
      <c r="B40" s="4" t="s">
        <v>59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33</v>
      </c>
      <c r="H40" s="35" t="s">
        <v>33</v>
      </c>
      <c r="I40" s="1"/>
      <c r="J40" s="1" t="s">
        <v>60</v>
      </c>
    </row>
    <row r="41" ht="15" customHeight="1">
      <c r="A41" s="1"/>
      <c r="B41" s="4" t="s">
        <v>61</v>
      </c>
      <c r="C41" s="36" t="s">
        <v>33</v>
      </c>
      <c r="D41" s="36" t="s">
        <v>33</v>
      </c>
      <c r="E41" s="36" t="s">
        <v>33</v>
      </c>
      <c r="F41" s="36" t="s">
        <v>33</v>
      </c>
      <c r="G41" s="36" t="s">
        <v>33</v>
      </c>
      <c r="H41" s="35" t="s">
        <v>33</v>
      </c>
      <c r="I41" s="1"/>
      <c r="J41" s="1"/>
    </row>
    <row r="42" ht="15" customHeight="1">
      <c r="A42" s="1"/>
      <c r="B42" s="4" t="s">
        <v>62</v>
      </c>
      <c r="C42" s="36" t="s">
        <v>33</v>
      </c>
      <c r="D42" s="36" t="s">
        <v>33</v>
      </c>
      <c r="E42" s="36" t="s">
        <v>33</v>
      </c>
      <c r="F42" s="36" t="s">
        <v>33</v>
      </c>
      <c r="G42" s="36" t="s">
        <v>33</v>
      </c>
      <c r="H42" s="35" t="s">
        <v>33</v>
      </c>
      <c r="I42" s="1"/>
      <c r="J42" s="1"/>
    </row>
    <row r="43" ht="15" customHeight="1">
      <c r="A43" s="1"/>
      <c r="B43" s="4" t="s">
        <v>63</v>
      </c>
      <c r="C43" s="36">
        <f t="shared" si="3"/>
        <v>0.05833092694195785</v>
      </c>
      <c r="D43" s="36">
        <f t="shared" si="3"/>
        <v>0.04646405610753934</v>
      </c>
      <c r="E43" s="36">
        <f t="shared" si="3"/>
        <v>0.08712241653418129</v>
      </c>
      <c r="F43" s="36">
        <f t="shared" si="3"/>
        <v>0.12708638360175706</v>
      </c>
      <c r="G43" s="36">
        <f t="shared" si="3"/>
        <v>0.059636196177757395</v>
      </c>
      <c r="H43" s="35">
        <f t="shared" si="3"/>
        <v>0.11601978187458295</v>
      </c>
      <c r="I43" s="1"/>
      <c r="J43" s="1"/>
    </row>
    <row r="44" ht="15" customHeight="1">
      <c r="A44" s="1"/>
      <c r="B44" s="1" t="s">
        <v>69</v>
      </c>
      <c r="C44" s="12">
        <f>'Segment - General Rentals'!C51+'Segment - Specialty'!C51</f>
        <v>333</v>
      </c>
      <c r="D44" s="12">
        <f>'Segment - General Rentals'!D51+'Segment - Specialty'!D51</f>
        <v>386</v>
      </c>
      <c r="E44" s="12">
        <f>'Segment - General Rentals'!E51+'Segment - Specialty'!E51</f>
        <v>350</v>
      </c>
      <c r="F44" s="12">
        <f>'Segment - General Rentals'!F51+'Segment - Specialty'!F51</f>
        <v>330</v>
      </c>
      <c r="G44" s="12">
        <f>'Segment - General Rentals'!G51+'Segment - Specialty'!G51</f>
        <v>1413</v>
      </c>
      <c r="H44" s="33">
        <f>'Segment - General Rentals'!H51+'Segment - Specialty'!H51</f>
        <v>357.75</v>
      </c>
      <c r="I44" s="1"/>
      <c r="J44" s="1"/>
    </row>
    <row r="45" ht="15" customHeight="1">
      <c r="A45" s="1"/>
      <c r="B45" s="4" t="s">
        <v>56</v>
      </c>
      <c r="C45" s="34">
        <f>C44/Inputs!C178-1</f>
        <v>0.03738317757009346</v>
      </c>
      <c r="D45" s="34">
        <f>D44/Inputs!D178-1</f>
        <v>-0.14601769911504425</v>
      </c>
      <c r="E45" s="34">
        <f>E44/Inputs!E178-1</f>
        <v>-0.07161803713527848</v>
      </c>
      <c r="F45" s="34">
        <f>F44/Inputs!F178-1</f>
        <v>0.04100946372239744</v>
      </c>
      <c r="G45" s="34">
        <f>G44/Inputs!G178-1</f>
        <v>-0.07100591715976334</v>
      </c>
      <c r="H45" s="35">
        <f t="shared" si="4"/>
        <v>0.07432432432432434</v>
      </c>
      <c r="I45" s="1"/>
      <c r="J45" s="1"/>
    </row>
    <row r="46" ht="15" customHeight="1">
      <c r="A46" s="1"/>
      <c r="B46" s="4" t="s">
        <v>57</v>
      </c>
      <c r="C46" s="34">
        <f>C44/Inputs!F178-1</f>
        <v>0.050473186119873725</v>
      </c>
      <c r="D46" s="36">
        <f t="shared" si="1"/>
        <v>0.15915915915915924</v>
      </c>
      <c r="E46" s="36">
        <f t="shared" si="1"/>
        <v>-0.09326424870466321</v>
      </c>
      <c r="F46" s="36">
        <f t="shared" si="1"/>
        <v>-0.05714285714285716</v>
      </c>
      <c r="G46" s="36"/>
      <c r="H46" s="35">
        <f t="shared" si="5"/>
        <v>0.084090909090909</v>
      </c>
      <c r="I46" s="1"/>
      <c r="J46" s="1"/>
    </row>
    <row r="47" ht="15" customHeight="1">
      <c r="A47" s="1"/>
      <c r="B47" s="4" t="s">
        <v>58</v>
      </c>
      <c r="C47" s="36">
        <f t="shared" si="10" ref="C47:H47">C44/C27</f>
        <v>0.0787420193899267</v>
      </c>
      <c r="D47" s="36">
        <f t="shared" si="10"/>
        <v>0.09173003802281368</v>
      </c>
      <c r="E47" s="36">
        <f t="shared" si="10"/>
        <v>0.08782936010037641</v>
      </c>
      <c r="F47" s="36">
        <f t="shared" si="10"/>
        <v>0.07482993197278912</v>
      </c>
      <c r="G47" s="36">
        <f t="shared" si="10"/>
        <v>0.08776942667246412</v>
      </c>
      <c r="H47" s="35">
        <f t="shared" si="10"/>
        <v>0.07613172116883814</v>
      </c>
      <c r="I47" s="1"/>
      <c r="J47" s="1"/>
    </row>
    <row r="48" ht="15" customHeight="1">
      <c r="A48" s="1"/>
      <c r="B48" s="4" t="s">
        <v>59</v>
      </c>
      <c r="C48" s="36" t="s">
        <v>33</v>
      </c>
      <c r="D48" s="36" t="s">
        <v>33</v>
      </c>
      <c r="E48" s="36" t="s">
        <v>33</v>
      </c>
      <c r="F48" s="36" t="s">
        <v>33</v>
      </c>
      <c r="G48" s="36" t="s">
        <v>33</v>
      </c>
      <c r="H48" s="35" t="s">
        <v>33</v>
      </c>
      <c r="I48" s="1"/>
      <c r="J48" s="1" t="s">
        <v>60</v>
      </c>
    </row>
    <row r="49" ht="15" customHeight="1">
      <c r="A49" s="1"/>
      <c r="B49" s="4" t="s">
        <v>61</v>
      </c>
      <c r="C49" s="36" t="s">
        <v>33</v>
      </c>
      <c r="D49" s="36" t="s">
        <v>33</v>
      </c>
      <c r="E49" s="36" t="s">
        <v>33</v>
      </c>
      <c r="F49" s="36" t="s">
        <v>33</v>
      </c>
      <c r="G49" s="36" t="s">
        <v>33</v>
      </c>
      <c r="H49" s="35" t="s">
        <v>33</v>
      </c>
      <c r="I49" s="1"/>
      <c r="J49" s="1"/>
    </row>
    <row r="50" ht="15" customHeight="1">
      <c r="A50" s="1"/>
      <c r="B50" s="4" t="s">
        <v>62</v>
      </c>
      <c r="C50" s="36" t="s">
        <v>33</v>
      </c>
      <c r="D50" s="36" t="s">
        <v>33</v>
      </c>
      <c r="E50" s="36" t="s">
        <v>33</v>
      </c>
      <c r="F50" s="36" t="s">
        <v>33</v>
      </c>
      <c r="G50" s="36" t="s">
        <v>33</v>
      </c>
      <c r="H50" s="35" t="s">
        <v>33</v>
      </c>
      <c r="I50" s="1"/>
      <c r="J50" s="1"/>
    </row>
    <row r="51" ht="15" customHeight="1">
      <c r="A51" s="1"/>
      <c r="B51" s="4" t="s">
        <v>63</v>
      </c>
      <c r="C51" s="36">
        <f t="shared" si="3"/>
        <v>0.03738317757009346</v>
      </c>
      <c r="D51" s="36">
        <f t="shared" si="3"/>
        <v>-0.14601769911504425</v>
      </c>
      <c r="E51" s="36">
        <f t="shared" si="3"/>
        <v>-0.07161803713527848</v>
      </c>
      <c r="F51" s="36">
        <f t="shared" si="3"/>
        <v>0.04100946372239744</v>
      </c>
      <c r="G51" s="36">
        <f t="shared" si="3"/>
        <v>-0.07100591715976334</v>
      </c>
      <c r="H51" s="35">
        <f t="shared" si="3"/>
        <v>0.07432432432432434</v>
      </c>
      <c r="I51" s="1"/>
      <c r="J51" s="1"/>
    </row>
    <row r="52" ht="15" customHeight="1">
      <c r="A52" s="1"/>
      <c r="B52" s="1" t="s">
        <v>70</v>
      </c>
      <c r="C52" s="12">
        <f>'Segment - General Rentals'!C60+'Segment - Specialty'!C60</f>
        <v>95</v>
      </c>
      <c r="D52" s="12">
        <f>'Segment - General Rentals'!D60+'Segment - Specialty'!D60</f>
        <v>108</v>
      </c>
      <c r="E52" s="12">
        <f>'Segment - General Rentals'!E60+'Segment - Specialty'!E60</f>
        <v>84</v>
      </c>
      <c r="F52" s="12">
        <f>'Segment - General Rentals'!F60+'Segment - Specialty'!F60</f>
        <v>86</v>
      </c>
      <c r="G52" s="12">
        <f>'Segment - General Rentals'!G60+'Segment - Specialty'!G60</f>
        <v>348</v>
      </c>
      <c r="H52" s="33">
        <f>'Segment - General Rentals'!H60+'Segment - Specialty'!H60</f>
        <v>105</v>
      </c>
      <c r="I52" s="1"/>
      <c r="J52" s="1"/>
    </row>
    <row r="53" ht="15" customHeight="1">
      <c r="A53" s="1"/>
      <c r="B53" s="4" t="s">
        <v>56</v>
      </c>
      <c r="C53" s="34">
        <f>C52/Inputs!C179-1</f>
        <v>0.23376623376623384</v>
      </c>
      <c r="D53" s="34">
        <f>D52/Inputs!D179-1</f>
        <v>0.125</v>
      </c>
      <c r="E53" s="34">
        <f>E52/Inputs!E179-1</f>
        <v>0.19999999999999996</v>
      </c>
      <c r="F53" s="34">
        <f>F52/Inputs!F179-1</f>
        <v>0.14666666666666672</v>
      </c>
      <c r="G53" s="34">
        <f>G52/Inputs!G179-1</f>
        <v>0.23404255319148937</v>
      </c>
      <c r="H53" s="35">
        <f t="shared" si="4"/>
        <v>0.10526315789473695</v>
      </c>
      <c r="I53" s="1"/>
      <c r="J53" s="1"/>
    </row>
    <row r="54" ht="15" customHeight="1">
      <c r="A54" s="1"/>
      <c r="B54" s="4" t="s">
        <v>57</v>
      </c>
      <c r="C54" s="34">
        <f>C52/Inputs!F179-1</f>
        <v>0.2666666666666666</v>
      </c>
      <c r="D54" s="36">
        <f t="shared" si="1"/>
        <v>0.13684210526315788</v>
      </c>
      <c r="E54" s="36">
        <f t="shared" si="1"/>
        <v>-0.2222222222222222</v>
      </c>
      <c r="F54" s="36">
        <f t="shared" si="1"/>
        <v>0.023809523809523725</v>
      </c>
      <c r="G54" s="36"/>
      <c r="H54" s="35">
        <f t="shared" si="5"/>
        <v>0.22093023255813948</v>
      </c>
      <c r="I54" s="1"/>
      <c r="J54" s="1"/>
    </row>
    <row r="55" ht="15" customHeight="1">
      <c r="A55" s="1"/>
      <c r="B55" s="4" t="s">
        <v>58</v>
      </c>
      <c r="C55" s="36">
        <f t="shared" si="11" ref="C55:H55">C52/C27</f>
        <v>0.022463939465594704</v>
      </c>
      <c r="D55" s="36">
        <f t="shared" si="11"/>
        <v>0.025665399239543727</v>
      </c>
      <c r="E55" s="36">
        <f t="shared" si="11"/>
        <v>0.02107904642409034</v>
      </c>
      <c r="F55" s="36">
        <f t="shared" si="11"/>
        <v>0.019501133786848073</v>
      </c>
      <c r="G55" s="36">
        <f t="shared" si="11"/>
        <v>0.02161624945648798</v>
      </c>
      <c r="H55" s="35">
        <f t="shared" si="11"/>
        <v>0.02234473996569673</v>
      </c>
      <c r="I55" s="1"/>
      <c r="J55" s="1"/>
    </row>
    <row r="56" ht="15" customHeight="1">
      <c r="A56" s="1"/>
      <c r="B56" s="4" t="s">
        <v>59</v>
      </c>
      <c r="C56" s="36" t="s">
        <v>33</v>
      </c>
      <c r="D56" s="36" t="s">
        <v>33</v>
      </c>
      <c r="E56" s="36" t="s">
        <v>33</v>
      </c>
      <c r="F56" s="36" t="s">
        <v>33</v>
      </c>
      <c r="G56" s="36" t="s">
        <v>33</v>
      </c>
      <c r="H56" s="35" t="s">
        <v>33</v>
      </c>
      <c r="I56" s="1"/>
      <c r="J56" s="1" t="s">
        <v>60</v>
      </c>
    </row>
    <row r="57" ht="15" customHeight="1">
      <c r="A57" s="1"/>
      <c r="B57" s="4" t="s">
        <v>61</v>
      </c>
      <c r="C57" s="36" t="s">
        <v>33</v>
      </c>
      <c r="D57" s="36" t="s">
        <v>33</v>
      </c>
      <c r="E57" s="36" t="s">
        <v>33</v>
      </c>
      <c r="F57" s="36" t="s">
        <v>33</v>
      </c>
      <c r="G57" s="36" t="s">
        <v>33</v>
      </c>
      <c r="H57" s="35" t="s">
        <v>33</v>
      </c>
      <c r="I57" s="1"/>
      <c r="J57" s="1"/>
    </row>
    <row r="58" ht="15" customHeight="1">
      <c r="A58" s="1"/>
      <c r="B58" s="4" t="s">
        <v>62</v>
      </c>
      <c r="C58" s="36" t="s">
        <v>33</v>
      </c>
      <c r="D58" s="36" t="s">
        <v>33</v>
      </c>
      <c r="E58" s="36" t="s">
        <v>33</v>
      </c>
      <c r="F58" s="36" t="s">
        <v>33</v>
      </c>
      <c r="G58" s="36" t="s">
        <v>33</v>
      </c>
      <c r="H58" s="35" t="s">
        <v>33</v>
      </c>
      <c r="I58" s="1"/>
      <c r="J58" s="1"/>
    </row>
    <row r="59" ht="15" customHeight="1">
      <c r="A59" s="1"/>
      <c r="B59" s="4" t="s">
        <v>63</v>
      </c>
      <c r="C59" s="36">
        <f t="shared" si="3"/>
        <v>0.23376623376623384</v>
      </c>
      <c r="D59" s="36">
        <f t="shared" si="3"/>
        <v>0.125</v>
      </c>
      <c r="E59" s="36">
        <f t="shared" si="3"/>
        <v>0.19999999999999996</v>
      </c>
      <c r="F59" s="36">
        <f t="shared" si="3"/>
        <v>0.14666666666666672</v>
      </c>
      <c r="G59" s="36">
        <f t="shared" si="3"/>
        <v>0.23404255319148937</v>
      </c>
      <c r="H59" s="35">
        <f t="shared" si="3"/>
        <v>0.10526315789473695</v>
      </c>
      <c r="I59" s="1"/>
      <c r="J59" s="1"/>
    </row>
    <row r="60" ht="15" customHeight="1">
      <c r="A60" s="1"/>
      <c r="B60" s="1" t="s">
        <v>71</v>
      </c>
      <c r="C60" s="12">
        <f>'Segment - General Rentals'!C67+'Segment - Specialty'!C67</f>
        <v>43</v>
      </c>
      <c r="D60" s="12">
        <f>'Segment - General Rentals'!D67+'Segment - Specialty'!D67</f>
        <v>43</v>
      </c>
      <c r="E60" s="12">
        <f>'Segment - General Rentals'!E67+'Segment - Specialty'!E67</f>
        <v>40</v>
      </c>
      <c r="F60" s="12">
        <f>'Segment - General Rentals'!F67+'Segment - Specialty'!F67</f>
        <v>44</v>
      </c>
      <c r="G60" s="12">
        <f>'Segment - General Rentals'!G67+'Segment - Specialty'!G67</f>
        <v>163</v>
      </c>
      <c r="H60" s="33">
        <f>'Segment - General Rentals'!H67+'Segment - Specialty'!H67</f>
        <v>45.84</v>
      </c>
      <c r="I60" s="1"/>
      <c r="J60" s="1"/>
    </row>
    <row r="61" ht="15" customHeight="1">
      <c r="A61" s="1"/>
      <c r="B61" s="4" t="s">
        <v>56</v>
      </c>
      <c r="C61" s="34">
        <f>C60/Inputs!C180-1</f>
        <v>0.13157894736842102</v>
      </c>
      <c r="D61" s="34">
        <f>D60/Inputs!D180-1</f>
        <v>0.10256410256410264</v>
      </c>
      <c r="E61" s="34">
        <f>E60/Inputs!E180-1</f>
        <v>0.11111111111111116</v>
      </c>
      <c r="F61" s="34">
        <f>F60/Inputs!F180-1</f>
        <v>0.07317073170731714</v>
      </c>
      <c r="G61" s="34">
        <f>G60/Inputs!G180-1</f>
        <v>0.05161290322580636</v>
      </c>
      <c r="H61" s="35">
        <f t="shared" si="4"/>
        <v>0.06604651162790698</v>
      </c>
      <c r="I61" s="1"/>
      <c r="J61" s="1"/>
    </row>
    <row r="62" ht="15" customHeight="1">
      <c r="A62" s="1"/>
      <c r="B62" s="4" t="s">
        <v>57</v>
      </c>
      <c r="C62" s="34">
        <f>C60/Inputs!F180-1</f>
        <v>0.04878048780487809</v>
      </c>
      <c r="D62" s="36">
        <f t="shared" si="1"/>
        <v>0</v>
      </c>
      <c r="E62" s="36">
        <f t="shared" si="1"/>
        <v>-0.06976744186046513</v>
      </c>
      <c r="F62" s="36">
        <f t="shared" si="1"/>
        <v>0.10000000000000009</v>
      </c>
      <c r="G62" s="36"/>
      <c r="H62" s="35">
        <f t="shared" si="5"/>
        <v>0.041818181818181976</v>
      </c>
      <c r="I62" s="1"/>
      <c r="J62" s="1"/>
    </row>
    <row r="63" ht="15" customHeight="1">
      <c r="A63" s="1"/>
      <c r="B63" s="4" t="s">
        <v>58</v>
      </c>
      <c r="C63" s="36">
        <f t="shared" si="12" ref="C63:H63">C60/C27</f>
        <v>0.010167888389690235</v>
      </c>
      <c r="D63" s="36">
        <f t="shared" si="12"/>
        <v>0.010218631178707225</v>
      </c>
      <c r="E63" s="36">
        <f t="shared" si="12"/>
        <v>0.010037641154328732</v>
      </c>
      <c r="F63" s="36">
        <f t="shared" si="12"/>
        <v>0.009977324263038548</v>
      </c>
      <c r="G63" s="36">
        <f t="shared" si="12"/>
        <v>0.010124852475309025</v>
      </c>
      <c r="H63" s="35">
        <f t="shared" si="12"/>
        <v>0.009755075047881315</v>
      </c>
      <c r="I63" s="1"/>
      <c r="J63" s="1"/>
    </row>
    <row r="64" ht="15" customHeight="1">
      <c r="A64" s="1"/>
      <c r="B64" s="4" t="s">
        <v>59</v>
      </c>
      <c r="C64" s="36" t="s">
        <v>33</v>
      </c>
      <c r="D64" s="36" t="s">
        <v>33</v>
      </c>
      <c r="E64" s="36" t="s">
        <v>33</v>
      </c>
      <c r="F64" s="36" t="s">
        <v>33</v>
      </c>
      <c r="G64" s="36" t="s">
        <v>33</v>
      </c>
      <c r="H64" s="35" t="s">
        <v>33</v>
      </c>
      <c r="I64" s="1"/>
      <c r="J64" s="1" t="s">
        <v>60</v>
      </c>
    </row>
    <row r="65" ht="15" customHeight="1">
      <c r="A65" s="1"/>
      <c r="B65" s="4" t="s">
        <v>61</v>
      </c>
      <c r="C65" s="36" t="s">
        <v>33</v>
      </c>
      <c r="D65" s="36" t="s">
        <v>33</v>
      </c>
      <c r="E65" s="36" t="s">
        <v>33</v>
      </c>
      <c r="F65" s="36" t="s">
        <v>33</v>
      </c>
      <c r="G65" s="36" t="s">
        <v>33</v>
      </c>
      <c r="H65" s="35" t="s">
        <v>33</v>
      </c>
      <c r="I65" s="1"/>
      <c r="J65" s="1"/>
    </row>
    <row r="66" ht="15" customHeight="1">
      <c r="A66" s="1"/>
      <c r="B66" s="4" t="s">
        <v>62</v>
      </c>
      <c r="C66" s="36" t="s">
        <v>33</v>
      </c>
      <c r="D66" s="36" t="s">
        <v>33</v>
      </c>
      <c r="E66" s="36" t="s">
        <v>33</v>
      </c>
      <c r="F66" s="36" t="s">
        <v>33</v>
      </c>
      <c r="G66" s="36" t="s">
        <v>33</v>
      </c>
      <c r="H66" s="35" t="s">
        <v>33</v>
      </c>
      <c r="I66" s="1"/>
      <c r="J66" s="1"/>
    </row>
    <row r="67" ht="15" customHeight="1">
      <c r="A67" s="1"/>
      <c r="B67" s="4" t="s">
        <v>63</v>
      </c>
      <c r="C67" s="36">
        <f t="shared" si="3"/>
        <v>0.13157894736842102</v>
      </c>
      <c r="D67" s="36">
        <f t="shared" si="3"/>
        <v>0.10256410256410264</v>
      </c>
      <c r="E67" s="36">
        <f t="shared" si="3"/>
        <v>0.11111111111111116</v>
      </c>
      <c r="F67" s="36">
        <f t="shared" si="3"/>
        <v>0.07317073170731714</v>
      </c>
      <c r="G67" s="36">
        <f t="shared" si="3"/>
        <v>0.05161290322580636</v>
      </c>
      <c r="H67" s="35">
        <f t="shared" si="3"/>
        <v>0.06604651162790698</v>
      </c>
      <c r="I67" s="1"/>
      <c r="J67" s="1"/>
    </row>
    <row r="68" ht="15" customHeight="1">
      <c r="A68" s="1"/>
      <c r="B68" s="1" t="s">
        <v>72</v>
      </c>
      <c r="C68" s="12">
        <f>'Segment - General Rentals'!C74+'Segment - Specialty'!C74</f>
        <v>93</v>
      </c>
      <c r="D68" s="12">
        <f>'Segment - General Rentals'!D74+'Segment - Specialty'!D74</f>
        <v>90</v>
      </c>
      <c r="E68" s="12">
        <f>'Segment - General Rentals'!E74+'Segment - Specialty'!E74</f>
        <v>92</v>
      </c>
      <c r="F68" s="12">
        <f>'Segment - General Rentals'!F74+'Segment - Specialty'!F74</f>
        <v>101</v>
      </c>
      <c r="G68" s="12">
        <f>'Segment - General Rentals'!G74+'Segment - Specialty'!G74</f>
        <v>369</v>
      </c>
      <c r="H68" s="33">
        <f>'Segment - General Rentals'!H74+'Segment - Specialty'!H74</f>
        <v>100.29</v>
      </c>
      <c r="I68" s="1"/>
      <c r="J68" s="1"/>
    </row>
    <row r="69" ht="15" customHeight="1">
      <c r="A69" s="1"/>
      <c r="B69" s="4" t="s">
        <v>56</v>
      </c>
      <c r="C69" s="34">
        <f>C68/Inputs!C181-1</f>
        <v>0</v>
      </c>
      <c r="D69" s="34">
        <f>D68/Inputs!D181-1</f>
        <v>0.04651162790697683</v>
      </c>
      <c r="E69" s="34">
        <f>E68/Inputs!E181-1</f>
        <v>0.01098901098901095</v>
      </c>
      <c r="F69" s="34">
        <f>F68/Inputs!F181-1</f>
        <v>0.06315789473684208</v>
      </c>
      <c r="G69" s="34">
        <f>G68/Inputs!G181-1</f>
        <v>0.030726256983240274</v>
      </c>
      <c r="H69" s="35">
        <f t="shared" si="4"/>
        <v>0.07838709677419353</v>
      </c>
      <c r="I69" s="1"/>
      <c r="J69" s="1"/>
    </row>
    <row r="70" ht="15" customHeight="1">
      <c r="A70" s="1"/>
      <c r="B70" s="4" t="s">
        <v>57</v>
      </c>
      <c r="C70" s="34">
        <f>C68/Inputs!F181-1</f>
        <v>-0.021052631578947323</v>
      </c>
      <c r="D70" s="36">
        <f t="shared" si="1"/>
        <v>-0.032258064516129004</v>
      </c>
      <c r="E70" s="36">
        <f t="shared" si="1"/>
        <v>0.022222222222222143</v>
      </c>
      <c r="F70" s="36">
        <f t="shared" si="1"/>
        <v>0.09782608695652173</v>
      </c>
      <c r="G70" s="36"/>
      <c r="H70" s="35">
        <f t="shared" si="5"/>
        <v>-0.007029702970296925</v>
      </c>
      <c r="I70" s="1"/>
      <c r="J70" s="1"/>
    </row>
    <row r="71" ht="15" customHeight="1">
      <c r="A71" s="1"/>
      <c r="B71" s="4" t="s">
        <v>58</v>
      </c>
      <c r="C71" s="36">
        <f t="shared" si="13" ref="C71:H71">C68/C27</f>
        <v>0.02199101442421376</v>
      </c>
      <c r="D71" s="36">
        <f t="shared" si="13"/>
        <v>0.02138783269961977</v>
      </c>
      <c r="E71" s="36">
        <f t="shared" si="13"/>
        <v>0.023086574654956084</v>
      </c>
      <c r="F71" s="36">
        <f t="shared" si="13"/>
        <v>0.02290249433106576</v>
      </c>
      <c r="G71" s="36">
        <f t="shared" si="13"/>
        <v>0.022920678303000187</v>
      </c>
      <c r="H71" s="35">
        <f t="shared" si="13"/>
        <v>0.02134241877294976</v>
      </c>
      <c r="I71" s="1"/>
      <c r="J71" s="1"/>
    </row>
    <row r="72" ht="15" customHeight="1">
      <c r="A72" s="1"/>
      <c r="B72" s="4" t="s">
        <v>59</v>
      </c>
      <c r="C72" s="36" t="s">
        <v>33</v>
      </c>
      <c r="D72" s="36" t="s">
        <v>33</v>
      </c>
      <c r="E72" s="36" t="s">
        <v>33</v>
      </c>
      <c r="F72" s="36" t="s">
        <v>33</v>
      </c>
      <c r="G72" s="36" t="s">
        <v>33</v>
      </c>
      <c r="H72" s="35" t="s">
        <v>33</v>
      </c>
      <c r="I72" s="1"/>
      <c r="J72" s="1" t="s">
        <v>60</v>
      </c>
    </row>
    <row r="73" ht="15" customHeight="1">
      <c r="A73" s="1"/>
      <c r="B73" s="4" t="s">
        <v>61</v>
      </c>
      <c r="C73" s="36" t="s">
        <v>33</v>
      </c>
      <c r="D73" s="36" t="s">
        <v>33</v>
      </c>
      <c r="E73" s="36" t="s">
        <v>33</v>
      </c>
      <c r="F73" s="36" t="s">
        <v>33</v>
      </c>
      <c r="G73" s="36" t="s">
        <v>33</v>
      </c>
      <c r="H73" s="35" t="s">
        <v>33</v>
      </c>
      <c r="I73" s="1"/>
      <c r="J73" s="1"/>
    </row>
    <row r="74" ht="15" customHeight="1">
      <c r="A74" s="1"/>
      <c r="B74" s="4" t="s">
        <v>62</v>
      </c>
      <c r="C74" s="36" t="s">
        <v>33</v>
      </c>
      <c r="D74" s="36" t="s">
        <v>33</v>
      </c>
      <c r="E74" s="36" t="s">
        <v>33</v>
      </c>
      <c r="F74" s="36" t="s">
        <v>33</v>
      </c>
      <c r="G74" s="36" t="s">
        <v>33</v>
      </c>
      <c r="H74" s="35" t="s">
        <v>33</v>
      </c>
      <c r="I74" s="1"/>
      <c r="J74" s="1"/>
    </row>
    <row r="75" ht="15" customHeight="1">
      <c r="A75" s="1"/>
      <c r="B75" s="4" t="s">
        <v>63</v>
      </c>
      <c r="C75" s="36">
        <f t="shared" si="3"/>
        <v>0</v>
      </c>
      <c r="D75" s="36">
        <f t="shared" si="3"/>
        <v>0.04651162790697683</v>
      </c>
      <c r="E75" s="36">
        <f t="shared" si="3"/>
        <v>0.01098901098901095</v>
      </c>
      <c r="F75" s="36">
        <f t="shared" si="3"/>
        <v>0.06315789473684208</v>
      </c>
      <c r="G75" s="36">
        <f t="shared" si="3"/>
        <v>0.030726256983240274</v>
      </c>
      <c r="H75" s="35">
        <f t="shared" si="3"/>
        <v>0.07838709677419353</v>
      </c>
      <c r="I75" s="1"/>
      <c r="J75" s="1"/>
    </row>
    <row r="76" ht="15" customHeight="1">
      <c r="A76" s="1"/>
      <c r="B76" s="3" t="s">
        <v>73</v>
      </c>
      <c r="C76" s="37">
        <f t="shared" si="14" ref="C76:H76">C36+C44+C52+C60+C68</f>
        <v>4229</v>
      </c>
      <c r="D76" s="37">
        <f t="shared" si="14"/>
        <v>4208</v>
      </c>
      <c r="E76" s="37">
        <f t="shared" si="14"/>
        <v>3985</v>
      </c>
      <c r="F76" s="37">
        <f t="shared" si="14"/>
        <v>4410</v>
      </c>
      <c r="G76" s="37">
        <f t="shared" si="14"/>
        <v>16099</v>
      </c>
      <c r="H76" s="38">
        <f t="shared" si="14"/>
        <v>4699.092500570347</v>
      </c>
      <c r="I76" s="1"/>
      <c r="J76" s="1"/>
    </row>
    <row r="77" ht="15" customHeight="1">
      <c r="A77" s="1"/>
      <c r="B77" s="1" t="s">
        <v>74</v>
      </c>
      <c r="C77" s="27" t="b">
        <f t="shared" si="15" ref="C77:H77">ABS(C76-C27)&lt;0.001</f>
        <v>1</v>
      </c>
      <c r="D77" s="27" t="b">
        <f t="shared" si="15"/>
        <v>1</v>
      </c>
      <c r="E77" s="27" t="b">
        <f t="shared" si="15"/>
        <v>1</v>
      </c>
      <c r="F77" s="27" t="b">
        <f t="shared" si="15"/>
        <v>1</v>
      </c>
      <c r="G77" s="27" t="b">
        <f t="shared" si="15"/>
        <v>1</v>
      </c>
      <c r="H77" s="39" t="b">
        <f t="shared" si="15"/>
        <v>1</v>
      </c>
      <c r="I77" s="1"/>
      <c r="J77" s="1"/>
    </row>
    <row r="78" ht="15" customHeight="1">
      <c r="A78" s="1"/>
      <c r="B78" s="1" t="s">
        <v>75</v>
      </c>
      <c r="C78" s="26" t="b">
        <f>ABS(C27-'Income Statement'!C16)&lt;0.001</f>
        <v>1</v>
      </c>
      <c r="D78" s="26" t="b">
        <f>ABS(D27-'Income Statement'!D16)&lt;0.001</f>
        <v>1</v>
      </c>
      <c r="E78" s="26" t="b">
        <f>ABS(E27-'Income Statement'!E16)&lt;0.001</f>
        <v>1</v>
      </c>
      <c r="F78" s="26" t="b">
        <f>ABS(F27-'Income Statement'!F16)&lt;0.001</f>
        <v>1</v>
      </c>
      <c r="G78" s="26" t="b">
        <f>ABS(G27-'Income Statement'!G16)&lt;0.001</f>
        <v>1</v>
      </c>
      <c r="H78" s="40" t="b">
        <f>ABS(H27-'Income Statement'!H16)&lt;0.001</f>
        <v>1</v>
      </c>
      <c r="I78" s="1"/>
      <c r="J78" s="1"/>
    </row>
    <row r="79" ht="15" customHeight="1">
      <c r="A79" s="1"/>
      <c r="B79" s="1"/>
      <c r="C79" s="1"/>
      <c r="D79" s="1"/>
      <c r="E79" s="1"/>
      <c r="F79" s="1"/>
      <c r="G79" s="1"/>
      <c r="H79" s="32"/>
      <c r="I79" s="1"/>
      <c r="J79" s="1"/>
    </row>
    <row r="80" ht="15" customHeight="1">
      <c r="A80" s="1"/>
      <c r="B80" s="31" t="s">
        <v>76</v>
      </c>
      <c r="C80" s="1"/>
      <c r="D80" s="1"/>
      <c r="E80" s="1"/>
      <c r="F80" s="1"/>
      <c r="G80" s="1"/>
      <c r="H80" s="32"/>
      <c r="I80" s="1"/>
      <c r="J80" s="1"/>
    </row>
    <row r="81" ht="15" customHeight="1">
      <c r="A81" s="1"/>
      <c r="B81" s="1" t="s">
        <v>77</v>
      </c>
      <c r="C81" s="12">
        <f>Inputs!F239</f>
        <v>22090</v>
      </c>
      <c r="D81" s="15">
        <f t="shared" si="16" ref="D81:F81">C93</f>
        <v>22820</v>
      </c>
      <c r="E81" s="15">
        <f t="shared" si="16"/>
        <v>22480</v>
      </c>
      <c r="F81" s="15">
        <f t="shared" si="16"/>
        <v>22590</v>
      </c>
      <c r="G81" s="15" t="s">
        <v>33</v>
      </c>
      <c r="H81" s="41">
        <f>F93</f>
        <v>23750</v>
      </c>
      <c r="I81" s="1"/>
      <c r="J81" s="1"/>
    </row>
    <row r="82" ht="15" customHeight="1">
      <c r="A82" s="1"/>
      <c r="B82" s="1" t="s">
        <v>78</v>
      </c>
      <c r="C82" s="15" t="s">
        <v>33</v>
      </c>
      <c r="D82" s="15" t="s">
        <v>33</v>
      </c>
      <c r="E82" s="15" t="s">
        <v>33</v>
      </c>
      <c r="F82" s="15" t="s">
        <v>33</v>
      </c>
      <c r="G82" s="15" t="s">
        <v>33</v>
      </c>
      <c r="H82" s="41">
        <f t="shared" si="18" ref="H82:H178">H81-C81</f>
        <v>1660</v>
      </c>
      <c r="I82" s="1"/>
      <c r="J82" s="1"/>
    </row>
    <row r="83" ht="15" customHeight="1">
      <c r="A83" s="1"/>
      <c r="B83" s="1" t="s">
        <v>79</v>
      </c>
      <c r="C83" s="15" t="s">
        <v>33</v>
      </c>
      <c r="D83" s="15">
        <f t="shared" si="17" ref="D83:F179">D81-C81</f>
        <v>730</v>
      </c>
      <c r="E83" s="15">
        <f t="shared" si="17"/>
        <v>-340</v>
      </c>
      <c r="F83" s="15">
        <f t="shared" si="17"/>
        <v>110</v>
      </c>
      <c r="G83" s="15"/>
      <c r="H83" s="41">
        <f t="shared" si="19" ref="H83:H179">H81-F81</f>
        <v>1160</v>
      </c>
      <c r="I83" s="1"/>
      <c r="J83" s="1" t="s">
        <v>80</v>
      </c>
    </row>
    <row r="84" ht="15" customHeight="1">
      <c r="A84" s="1"/>
      <c r="B84" s="1" t="s">
        <v>81</v>
      </c>
      <c r="C84" s="42">
        <v>1490</v>
      </c>
      <c r="D84" s="12">
        <f>G84-Inputs!C135</f>
        <v>429</v>
      </c>
      <c r="E84" s="42">
        <v>874</v>
      </c>
      <c r="F84" s="12">
        <f>Inputs!C136-E84</f>
        <v>2057</v>
      </c>
      <c r="G84" s="42">
        <v>4189</v>
      </c>
      <c r="H84" s="43">
        <v>1590</v>
      </c>
      <c r="I84" s="1"/>
      <c r="J84" s="1" t="s">
        <v>82</v>
      </c>
    </row>
    <row r="85" ht="15" customHeight="1">
      <c r="A85" s="1"/>
      <c r="B85" s="1" t="s">
        <v>78</v>
      </c>
      <c r="C85" s="15" t="s">
        <v>33</v>
      </c>
      <c r="D85" s="15" t="s">
        <v>33</v>
      </c>
      <c r="E85" s="15" t="s">
        <v>33</v>
      </c>
      <c r="F85" s="15" t="s">
        <v>33</v>
      </c>
      <c r="G85" s="15" t="s">
        <v>33</v>
      </c>
      <c r="H85" s="41">
        <f t="shared" si="18"/>
        <v>100</v>
      </c>
      <c r="I85" s="1"/>
      <c r="J85" s="1"/>
    </row>
    <row r="86" ht="15" customHeight="1">
      <c r="A86" s="1"/>
      <c r="B86" s="1" t="s">
        <v>79</v>
      </c>
      <c r="C86" s="15" t="s">
        <v>33</v>
      </c>
      <c r="D86" s="15">
        <f t="shared" si="17"/>
        <v>-1061</v>
      </c>
      <c r="E86" s="15">
        <f t="shared" si="17"/>
        <v>445</v>
      </c>
      <c r="F86" s="15">
        <f t="shared" si="17"/>
        <v>1183</v>
      </c>
      <c r="G86" s="15"/>
      <c r="H86" s="41">
        <f t="shared" si="19"/>
        <v>-467</v>
      </c>
      <c r="I86" s="1"/>
      <c r="J86" s="1"/>
    </row>
    <row r="87" ht="15" customHeight="1">
      <c r="A87" s="1"/>
      <c r="B87" s="1" t="s">
        <v>83</v>
      </c>
      <c r="C87" s="42">
        <v>619</v>
      </c>
      <c r="D87" s="15">
        <f>D44/D142</f>
        <v>768.9243027888447</v>
      </c>
      <c r="E87" s="42">
        <v>680</v>
      </c>
      <c r="F87" s="42">
        <v>624</v>
      </c>
      <c r="G87" s="15" t="s">
        <v>33</v>
      </c>
      <c r="H87" s="43">
        <v>675</v>
      </c>
      <c r="I87" s="1"/>
      <c r="J87" s="1" t="s">
        <v>84</v>
      </c>
    </row>
    <row r="88" ht="15" customHeight="1">
      <c r="A88" s="1"/>
      <c r="B88" s="1" t="s">
        <v>78</v>
      </c>
      <c r="C88" s="15" t="s">
        <v>33</v>
      </c>
      <c r="D88" s="15" t="s">
        <v>33</v>
      </c>
      <c r="E88" s="15" t="s">
        <v>33</v>
      </c>
      <c r="F88" s="15" t="s">
        <v>33</v>
      </c>
      <c r="G88" s="15" t="s">
        <v>33</v>
      </c>
      <c r="H88" s="41">
        <f t="shared" si="18"/>
        <v>56</v>
      </c>
      <c r="I88" s="1"/>
      <c r="J88" s="1"/>
    </row>
    <row r="89" ht="15" customHeight="1">
      <c r="A89" s="1"/>
      <c r="B89" s="1" t="s">
        <v>79</v>
      </c>
      <c r="C89" s="15" t="s">
        <v>33</v>
      </c>
      <c r="D89" s="15">
        <f t="shared" si="17"/>
        <v>149.92430278884467</v>
      </c>
      <c r="E89" s="15">
        <f t="shared" si="17"/>
        <v>-88.92430278884467</v>
      </c>
      <c r="F89" s="15">
        <f t="shared" si="17"/>
        <v>-56</v>
      </c>
      <c r="G89" s="15"/>
      <c r="H89" s="41">
        <f t="shared" si="19"/>
        <v>51</v>
      </c>
      <c r="I89" s="1"/>
      <c r="J89" s="1"/>
    </row>
    <row r="90" ht="15" customHeight="1">
      <c r="A90" s="1"/>
      <c r="B90" s="1" t="s">
        <v>85</v>
      </c>
      <c r="C90" s="15">
        <f t="shared" si="20" ref="C90:F90">C93-C81-C84+C87</f>
        <v>-141</v>
      </c>
      <c r="D90" s="15">
        <f t="shared" si="20"/>
        <v>-0.07569721115532957</v>
      </c>
      <c r="E90" s="15">
        <f t="shared" si="20"/>
        <v>-84</v>
      </c>
      <c r="F90" s="15">
        <f t="shared" si="20"/>
        <v>-273</v>
      </c>
      <c r="G90" s="15" t="s">
        <v>33</v>
      </c>
      <c r="H90" s="43">
        <v>0</v>
      </c>
      <c r="I90" s="1"/>
      <c r="J90" s="1" t="s">
        <v>86</v>
      </c>
    </row>
    <row r="91" ht="15" customHeight="1">
      <c r="A91" s="1"/>
      <c r="B91" s="1" t="s">
        <v>78</v>
      </c>
      <c r="C91" s="15" t="s">
        <v>33</v>
      </c>
      <c r="D91" s="15" t="s">
        <v>33</v>
      </c>
      <c r="E91" s="15" t="s">
        <v>33</v>
      </c>
      <c r="F91" s="15" t="s">
        <v>33</v>
      </c>
      <c r="G91" s="15" t="s">
        <v>33</v>
      </c>
      <c r="H91" s="41">
        <f t="shared" si="18"/>
        <v>141</v>
      </c>
      <c r="I91" s="1"/>
      <c r="J91" s="1"/>
    </row>
    <row r="92" ht="15" customHeight="1">
      <c r="A92" s="1"/>
      <c r="B92" s="1" t="s">
        <v>79</v>
      </c>
      <c r="C92" s="15" t="s">
        <v>33</v>
      </c>
      <c r="D92" s="15">
        <f t="shared" si="17"/>
        <v>140.92430278884467</v>
      </c>
      <c r="E92" s="15">
        <f t="shared" si="17"/>
        <v>-83.92430278884467</v>
      </c>
      <c r="F92" s="15">
        <f t="shared" si="17"/>
        <v>-189</v>
      </c>
      <c r="G92" s="15"/>
      <c r="H92" s="41">
        <f t="shared" si="19"/>
        <v>273</v>
      </c>
      <c r="I92" s="1"/>
      <c r="J92" s="1"/>
    </row>
    <row r="93" ht="15" customHeight="1">
      <c r="A93" s="1"/>
      <c r="B93" s="3" t="s">
        <v>87</v>
      </c>
      <c r="C93" s="44">
        <v>22820</v>
      </c>
      <c r="D93" s="44">
        <v>22480</v>
      </c>
      <c r="E93" s="44">
        <v>22590</v>
      </c>
      <c r="F93" s="44">
        <v>23750</v>
      </c>
      <c r="G93" s="37">
        <f t="shared" si="36" ref="G93:G177">D93</f>
        <v>22480</v>
      </c>
      <c r="H93" s="38">
        <f>H81+H84-H87+H90</f>
        <v>24665</v>
      </c>
      <c r="I93" s="1"/>
      <c r="J93" s="1"/>
    </row>
    <row r="94" ht="15" customHeight="1">
      <c r="A94" s="1"/>
      <c r="B94" s="1" t="s">
        <v>78</v>
      </c>
      <c r="C94" s="15" t="s">
        <v>33</v>
      </c>
      <c r="D94" s="15" t="s">
        <v>33</v>
      </c>
      <c r="E94" s="15" t="s">
        <v>33</v>
      </c>
      <c r="F94" s="15" t="s">
        <v>33</v>
      </c>
      <c r="G94" s="15" t="s">
        <v>33</v>
      </c>
      <c r="H94" s="41">
        <f t="shared" si="18"/>
        <v>1845</v>
      </c>
      <c r="I94" s="1"/>
      <c r="J94" s="1"/>
    </row>
    <row r="95" ht="15" customHeight="1">
      <c r="A95" s="1"/>
      <c r="B95" s="1" t="s">
        <v>79</v>
      </c>
      <c r="C95" s="12">
        <f>C93-Inputs!F239</f>
        <v>730</v>
      </c>
      <c r="D95" s="15">
        <f t="shared" si="17"/>
        <v>-340</v>
      </c>
      <c r="E95" s="15">
        <f t="shared" si="17"/>
        <v>110</v>
      </c>
      <c r="F95" s="15">
        <f t="shared" si="17"/>
        <v>1160</v>
      </c>
      <c r="G95" s="15"/>
      <c r="H95" s="41">
        <f t="shared" si="19"/>
        <v>915</v>
      </c>
      <c r="I95" s="1"/>
      <c r="J95" s="1"/>
    </row>
    <row r="96" ht="15" customHeight="1">
      <c r="A96" s="1"/>
      <c r="B96" s="1" t="s">
        <v>88</v>
      </c>
      <c r="C96" s="15">
        <f t="shared" si="21" ref="C96:H96">(C81+C93)/2</f>
        <v>22455</v>
      </c>
      <c r="D96" s="15">
        <f t="shared" si="21"/>
        <v>22650</v>
      </c>
      <c r="E96" s="15">
        <f t="shared" si="21"/>
        <v>22535</v>
      </c>
      <c r="F96" s="15">
        <f t="shared" si="21"/>
        <v>23170</v>
      </c>
      <c r="G96" s="15" t="s">
        <v>33</v>
      </c>
      <c r="H96" s="41">
        <f t="shared" si="21"/>
        <v>24207.5</v>
      </c>
      <c r="I96" s="1"/>
      <c r="J96" s="1"/>
    </row>
    <row r="97" ht="15" customHeight="1">
      <c r="A97" s="1"/>
      <c r="B97" s="1" t="s">
        <v>78</v>
      </c>
      <c r="C97" s="15" t="s">
        <v>33</v>
      </c>
      <c r="D97" s="15" t="s">
        <v>33</v>
      </c>
      <c r="E97" s="15" t="s">
        <v>33</v>
      </c>
      <c r="F97" s="15" t="s">
        <v>33</v>
      </c>
      <c r="G97" s="15" t="s">
        <v>33</v>
      </c>
      <c r="H97" s="41">
        <f t="shared" si="18"/>
        <v>1752.5</v>
      </c>
      <c r="I97" s="1"/>
      <c r="J97" s="1"/>
    </row>
    <row r="98" ht="15" customHeight="1">
      <c r="A98" s="1"/>
      <c r="B98" s="1" t="s">
        <v>79</v>
      </c>
      <c r="C98" s="15" t="s">
        <v>33</v>
      </c>
      <c r="D98" s="15">
        <f t="shared" si="17"/>
        <v>195</v>
      </c>
      <c r="E98" s="15">
        <f t="shared" si="17"/>
        <v>-115</v>
      </c>
      <c r="F98" s="15">
        <f t="shared" si="17"/>
        <v>635</v>
      </c>
      <c r="G98" s="15"/>
      <c r="H98" s="41">
        <f t="shared" si="19"/>
        <v>1037.5</v>
      </c>
      <c r="I98" s="1"/>
      <c r="J98" s="1"/>
    </row>
    <row r="99" ht="15" customHeight="1">
      <c r="A99" s="1"/>
      <c r="B99" s="4" t="s">
        <v>89</v>
      </c>
      <c r="C99" s="36" t="s">
        <v>33</v>
      </c>
      <c r="D99" s="36" t="s">
        <v>33</v>
      </c>
      <c r="E99" s="36" t="s">
        <v>33</v>
      </c>
      <c r="F99" s="36" t="s">
        <v>33</v>
      </c>
      <c r="G99" s="36" t="s">
        <v>33</v>
      </c>
      <c r="H99" s="35">
        <f>H96/C96-1</f>
        <v>0.07804497884658201</v>
      </c>
      <c r="I99" s="1"/>
      <c r="J99" s="1"/>
    </row>
    <row r="100" ht="15" customHeight="1">
      <c r="A100" s="1"/>
      <c r="B100" s="1" t="s">
        <v>90</v>
      </c>
      <c r="C100" s="45">
        <v>0.042</v>
      </c>
      <c r="D100" s="45">
        <v>0.045</v>
      </c>
      <c r="E100" s="45">
        <v>0.057</v>
      </c>
      <c r="F100" s="45">
        <v>0.071</v>
      </c>
      <c r="G100" s="45">
        <v>0.039</v>
      </c>
      <c r="H100" s="46">
        <f>H99</f>
        <v>0.07804497884658201</v>
      </c>
      <c r="I100" s="1"/>
      <c r="J100" s="1"/>
    </row>
    <row r="101" ht="15" customHeight="1">
      <c r="A101" s="1"/>
      <c r="B101" s="1" t="s">
        <v>91</v>
      </c>
      <c r="C101" s="47" t="s">
        <v>33</v>
      </c>
      <c r="D101" s="47" t="s">
        <v>33</v>
      </c>
      <c r="E101" s="47" t="s">
        <v>33</v>
      </c>
      <c r="F101" s="47" t="s">
        <v>33</v>
      </c>
      <c r="G101" s="47" t="s">
        <v>33</v>
      </c>
      <c r="H101" s="48">
        <f t="shared" si="22" ref="H101:H135">(H100-C100)*10000</f>
        <v>360.4497884658201</v>
      </c>
      <c r="I101" s="1"/>
      <c r="J101" s="1"/>
    </row>
    <row r="102" ht="15" customHeight="1">
      <c r="A102" s="1"/>
      <c r="B102" s="1" t="s">
        <v>92</v>
      </c>
      <c r="C102" s="45">
        <v>-0.015</v>
      </c>
      <c r="D102" s="45">
        <v>-0.015</v>
      </c>
      <c r="E102" s="45">
        <v>-0.015</v>
      </c>
      <c r="F102" s="45">
        <v>-0.015</v>
      </c>
      <c r="G102" s="45">
        <v>-0.015</v>
      </c>
      <c r="H102" s="49">
        <v>-0.015</v>
      </c>
      <c r="I102" s="1"/>
      <c r="J102" s="1"/>
    </row>
    <row r="103" ht="15" customHeight="1">
      <c r="A103" s="1"/>
      <c r="B103" s="1" t="s">
        <v>91</v>
      </c>
      <c r="C103" s="47" t="s">
        <v>33</v>
      </c>
      <c r="D103" s="47" t="s">
        <v>33</v>
      </c>
      <c r="E103" s="47" t="s">
        <v>33</v>
      </c>
      <c r="F103" s="47" t="s">
        <v>33</v>
      </c>
      <c r="G103" s="47" t="s">
        <v>33</v>
      </c>
      <c r="H103" s="48">
        <f t="shared" si="22"/>
        <v>0</v>
      </c>
      <c r="I103" s="1"/>
      <c r="J103" s="1"/>
    </row>
    <row r="104" ht="15" customHeight="1">
      <c r="A104" s="1"/>
      <c r="B104" s="1" t="s">
        <v>93</v>
      </c>
      <c r="C104" s="45">
        <v>0.02</v>
      </c>
      <c r="D104" s="45">
        <v>0.005</v>
      </c>
      <c r="E104" s="45">
        <v>0.023</v>
      </c>
      <c r="F104" s="45">
        <v>0.034</v>
      </c>
      <c r="G104" s="45">
        <v>0.022</v>
      </c>
      <c r="H104" s="49">
        <v>0.028</v>
      </c>
      <c r="I104" s="1"/>
      <c r="J104" s="1" t="s">
        <v>94</v>
      </c>
    </row>
    <row r="105" ht="15" customHeight="1">
      <c r="A105" s="1"/>
      <c r="B105" s="1" t="s">
        <v>91</v>
      </c>
      <c r="C105" s="47" t="s">
        <v>33</v>
      </c>
      <c r="D105" s="47" t="s">
        <v>33</v>
      </c>
      <c r="E105" s="47" t="s">
        <v>33</v>
      </c>
      <c r="F105" s="47" t="s">
        <v>33</v>
      </c>
      <c r="G105" s="47" t="s">
        <v>33</v>
      </c>
      <c r="H105" s="48">
        <f t="shared" si="22"/>
        <v>80</v>
      </c>
      <c r="I105" s="1"/>
      <c r="J105" s="1"/>
    </row>
    <row r="106" ht="15" customHeight="1">
      <c r="A106" s="1"/>
      <c r="B106" s="1" t="s">
        <v>95</v>
      </c>
      <c r="C106" s="45">
        <v>0.011</v>
      </c>
      <c r="D106" s="45">
        <v>0.011</v>
      </c>
      <c r="E106" s="45">
        <v>0.022</v>
      </c>
      <c r="F106" s="45">
        <v>0.037</v>
      </c>
      <c r="G106" s="45">
        <v>0.014</v>
      </c>
      <c r="H106" s="46">
        <f>H108-H100-H102-H104</f>
        <v>0.024974803028000935</v>
      </c>
      <c r="I106" s="1"/>
      <c r="J106" s="1"/>
    </row>
    <row r="107" ht="15" customHeight="1">
      <c r="A107" s="1"/>
      <c r="B107" s="1" t="s">
        <v>91</v>
      </c>
      <c r="C107" s="47" t="s">
        <v>33</v>
      </c>
      <c r="D107" s="47" t="s">
        <v>33</v>
      </c>
      <c r="E107" s="47" t="s">
        <v>33</v>
      </c>
      <c r="F107" s="47" t="s">
        <v>33</v>
      </c>
      <c r="G107" s="47" t="s">
        <v>33</v>
      </c>
      <c r="H107" s="48">
        <f t="shared" si="22"/>
        <v>139.74803028000935</v>
      </c>
      <c r="I107" s="1"/>
      <c r="J107" s="1"/>
    </row>
    <row r="108" ht="15" customHeight="1">
      <c r="A108" s="1"/>
      <c r="B108" s="1" t="s">
        <v>96</v>
      </c>
      <c r="C108" s="45">
        <v>0.058</v>
      </c>
      <c r="D108" s="45">
        <v>0.046</v>
      </c>
      <c r="E108" s="45">
        <v>0.087</v>
      </c>
      <c r="F108" s="45">
        <v>0.127</v>
      </c>
      <c r="G108" s="45">
        <v>0.06</v>
      </c>
      <c r="H108" s="46">
        <f>H136/C136-1</f>
        <v>0.11601978187458295</v>
      </c>
      <c r="I108" s="1"/>
      <c r="J108" s="1"/>
    </row>
    <row r="109" ht="15" customHeight="1">
      <c r="A109" s="1"/>
      <c r="B109" s="1" t="s">
        <v>97</v>
      </c>
      <c r="C109" s="27" t="b">
        <f t="shared" si="23" ref="C109:H109">ABS(C108-C37)&lt;0.001</f>
        <v>1</v>
      </c>
      <c r="D109" s="27" t="b">
        <f t="shared" si="23"/>
        <v>1</v>
      </c>
      <c r="E109" s="27" t="b">
        <f t="shared" si="23"/>
        <v>1</v>
      </c>
      <c r="F109" s="27" t="b">
        <f t="shared" si="23"/>
        <v>1</v>
      </c>
      <c r="G109" s="27" t="b">
        <f t="shared" si="23"/>
        <v>1</v>
      </c>
      <c r="H109" s="39" t="b">
        <f t="shared" si="23"/>
        <v>1</v>
      </c>
      <c r="I109" s="1"/>
      <c r="J109" s="1" t="s">
        <v>98</v>
      </c>
    </row>
    <row r="110" ht="15" customHeight="1">
      <c r="A110" s="1"/>
      <c r="B110" s="1"/>
      <c r="C110" s="1"/>
      <c r="D110" s="1"/>
      <c r="E110" s="1"/>
      <c r="F110" s="1"/>
      <c r="G110" s="1"/>
      <c r="H110" s="32"/>
      <c r="I110" s="1"/>
      <c r="J110" s="1"/>
    </row>
    <row r="111" ht="15" customHeight="1">
      <c r="A111" s="1"/>
      <c r="B111" s="31" t="s">
        <v>99</v>
      </c>
      <c r="C111" s="1"/>
      <c r="D111" s="1"/>
      <c r="E111" s="1"/>
      <c r="F111" s="1"/>
      <c r="G111" s="1"/>
      <c r="H111" s="32"/>
      <c r="I111" s="1"/>
      <c r="J111" s="1"/>
    </row>
    <row r="112" ht="15" customHeight="1">
      <c r="A112" s="1"/>
      <c r="B112" s="1" t="s">
        <v>100</v>
      </c>
      <c r="C112" s="42">
        <v>2937</v>
      </c>
      <c r="D112" s="12">
        <f>G112-Inputs!E171-Inputs!F171-C112</f>
        <v>2844</v>
      </c>
      <c r="E112" s="42">
        <v>2685</v>
      </c>
      <c r="F112" s="42">
        <v>2991</v>
      </c>
      <c r="G112" s="42">
        <v>11048</v>
      </c>
      <c r="H112" s="41">
        <f>C112*(1+H100)*(1+H104)*(1+H102)</f>
        <v>3206.0491266065465</v>
      </c>
      <c r="I112" s="1"/>
      <c r="J112" s="1" t="s">
        <v>101</v>
      </c>
    </row>
    <row r="113" ht="15" customHeight="1">
      <c r="A113" s="1"/>
      <c r="B113" s="4" t="s">
        <v>56</v>
      </c>
      <c r="C113" s="34">
        <f>C112/Inputs!C171-1</f>
        <v>0.04743223965763188</v>
      </c>
      <c r="D113" s="34">
        <f>D112/Inputs!D171-1</f>
        <v>0.03531124863487434</v>
      </c>
      <c r="E113" s="34">
        <f>E112/Inputs!E171-1</f>
        <v>0.06463124504361617</v>
      </c>
      <c r="F113" s="34">
        <f>F112/Inputs!F171-1</f>
        <v>0.08961748633879774</v>
      </c>
      <c r="G113" s="34">
        <f>G112/Inputs!G171-1</f>
        <v>0.04631120371247288</v>
      </c>
      <c r="H113" s="35">
        <f t="shared" si="4"/>
        <v>0.09160678468047201</v>
      </c>
      <c r="I113" s="1"/>
      <c r="J113" s="1"/>
    </row>
    <row r="114" ht="15" customHeight="1">
      <c r="A114" s="1"/>
      <c r="B114" s="1" t="s">
        <v>79</v>
      </c>
      <c r="C114" s="12">
        <f>C112-Inputs!F171</f>
        <v>192</v>
      </c>
      <c r="D114" s="15">
        <f t="shared" si="17"/>
        <v>-93</v>
      </c>
      <c r="E114" s="15">
        <f t="shared" si="17"/>
        <v>-159</v>
      </c>
      <c r="F114" s="15">
        <f t="shared" si="17"/>
        <v>306</v>
      </c>
      <c r="G114" s="15"/>
      <c r="H114" s="41">
        <f t="shared" si="19"/>
        <v>215.04912660654645</v>
      </c>
      <c r="I114" s="1"/>
      <c r="J114" s="1"/>
    </row>
    <row r="115" ht="15" customHeight="1">
      <c r="A115" s="1"/>
      <c r="B115" s="4" t="s">
        <v>102</v>
      </c>
      <c r="C115" s="36">
        <f t="shared" si="24" ref="C115:H115">C112/C136</f>
        <v>0.8013642564802183</v>
      </c>
      <c r="D115" s="36">
        <f t="shared" si="24"/>
        <v>0.7941915666015079</v>
      </c>
      <c r="E115" s="36">
        <f t="shared" si="24"/>
        <v>0.7853173442527055</v>
      </c>
      <c r="F115" s="36">
        <f t="shared" si="24"/>
        <v>0.7770849571317225</v>
      </c>
      <c r="G115" s="36">
        <f t="shared" si="24"/>
        <v>0.8002317832826308</v>
      </c>
      <c r="H115" s="35">
        <f t="shared" si="24"/>
        <v>0.7838343670798251</v>
      </c>
      <c r="I115" s="1"/>
      <c r="J115" s="1"/>
    </row>
    <row r="116" ht="15" customHeight="1">
      <c r="A116" s="1"/>
      <c r="B116" s="1" t="s">
        <v>103</v>
      </c>
      <c r="C116" s="16">
        <f t="shared" si="25" ref="C116:H116">C112*365/C8/C96</f>
        <v>0.5189146408759548</v>
      </c>
      <c r="D116" s="16">
        <f t="shared" si="25"/>
        <v>0.49815721278433633</v>
      </c>
      <c r="E116" s="16">
        <f t="shared" si="25"/>
        <v>0.4832113009392796</v>
      </c>
      <c r="F116" s="16">
        <f t="shared" si="25"/>
        <v>0.517775922825556</v>
      </c>
      <c r="G116" s="16" t="s">
        <v>33</v>
      </c>
      <c r="H116" s="46">
        <f t="shared" si="25"/>
        <v>0.5254425870581743</v>
      </c>
      <c r="I116" s="1"/>
      <c r="J116" s="1"/>
    </row>
    <row r="117" ht="15" customHeight="1">
      <c r="A117" s="1"/>
      <c r="B117" s="1" t="s">
        <v>104</v>
      </c>
      <c r="C117" s="47" t="s">
        <v>33</v>
      </c>
      <c r="D117" s="47" t="s">
        <v>33</v>
      </c>
      <c r="E117" s="47" t="s">
        <v>33</v>
      </c>
      <c r="F117" s="47" t="s">
        <v>33</v>
      </c>
      <c r="G117" s="47" t="s">
        <v>33</v>
      </c>
      <c r="H117" s="48">
        <f t="shared" si="22"/>
        <v>65.27946182219412</v>
      </c>
      <c r="I117" s="1"/>
      <c r="J117" s="1"/>
    </row>
    <row r="118" ht="15" customHeight="1">
      <c r="A118" s="1"/>
      <c r="B118" s="1" t="s">
        <v>105</v>
      </c>
      <c r="C118" s="47" t="s">
        <v>33</v>
      </c>
      <c r="D118" s="47">
        <f t="shared" si="26" ref="D118:F118">(D116-C116)*10000</f>
        <v>-207.57428091618513</v>
      </c>
      <c r="E118" s="47">
        <f t="shared" si="26"/>
        <v>-149.45911845056725</v>
      </c>
      <c r="F118" s="47">
        <f t="shared" si="26"/>
        <v>345.6462188627635</v>
      </c>
      <c r="G118" s="47"/>
      <c r="H118" s="48">
        <f>(H116-F116)*10000</f>
        <v>76.66664232618304</v>
      </c>
      <c r="I118" s="1"/>
      <c r="J118" s="1"/>
    </row>
    <row r="119" ht="15" customHeight="1">
      <c r="A119" s="1"/>
      <c r="B119" s="1" t="s">
        <v>106</v>
      </c>
      <c r="C119" s="42">
        <v>73</v>
      </c>
      <c r="D119" s="12">
        <f>G119-Inputs!E172-Inputs!F172-C119</f>
        <v>79</v>
      </c>
      <c r="E119" s="42">
        <v>78</v>
      </c>
      <c r="F119" s="42">
        <v>88</v>
      </c>
      <c r="G119" s="42">
        <v>275</v>
      </c>
      <c r="H119" s="41">
        <f t="shared" si="27" ref="H119:H122">C119*(1+H120)</f>
        <v>94.9</v>
      </c>
      <c r="I119" s="1"/>
      <c r="J119" s="1"/>
    </row>
    <row r="120" ht="15" customHeight="1">
      <c r="A120" s="1"/>
      <c r="B120" s="4" t="s">
        <v>107</v>
      </c>
      <c r="C120" s="34">
        <f>C119/Inputs!C172-1</f>
        <v>0.028169014084507005</v>
      </c>
      <c r="D120" s="34">
        <f>D119/Inputs!D172-1</f>
        <v>0.06756756756756754</v>
      </c>
      <c r="E120" s="34">
        <f>E119/Inputs!E172-1</f>
        <v>0.23809523809523814</v>
      </c>
      <c r="F120" s="34">
        <f>F119/Inputs!F172-1</f>
        <v>0.46666666666666656</v>
      </c>
      <c r="G120" s="34">
        <f>G119/Inputs!G172-1</f>
        <v>0.06589147286821695</v>
      </c>
      <c r="H120" s="50">
        <v>0.3</v>
      </c>
      <c r="I120" s="1"/>
      <c r="J120" s="1" t="s">
        <v>108</v>
      </c>
    </row>
    <row r="121" ht="15" customHeight="1">
      <c r="A121" s="1"/>
      <c r="B121" s="1" t="s">
        <v>79</v>
      </c>
      <c r="C121" s="12">
        <f>C119-Inputs!F172</f>
        <v>13</v>
      </c>
      <c r="D121" s="15">
        <f t="shared" si="17"/>
        <v>6</v>
      </c>
      <c r="E121" s="15">
        <f t="shared" si="17"/>
        <v>-1</v>
      </c>
      <c r="F121" s="15">
        <f t="shared" si="17"/>
        <v>10</v>
      </c>
      <c r="G121" s="15"/>
      <c r="H121" s="41">
        <f t="shared" si="19"/>
        <v>6.900000000000006</v>
      </c>
      <c r="I121" s="1"/>
      <c r="J121" s="1"/>
    </row>
    <row r="122" ht="15" customHeight="1">
      <c r="A122" s="1"/>
      <c r="B122" s="1" t="s">
        <v>109</v>
      </c>
      <c r="C122" s="42">
        <v>313</v>
      </c>
      <c r="D122" s="12">
        <f>G122-Inputs!E173-Inputs!F173-C122</f>
        <v>294</v>
      </c>
      <c r="E122" s="42">
        <v>274</v>
      </c>
      <c r="F122" s="42">
        <v>341</v>
      </c>
      <c r="G122" s="42">
        <v>1153</v>
      </c>
      <c r="H122" s="41">
        <f t="shared" si="27"/>
        <v>356.82000000000005</v>
      </c>
      <c r="I122" s="1"/>
      <c r="J122" s="1"/>
    </row>
    <row r="123" ht="15" customHeight="1">
      <c r="A123" s="1"/>
      <c r="B123" s="4" t="s">
        <v>107</v>
      </c>
      <c r="C123" s="34">
        <f>C122/Inputs!C173-1</f>
        <v>0.05387205387205385</v>
      </c>
      <c r="D123" s="34">
        <f>D122/Inputs!D173-1</f>
        <v>0.010309278350515427</v>
      </c>
      <c r="E123" s="34">
        <f>E122/Inputs!E173-1</f>
        <v>0.08730158730158721</v>
      </c>
      <c r="F123" s="34">
        <f>F122/Inputs!F173-1</f>
        <v>0.15986394557823136</v>
      </c>
      <c r="G123" s="34">
        <f>G122/Inputs!G173-1</f>
        <v>0.0785781103835359</v>
      </c>
      <c r="H123" s="50">
        <v>0.14</v>
      </c>
      <c r="I123" s="1"/>
      <c r="J123" s="1" t="s">
        <v>110</v>
      </c>
    </row>
    <row r="124" ht="15" customHeight="1">
      <c r="A124" s="1"/>
      <c r="B124" s="1" t="s">
        <v>79</v>
      </c>
      <c r="C124" s="12">
        <f>C122-Inputs!F173</f>
        <v>19</v>
      </c>
      <c r="D124" s="15">
        <f t="shared" si="17"/>
        <v>-19</v>
      </c>
      <c r="E124" s="15">
        <f t="shared" si="17"/>
        <v>-20</v>
      </c>
      <c r="F124" s="15">
        <f t="shared" si="17"/>
        <v>67</v>
      </c>
      <c r="G124" s="15"/>
      <c r="H124" s="41">
        <f t="shared" si="19"/>
        <v>15.82000000000005</v>
      </c>
      <c r="I124" s="1"/>
      <c r="J124" s="1"/>
    </row>
    <row r="125" ht="15" customHeight="1">
      <c r="A125" s="1"/>
      <c r="B125" s="1" t="s">
        <v>111</v>
      </c>
      <c r="C125" s="42">
        <v>342</v>
      </c>
      <c r="D125" s="12">
        <f>G125-Inputs!E174-Inputs!F174-C125</f>
        <v>364</v>
      </c>
      <c r="E125" s="42">
        <v>382</v>
      </c>
      <c r="F125" s="42">
        <v>429</v>
      </c>
      <c r="G125" s="42">
        <v>1330</v>
      </c>
      <c r="H125" s="41">
        <f>H36-H112-H119-H122</f>
        <v>432.4433739638</v>
      </c>
      <c r="I125" s="1"/>
      <c r="J125" s="1" t="s">
        <v>112</v>
      </c>
    </row>
    <row r="126" ht="15" customHeight="1">
      <c r="A126" s="1"/>
      <c r="B126" s="4" t="s">
        <v>113</v>
      </c>
      <c r="C126" s="34">
        <f>C125/Inputs!C174-1</f>
        <v>0.17525773195876293</v>
      </c>
      <c r="D126" s="34">
        <f>D125/Inputs!D174-1</f>
        <v>0.17419354838709666</v>
      </c>
      <c r="E126" s="34">
        <f>E125/Inputs!E174-1</f>
        <v>0.24025974025974017</v>
      </c>
      <c r="F126" s="34">
        <f>F125/Inputs!F174-1</f>
        <v>0.35759493670886067</v>
      </c>
      <c r="G126" s="34">
        <f>G125/Inputs!G174-1</f>
        <v>0.1636045494313212</v>
      </c>
      <c r="H126" s="35">
        <f t="shared" si="4"/>
        <v>0.26445430983567264</v>
      </c>
      <c r="I126" s="1"/>
      <c r="J126" s="1" t="s">
        <v>114</v>
      </c>
    </row>
    <row r="127" ht="15" customHeight="1">
      <c r="A127" s="1"/>
      <c r="B127" s="1" t="s">
        <v>79</v>
      </c>
      <c r="C127" s="12">
        <f>C125-Inputs!F174</f>
        <v>26</v>
      </c>
      <c r="D127" s="15">
        <f t="shared" si="17"/>
        <v>22</v>
      </c>
      <c r="E127" s="15">
        <f t="shared" si="17"/>
        <v>18</v>
      </c>
      <c r="F127" s="15">
        <f t="shared" si="17"/>
        <v>47</v>
      </c>
      <c r="G127" s="15"/>
      <c r="H127" s="41">
        <f t="shared" si="19"/>
        <v>3.4433739638000134</v>
      </c>
      <c r="I127" s="1"/>
      <c r="J127" s="1"/>
    </row>
    <row r="128" ht="15" customHeight="1">
      <c r="A128" s="1"/>
      <c r="B128" s="3" t="s">
        <v>115</v>
      </c>
      <c r="C128" s="37">
        <f t="shared" si="28" ref="C128:H128">C122+C125</f>
        <v>655</v>
      </c>
      <c r="D128" s="37">
        <f t="shared" si="28"/>
        <v>658</v>
      </c>
      <c r="E128" s="37">
        <f t="shared" si="28"/>
        <v>656</v>
      </c>
      <c r="F128" s="37">
        <f t="shared" si="28"/>
        <v>770</v>
      </c>
      <c r="G128" s="37">
        <f t="shared" si="28"/>
        <v>2483</v>
      </c>
      <c r="H128" s="38">
        <f t="shared" si="28"/>
        <v>789.2633739638001</v>
      </c>
      <c r="I128" s="1"/>
      <c r="J128" s="1"/>
    </row>
    <row r="129" ht="15" customHeight="1">
      <c r="A129" s="1"/>
      <c r="B129" s="4" t="s">
        <v>56</v>
      </c>
      <c r="C129" s="34">
        <f>C128/Inputs!C175-1</f>
        <v>0.11394557823129259</v>
      </c>
      <c r="D129" s="34">
        <f>D128/Inputs!D175-1</f>
        <v>0.09484193011647246</v>
      </c>
      <c r="E129" s="34">
        <f>E128/Inputs!E175-1</f>
        <v>0.17142857142857149</v>
      </c>
      <c r="F129" s="34">
        <f>F128/Inputs!F175-1</f>
        <v>0.2622950819672132</v>
      </c>
      <c r="G129" s="34">
        <f>G128/Inputs!G175-1</f>
        <v>0.12251356238698019</v>
      </c>
      <c r="H129" s="35">
        <f t="shared" si="4"/>
        <v>0.20498225032641226</v>
      </c>
      <c r="I129" s="1"/>
      <c r="J129" s="1"/>
    </row>
    <row r="130" ht="15" customHeight="1">
      <c r="A130" s="1"/>
      <c r="B130" s="1" t="s">
        <v>79</v>
      </c>
      <c r="C130" s="12">
        <f>C128-Inputs!F175</f>
        <v>45</v>
      </c>
      <c r="D130" s="15">
        <f t="shared" si="17"/>
        <v>3</v>
      </c>
      <c r="E130" s="15">
        <f t="shared" si="17"/>
        <v>-2</v>
      </c>
      <c r="F130" s="15">
        <f t="shared" si="17"/>
        <v>114</v>
      </c>
      <c r="G130" s="15"/>
      <c r="H130" s="41">
        <f t="shared" si="19"/>
        <v>19.263373963800063</v>
      </c>
      <c r="I130" s="1"/>
      <c r="J130" s="1"/>
    </row>
    <row r="131" ht="15" customHeight="1">
      <c r="A131" s="1"/>
      <c r="B131" s="3" t="s">
        <v>116</v>
      </c>
      <c r="C131" s="37">
        <f t="shared" si="29" ref="C131:H131">C128+C119</f>
        <v>728</v>
      </c>
      <c r="D131" s="37">
        <f t="shared" si="29"/>
        <v>737</v>
      </c>
      <c r="E131" s="37">
        <f t="shared" si="29"/>
        <v>734</v>
      </c>
      <c r="F131" s="37">
        <f t="shared" si="29"/>
        <v>858</v>
      </c>
      <c r="G131" s="37">
        <f t="shared" si="29"/>
        <v>2758</v>
      </c>
      <c r="H131" s="38">
        <f t="shared" si="29"/>
        <v>884.1633739638</v>
      </c>
      <c r="I131" s="1"/>
      <c r="J131" s="1"/>
    </row>
    <row r="132" ht="15" customHeight="1">
      <c r="A132" s="1"/>
      <c r="B132" s="4" t="s">
        <v>56</v>
      </c>
      <c r="C132" s="34">
        <f>C131/Inputs!C176-1</f>
        <v>0.10470409711684381</v>
      </c>
      <c r="D132" s="34">
        <f>D131/Inputs!D176-1</f>
        <v>0.09185185185185185</v>
      </c>
      <c r="E132" s="34">
        <f>E131/Inputs!E176-1</f>
        <v>0.1781701444622792</v>
      </c>
      <c r="F132" s="34">
        <f>F131/Inputs!F176-1</f>
        <v>0.28059701492537314</v>
      </c>
      <c r="G132" s="34">
        <f>G131/Inputs!G176-1</f>
        <v>0.11659919028340071</v>
      </c>
      <c r="H132" s="35">
        <f t="shared" si="4"/>
        <v>0.21451012907115397</v>
      </c>
      <c r="I132" s="1"/>
      <c r="J132" s="1"/>
    </row>
    <row r="133" ht="15" customHeight="1">
      <c r="A133" s="1"/>
      <c r="B133" s="1" t="s">
        <v>79</v>
      </c>
      <c r="C133" s="12">
        <f>C131-Inputs!F176</f>
        <v>58</v>
      </c>
      <c r="D133" s="15">
        <f t="shared" si="17"/>
        <v>9</v>
      </c>
      <c r="E133" s="15">
        <f t="shared" si="17"/>
        <v>-3</v>
      </c>
      <c r="F133" s="15">
        <f t="shared" si="17"/>
        <v>124</v>
      </c>
      <c r="G133" s="15"/>
      <c r="H133" s="41">
        <f t="shared" si="19"/>
        <v>26.16337396380004</v>
      </c>
      <c r="I133" s="1"/>
      <c r="J133" s="1"/>
    </row>
    <row r="134" ht="15" customHeight="1">
      <c r="A134" s="1"/>
      <c r="B134" s="4" t="s">
        <v>117</v>
      </c>
      <c r="C134" s="36">
        <f t="shared" si="30" ref="C134:H134">C131/C136</f>
        <v>0.19863574351978172</v>
      </c>
      <c r="D134" s="36">
        <f t="shared" si="30"/>
        <v>0.20580843339849203</v>
      </c>
      <c r="E134" s="36">
        <f t="shared" si="30"/>
        <v>0.21468265574729453</v>
      </c>
      <c r="F134" s="36">
        <f t="shared" si="30"/>
        <v>0.22291504286827749</v>
      </c>
      <c r="G134" s="36">
        <f t="shared" si="30"/>
        <v>0.19976821671736927</v>
      </c>
      <c r="H134" s="35">
        <f t="shared" si="30"/>
        <v>0.21616563292017488</v>
      </c>
      <c r="I134" s="1"/>
      <c r="J134" s="1"/>
    </row>
    <row r="135" ht="15" customHeight="1">
      <c r="A135" s="1"/>
      <c r="B135" s="1" t="s">
        <v>104</v>
      </c>
      <c r="C135" s="51">
        <f>(C134-Inputs!C176/Inputs!C177)*10000</f>
        <v>83.38313545770748</v>
      </c>
      <c r="D135" s="51">
        <f>(D134-Inputs!D176/Inputs!D177)*10000</f>
        <v>85.55365017428318</v>
      </c>
      <c r="E135" s="51">
        <f>(E134-Inputs!E176/Inputs!E177)*10000</f>
        <v>165.9044589037878</v>
      </c>
      <c r="F135" s="51">
        <f>(F134-Inputs!F176/Inputs!F177)*10000</f>
        <v>267.21777860956837</v>
      </c>
      <c r="G135" s="51">
        <f>(G134-Inputs!G176/Inputs!G177)*10000</f>
        <v>101.91119472761079</v>
      </c>
      <c r="H135" s="48">
        <f t="shared" si="22"/>
        <v>175.29889400393157</v>
      </c>
      <c r="I135" s="1"/>
      <c r="J135" s="1"/>
    </row>
    <row r="136" ht="15" customHeight="1">
      <c r="A136" s="1"/>
      <c r="B136" s="3" t="s">
        <v>118</v>
      </c>
      <c r="C136" s="37">
        <f t="shared" si="31" ref="C136:H136">C112+C131</f>
        <v>3665</v>
      </c>
      <c r="D136" s="37">
        <f t="shared" si="31"/>
        <v>3581</v>
      </c>
      <c r="E136" s="37">
        <f t="shared" si="31"/>
        <v>3419</v>
      </c>
      <c r="F136" s="37">
        <f t="shared" si="31"/>
        <v>3849</v>
      </c>
      <c r="G136" s="37">
        <f t="shared" si="31"/>
        <v>13806</v>
      </c>
      <c r="H136" s="38">
        <f t="shared" si="31"/>
        <v>4090.2125005703465</v>
      </c>
      <c r="I136" s="1"/>
      <c r="J136" s="1"/>
    </row>
    <row r="137" ht="15" customHeight="1">
      <c r="A137" s="1"/>
      <c r="B137" s="4" t="s">
        <v>56</v>
      </c>
      <c r="C137" s="34">
        <f>C136/Inputs!C177-1</f>
        <v>0.05833092694195785</v>
      </c>
      <c r="D137" s="34">
        <f>D136/Inputs!D177-1</f>
        <v>0.04646405610753934</v>
      </c>
      <c r="E137" s="34">
        <f>E136/Inputs!E177-1</f>
        <v>0.08712241653418129</v>
      </c>
      <c r="F137" s="34">
        <f>F136/Inputs!F177-1</f>
        <v>0.12708638360175706</v>
      </c>
      <c r="G137" s="34">
        <f>G136/Inputs!G177-1</f>
        <v>0.059636196177757395</v>
      </c>
      <c r="H137" s="35">
        <f t="shared" si="4"/>
        <v>0.11601978187458295</v>
      </c>
      <c r="I137" s="1"/>
      <c r="J137" s="1"/>
    </row>
    <row r="138" ht="15" customHeight="1">
      <c r="A138" s="1"/>
      <c r="B138" s="1" t="s">
        <v>79</v>
      </c>
      <c r="C138" s="12">
        <f>C136-Inputs!F177</f>
        <v>250</v>
      </c>
      <c r="D138" s="15">
        <f t="shared" si="17"/>
        <v>-84</v>
      </c>
      <c r="E138" s="15">
        <f t="shared" si="17"/>
        <v>-162</v>
      </c>
      <c r="F138" s="15">
        <f t="shared" si="17"/>
        <v>430</v>
      </c>
      <c r="G138" s="15"/>
      <c r="H138" s="41">
        <f t="shared" si="19"/>
        <v>241.2125005703465</v>
      </c>
      <c r="I138" s="1"/>
      <c r="J138" s="1"/>
    </row>
    <row r="139" ht="15" customHeight="1">
      <c r="A139" s="1"/>
      <c r="B139" s="1" t="s">
        <v>119</v>
      </c>
      <c r="C139" s="27" t="b">
        <f t="shared" si="32" ref="C139:H139">ABS(C136-C36)&lt;0.001</f>
        <v>1</v>
      </c>
      <c r="D139" s="27" t="b">
        <f t="shared" si="32"/>
        <v>1</v>
      </c>
      <c r="E139" s="27" t="b">
        <f t="shared" si="32"/>
        <v>1</v>
      </c>
      <c r="F139" s="27" t="b">
        <f t="shared" si="32"/>
        <v>1</v>
      </c>
      <c r="G139" s="27" t="b">
        <f t="shared" si="32"/>
        <v>1</v>
      </c>
      <c r="H139" s="39" t="b">
        <f t="shared" si="32"/>
        <v>1</v>
      </c>
      <c r="I139" s="1"/>
      <c r="J139" s="1" t="s">
        <v>98</v>
      </c>
    </row>
    <row r="140" ht="15" customHeight="1">
      <c r="A140" s="1"/>
      <c r="B140" s="1"/>
      <c r="C140" s="1"/>
      <c r="D140" s="1"/>
      <c r="E140" s="1"/>
      <c r="F140" s="1"/>
      <c r="G140" s="1"/>
      <c r="H140" s="32"/>
      <c r="I140" s="1"/>
      <c r="J140" s="1"/>
    </row>
    <row r="141" ht="15" customHeight="1">
      <c r="A141" s="1"/>
      <c r="B141" s="31" t="s">
        <v>120</v>
      </c>
      <c r="C141" s="1"/>
      <c r="D141" s="1"/>
      <c r="E141" s="1"/>
      <c r="F141" s="1"/>
      <c r="G141" s="1"/>
      <c r="H141" s="32"/>
      <c r="I141" s="1"/>
      <c r="J141" s="1"/>
    </row>
    <row r="142" ht="15" customHeight="1">
      <c r="A142" s="1"/>
      <c r="B142" s="1" t="s">
        <v>121</v>
      </c>
      <c r="C142" s="16">
        <f t="shared" si="33" ref="C142:F142">C44/C87</f>
        <v>0.5379644588045234</v>
      </c>
      <c r="D142" s="45">
        <v>0.502</v>
      </c>
      <c r="E142" s="16">
        <f t="shared" si="33"/>
        <v>0.5147058823529411</v>
      </c>
      <c r="F142" s="16">
        <f t="shared" si="33"/>
        <v>0.5288461538461539</v>
      </c>
      <c r="G142" s="16" t="s">
        <v>33</v>
      </c>
      <c r="H142" s="49">
        <v>0.53</v>
      </c>
      <c r="I142" s="1"/>
      <c r="J142" s="1" t="s">
        <v>122</v>
      </c>
    </row>
    <row r="143" ht="15" customHeight="1">
      <c r="A143" s="1"/>
      <c r="B143" s="1" t="s">
        <v>105</v>
      </c>
      <c r="C143" s="47" t="s">
        <v>33</v>
      </c>
      <c r="D143" s="47">
        <f t="shared" si="34" ref="D143:F143">(D142-C142)*10000</f>
        <v>-359.6445880452337</v>
      </c>
      <c r="E143" s="47">
        <f t="shared" si="34"/>
        <v>127.05882352941123</v>
      </c>
      <c r="F143" s="47">
        <f t="shared" si="34"/>
        <v>141.4027149321273</v>
      </c>
      <c r="G143" s="47"/>
      <c r="H143" s="48">
        <f>(H142-F142)*10000</f>
        <v>11.53846153846172</v>
      </c>
      <c r="I143" s="1"/>
      <c r="J143" s="1"/>
    </row>
    <row r="144" ht="15" customHeight="1">
      <c r="A144" s="1"/>
      <c r="B144" s="1" t="s">
        <v>104</v>
      </c>
      <c r="C144" s="47" t="s">
        <v>33</v>
      </c>
      <c r="D144" s="47" t="s">
        <v>33</v>
      </c>
      <c r="E144" s="47" t="s">
        <v>33</v>
      </c>
      <c r="F144" s="47" t="s">
        <v>33</v>
      </c>
      <c r="G144" s="47" t="s">
        <v>33</v>
      </c>
      <c r="H144" s="48">
        <f>(H142-C142)*10000</f>
        <v>-79.64458804523345</v>
      </c>
      <c r="I144" s="1"/>
      <c r="J144" s="1"/>
    </row>
    <row r="145" ht="15" customHeight="1">
      <c r="A145" s="1"/>
      <c r="B145" s="3" t="s">
        <v>123</v>
      </c>
      <c r="C145" s="37">
        <f t="shared" si="35" ref="C145:G145">C44</f>
        <v>333</v>
      </c>
      <c r="D145" s="37">
        <f t="shared" si="35"/>
        <v>386</v>
      </c>
      <c r="E145" s="37">
        <f t="shared" si="35"/>
        <v>350</v>
      </c>
      <c r="F145" s="37">
        <f t="shared" si="35"/>
        <v>330</v>
      </c>
      <c r="G145" s="37">
        <f t="shared" si="35"/>
        <v>1413</v>
      </c>
      <c r="H145" s="38">
        <f>H87*H142</f>
        <v>357.75</v>
      </c>
      <c r="I145" s="1"/>
      <c r="J145" s="1"/>
    </row>
    <row r="146" ht="15" customHeight="1">
      <c r="A146" s="1"/>
      <c r="B146" s="4" t="s">
        <v>56</v>
      </c>
      <c r="C146" s="34">
        <f>C145/Inputs!C178-1</f>
        <v>0.03738317757009346</v>
      </c>
      <c r="D146" s="34">
        <f>D145/Inputs!D178-1</f>
        <v>-0.14601769911504425</v>
      </c>
      <c r="E146" s="34">
        <f>E145/Inputs!E178-1</f>
        <v>-0.07161803713527848</v>
      </c>
      <c r="F146" s="34">
        <f>F145/Inputs!F178-1</f>
        <v>0.04100946372239744</v>
      </c>
      <c r="G146" s="34">
        <f>G145/Inputs!G178-1</f>
        <v>-0.07100591715976334</v>
      </c>
      <c r="H146" s="35">
        <f t="shared" si="4"/>
        <v>0.07432432432432434</v>
      </c>
      <c r="I146" s="1"/>
      <c r="J146" s="1"/>
    </row>
    <row r="147" ht="15" customHeight="1">
      <c r="A147" s="1"/>
      <c r="B147" s="1" t="s">
        <v>79</v>
      </c>
      <c r="C147" s="12">
        <f>C145-Inputs!F178</f>
        <v>16</v>
      </c>
      <c r="D147" s="15">
        <f t="shared" si="17"/>
        <v>53</v>
      </c>
      <c r="E147" s="15">
        <f t="shared" si="17"/>
        <v>-36</v>
      </c>
      <c r="F147" s="15">
        <f t="shared" si="17"/>
        <v>-20</v>
      </c>
      <c r="G147" s="15"/>
      <c r="H147" s="41">
        <f t="shared" si="19"/>
        <v>27.75</v>
      </c>
      <c r="I147" s="1"/>
      <c r="J147" s="1"/>
    </row>
    <row r="148" ht="15" customHeight="1">
      <c r="A148" s="1"/>
      <c r="B148" s="1"/>
      <c r="C148" s="1"/>
      <c r="D148" s="1"/>
      <c r="E148" s="1"/>
      <c r="F148" s="1"/>
      <c r="G148" s="1"/>
      <c r="H148" s="32"/>
      <c r="I148" s="1"/>
      <c r="J148" s="1"/>
    </row>
    <row r="149" ht="15" customHeight="1">
      <c r="A149" s="1"/>
      <c r="B149" s="31" t="s">
        <v>124</v>
      </c>
      <c r="C149" s="1"/>
      <c r="D149" s="1"/>
      <c r="E149" s="1"/>
      <c r="F149" s="1"/>
      <c r="G149" s="1"/>
      <c r="H149" s="32"/>
      <c r="I149" s="1"/>
      <c r="J149" s="1"/>
    </row>
    <row r="150" ht="15" customHeight="1">
      <c r="A150" s="1"/>
      <c r="B150" s="1" t="s">
        <v>125</v>
      </c>
      <c r="C150" s="52">
        <v>1639</v>
      </c>
      <c r="D150" s="52">
        <v>1663</v>
      </c>
      <c r="E150" s="52">
        <v>1658</v>
      </c>
      <c r="F150" s="52">
        <v>1665</v>
      </c>
      <c r="G150" s="47">
        <f t="shared" si="36"/>
        <v>1663</v>
      </c>
      <c r="H150" s="48">
        <f t="shared" si="37" ref="H150:H177">F150</f>
        <v>1665</v>
      </c>
      <c r="I150" s="1"/>
      <c r="J150" s="1" t="s">
        <v>126</v>
      </c>
    </row>
    <row r="151" ht="15" customHeight="1">
      <c r="A151" s="1"/>
      <c r="B151" s="1" t="s">
        <v>78</v>
      </c>
      <c r="C151" s="47" t="s">
        <v>33</v>
      </c>
      <c r="D151" s="47" t="s">
        <v>33</v>
      </c>
      <c r="E151" s="47" t="s">
        <v>33</v>
      </c>
      <c r="F151" s="47" t="s">
        <v>33</v>
      </c>
      <c r="G151" s="47" t="s">
        <v>33</v>
      </c>
      <c r="H151" s="48">
        <f t="shared" si="18"/>
        <v>26</v>
      </c>
      <c r="I151" s="1"/>
      <c r="J151" s="1"/>
    </row>
    <row r="152" ht="15" customHeight="1">
      <c r="A152" s="1"/>
      <c r="B152" s="1" t="s">
        <v>79</v>
      </c>
      <c r="C152" s="47" t="s">
        <v>33</v>
      </c>
      <c r="D152" s="47">
        <f t="shared" si="17"/>
        <v>24</v>
      </c>
      <c r="E152" s="47">
        <f t="shared" si="17"/>
        <v>-5</v>
      </c>
      <c r="F152" s="47">
        <f t="shared" si="17"/>
        <v>7</v>
      </c>
      <c r="G152" s="47"/>
      <c r="H152" s="48">
        <f t="shared" si="19"/>
        <v>0</v>
      </c>
      <c r="I152" s="1"/>
      <c r="J152" s="1"/>
    </row>
    <row r="153" ht="15" customHeight="1">
      <c r="A153" s="1"/>
      <c r="B153" s="1" t="s">
        <v>127</v>
      </c>
      <c r="C153" s="52">
        <v>41</v>
      </c>
      <c r="D153" s="52">
        <v>41</v>
      </c>
      <c r="E153" s="52">
        <v>44</v>
      </c>
      <c r="F153" s="52">
        <v>44</v>
      </c>
      <c r="G153" s="47">
        <f t="shared" si="36"/>
        <v>41</v>
      </c>
      <c r="H153" s="48">
        <f t="shared" si="37"/>
        <v>44</v>
      </c>
      <c r="I153" s="1"/>
      <c r="J153" s="1"/>
    </row>
    <row r="154" ht="15" customHeight="1">
      <c r="A154" s="1"/>
      <c r="B154" s="1" t="s">
        <v>78</v>
      </c>
      <c r="C154" s="47" t="s">
        <v>33</v>
      </c>
      <c r="D154" s="47" t="s">
        <v>33</v>
      </c>
      <c r="E154" s="47" t="s">
        <v>33</v>
      </c>
      <c r="F154" s="47" t="s">
        <v>33</v>
      </c>
      <c r="G154" s="47" t="s">
        <v>33</v>
      </c>
      <c r="H154" s="48">
        <f t="shared" si="18"/>
        <v>3</v>
      </c>
      <c r="I154" s="1"/>
      <c r="J154" s="1"/>
    </row>
    <row r="155" ht="15" customHeight="1">
      <c r="A155" s="1"/>
      <c r="B155" s="1" t="s">
        <v>79</v>
      </c>
      <c r="C155" s="47" t="s">
        <v>33</v>
      </c>
      <c r="D155" s="47">
        <f t="shared" si="17"/>
        <v>0</v>
      </c>
      <c r="E155" s="47">
        <f t="shared" si="17"/>
        <v>3</v>
      </c>
      <c r="F155" s="47">
        <f t="shared" si="17"/>
        <v>0</v>
      </c>
      <c r="G155" s="47"/>
      <c r="H155" s="48">
        <f t="shared" si="19"/>
        <v>0</v>
      </c>
      <c r="I155" s="1"/>
      <c r="J155" s="1"/>
    </row>
    <row r="156" ht="15" customHeight="1">
      <c r="A156" s="1"/>
      <c r="B156" s="1" t="s">
        <v>128</v>
      </c>
      <c r="C156" s="52">
        <v>40</v>
      </c>
      <c r="D156" s="52">
        <v>45</v>
      </c>
      <c r="E156" s="52">
        <v>46</v>
      </c>
      <c r="F156" s="52">
        <v>47</v>
      </c>
      <c r="G156" s="47">
        <f t="shared" si="36"/>
        <v>45</v>
      </c>
      <c r="H156" s="48">
        <f t="shared" si="37"/>
        <v>47</v>
      </c>
      <c r="I156" s="1"/>
      <c r="J156" s="1"/>
    </row>
    <row r="157" ht="15" customHeight="1">
      <c r="A157" s="1"/>
      <c r="B157" s="1" t="s">
        <v>78</v>
      </c>
      <c r="C157" s="47" t="s">
        <v>33</v>
      </c>
      <c r="D157" s="47" t="s">
        <v>33</v>
      </c>
      <c r="E157" s="47" t="s">
        <v>33</v>
      </c>
      <c r="F157" s="47" t="s">
        <v>33</v>
      </c>
      <c r="G157" s="47" t="s">
        <v>33</v>
      </c>
      <c r="H157" s="48">
        <f t="shared" si="18"/>
        <v>7</v>
      </c>
      <c r="I157" s="1"/>
      <c r="J157" s="1"/>
    </row>
    <row r="158" ht="15" customHeight="1">
      <c r="A158" s="1"/>
      <c r="B158" s="1" t="s">
        <v>79</v>
      </c>
      <c r="C158" s="47" t="s">
        <v>33</v>
      </c>
      <c r="D158" s="47">
        <f t="shared" si="17"/>
        <v>5</v>
      </c>
      <c r="E158" s="47">
        <f t="shared" si="17"/>
        <v>1</v>
      </c>
      <c r="F158" s="47">
        <f t="shared" si="17"/>
        <v>1</v>
      </c>
      <c r="G158" s="47"/>
      <c r="H158" s="48">
        <f t="shared" si="19"/>
        <v>0</v>
      </c>
      <c r="I158" s="1"/>
      <c r="J158" s="1"/>
    </row>
    <row r="159" ht="15" customHeight="1">
      <c r="A159" s="1"/>
      <c r="B159" s="1" t="s">
        <v>129</v>
      </c>
      <c r="C159" s="52">
        <v>19</v>
      </c>
      <c r="D159" s="52">
        <v>19</v>
      </c>
      <c r="E159" s="52">
        <v>19</v>
      </c>
      <c r="F159" s="52">
        <v>18</v>
      </c>
      <c r="G159" s="47">
        <f t="shared" si="36"/>
        <v>19</v>
      </c>
      <c r="H159" s="48">
        <f t="shared" si="37"/>
        <v>18</v>
      </c>
      <c r="I159" s="1"/>
      <c r="J159" s="1"/>
    </row>
    <row r="160" ht="15" customHeight="1">
      <c r="A160" s="1"/>
      <c r="B160" s="1" t="s">
        <v>78</v>
      </c>
      <c r="C160" s="47" t="s">
        <v>33</v>
      </c>
      <c r="D160" s="47" t="s">
        <v>33</v>
      </c>
      <c r="E160" s="47" t="s">
        <v>33</v>
      </c>
      <c r="F160" s="47" t="s">
        <v>33</v>
      </c>
      <c r="G160" s="47" t="s">
        <v>33</v>
      </c>
      <c r="H160" s="48">
        <f t="shared" si="18"/>
        <v>-1</v>
      </c>
      <c r="I160" s="1"/>
      <c r="J160" s="1"/>
    </row>
    <row r="161" ht="15" customHeight="1">
      <c r="A161" s="1"/>
      <c r="B161" s="1" t="s">
        <v>79</v>
      </c>
      <c r="C161" s="47" t="s">
        <v>33</v>
      </c>
      <c r="D161" s="47">
        <f t="shared" si="17"/>
        <v>0</v>
      </c>
      <c r="E161" s="47">
        <f t="shared" si="17"/>
        <v>0</v>
      </c>
      <c r="F161" s="47">
        <f t="shared" si="17"/>
        <v>-1</v>
      </c>
      <c r="G161" s="47"/>
      <c r="H161" s="48">
        <f t="shared" si="19"/>
        <v>0</v>
      </c>
      <c r="I161" s="1"/>
      <c r="J161" s="1"/>
    </row>
    <row r="162" ht="15" customHeight="1">
      <c r="A162" s="1"/>
      <c r="B162" s="1" t="s">
        <v>130</v>
      </c>
      <c r="C162" s="51">
        <f>Inputs!F240</f>
        <v>1713</v>
      </c>
      <c r="D162" s="47">
        <f t="shared" si="38" ref="D162:F162">C168</f>
        <v>1739</v>
      </c>
      <c r="E162" s="47">
        <f t="shared" si="38"/>
        <v>1768</v>
      </c>
      <c r="F162" s="47">
        <f t="shared" si="38"/>
        <v>1767</v>
      </c>
      <c r="G162" s="47" t="s">
        <v>33</v>
      </c>
      <c r="H162" s="48">
        <f>F168</f>
        <v>1774</v>
      </c>
      <c r="I162" s="1"/>
      <c r="J162" s="1"/>
    </row>
    <row r="163" ht="15" customHeight="1">
      <c r="A163" s="1"/>
      <c r="B163" s="1" t="s">
        <v>78</v>
      </c>
      <c r="C163" s="47" t="s">
        <v>33</v>
      </c>
      <c r="D163" s="47" t="s">
        <v>33</v>
      </c>
      <c r="E163" s="47" t="s">
        <v>33</v>
      </c>
      <c r="F163" s="47" t="s">
        <v>33</v>
      </c>
      <c r="G163" s="47" t="s">
        <v>33</v>
      </c>
      <c r="H163" s="48">
        <f t="shared" si="18"/>
        <v>61</v>
      </c>
      <c r="I163" s="1"/>
      <c r="J163" s="1"/>
    </row>
    <row r="164" ht="15" customHeight="1">
      <c r="A164" s="1"/>
      <c r="B164" s="1" t="s">
        <v>79</v>
      </c>
      <c r="C164" s="47" t="s">
        <v>33</v>
      </c>
      <c r="D164" s="47">
        <f t="shared" si="17"/>
        <v>26</v>
      </c>
      <c r="E164" s="47">
        <f t="shared" si="17"/>
        <v>29</v>
      </c>
      <c r="F164" s="47">
        <f t="shared" si="17"/>
        <v>-1</v>
      </c>
      <c r="G164" s="47"/>
      <c r="H164" s="48">
        <f t="shared" si="19"/>
        <v>7</v>
      </c>
      <c r="I164" s="1"/>
      <c r="J164" s="1"/>
    </row>
    <row r="165" ht="15" customHeight="1">
      <c r="A165" s="1"/>
      <c r="B165" s="1" t="s">
        <v>131</v>
      </c>
      <c r="C165" s="47">
        <f t="shared" si="39" ref="C165:H165">C168-C162</f>
        <v>26</v>
      </c>
      <c r="D165" s="47">
        <f t="shared" si="39"/>
        <v>29</v>
      </c>
      <c r="E165" s="47">
        <f t="shared" si="39"/>
        <v>-1</v>
      </c>
      <c r="F165" s="47">
        <f t="shared" si="39"/>
        <v>7</v>
      </c>
      <c r="G165" s="47" t="s">
        <v>33</v>
      </c>
      <c r="H165" s="48">
        <f t="shared" si="39"/>
        <v>0</v>
      </c>
      <c r="I165" s="1"/>
      <c r="J165" s="1"/>
    </row>
    <row r="166" ht="15" customHeight="1">
      <c r="A166" s="1"/>
      <c r="B166" s="1" t="s">
        <v>78</v>
      </c>
      <c r="C166" s="47" t="s">
        <v>33</v>
      </c>
      <c r="D166" s="47" t="s">
        <v>33</v>
      </c>
      <c r="E166" s="47" t="s">
        <v>33</v>
      </c>
      <c r="F166" s="47" t="s">
        <v>33</v>
      </c>
      <c r="G166" s="47" t="s">
        <v>33</v>
      </c>
      <c r="H166" s="48">
        <f t="shared" si="18"/>
        <v>-26</v>
      </c>
      <c r="I166" s="1"/>
      <c r="J166" s="1"/>
    </row>
    <row r="167" ht="15" customHeight="1">
      <c r="A167" s="1"/>
      <c r="B167" s="1" t="s">
        <v>79</v>
      </c>
      <c r="C167" s="47" t="s">
        <v>33</v>
      </c>
      <c r="D167" s="47">
        <f t="shared" si="17"/>
        <v>3</v>
      </c>
      <c r="E167" s="47">
        <f t="shared" si="17"/>
        <v>-30</v>
      </c>
      <c r="F167" s="47">
        <f t="shared" si="17"/>
        <v>8</v>
      </c>
      <c r="G167" s="47"/>
      <c r="H167" s="48">
        <f t="shared" si="19"/>
        <v>-7</v>
      </c>
      <c r="I167" s="1"/>
      <c r="J167" s="1"/>
    </row>
    <row r="168" ht="15" customHeight="1">
      <c r="A168" s="1"/>
      <c r="B168" s="3" t="s">
        <v>132</v>
      </c>
      <c r="C168" s="53">
        <f t="shared" si="40" ref="C168:H168">C150+C153+C156+C159</f>
        <v>1739</v>
      </c>
      <c r="D168" s="53">
        <f t="shared" si="40"/>
        <v>1768</v>
      </c>
      <c r="E168" s="53">
        <f t="shared" si="40"/>
        <v>1767</v>
      </c>
      <c r="F168" s="53">
        <f t="shared" si="40"/>
        <v>1774</v>
      </c>
      <c r="G168" s="53">
        <f t="shared" si="40"/>
        <v>1768</v>
      </c>
      <c r="H168" s="54">
        <f t="shared" si="40"/>
        <v>1774</v>
      </c>
      <c r="I168" s="1"/>
      <c r="J168" s="1"/>
    </row>
    <row r="169" ht="15" customHeight="1">
      <c r="A169" s="1"/>
      <c r="B169" s="1" t="s">
        <v>78</v>
      </c>
      <c r="C169" s="47" t="s">
        <v>33</v>
      </c>
      <c r="D169" s="47" t="s">
        <v>33</v>
      </c>
      <c r="E169" s="47" t="s">
        <v>33</v>
      </c>
      <c r="F169" s="47" t="s">
        <v>33</v>
      </c>
      <c r="G169" s="47" t="s">
        <v>33</v>
      </c>
      <c r="H169" s="48">
        <f t="shared" si="18"/>
        <v>35</v>
      </c>
      <c r="I169" s="1"/>
      <c r="J169" s="1"/>
    </row>
    <row r="170" ht="15" customHeight="1">
      <c r="A170" s="1"/>
      <c r="B170" s="1" t="s">
        <v>79</v>
      </c>
      <c r="C170" s="51">
        <f>C168-Inputs!F240</f>
        <v>26</v>
      </c>
      <c r="D170" s="47">
        <f t="shared" si="17"/>
        <v>29</v>
      </c>
      <c r="E170" s="47">
        <f t="shared" si="17"/>
        <v>-1</v>
      </c>
      <c r="F170" s="47">
        <f t="shared" si="17"/>
        <v>7</v>
      </c>
      <c r="G170" s="47"/>
      <c r="H170" s="48">
        <f t="shared" si="19"/>
        <v>0</v>
      </c>
      <c r="I170" s="1"/>
      <c r="J170" s="1"/>
    </row>
    <row r="171" ht="15" customHeight="1">
      <c r="A171" s="1"/>
      <c r="B171" s="1" t="s">
        <v>133</v>
      </c>
      <c r="C171" s="47">
        <f t="shared" si="41" ref="C171:H171">(C162+C168)/2</f>
        <v>1726</v>
      </c>
      <c r="D171" s="47">
        <f t="shared" si="41"/>
        <v>1753.5</v>
      </c>
      <c r="E171" s="47">
        <f t="shared" si="41"/>
        <v>1767.5</v>
      </c>
      <c r="F171" s="47">
        <f t="shared" si="41"/>
        <v>1770.5</v>
      </c>
      <c r="G171" s="47" t="s">
        <v>33</v>
      </c>
      <c r="H171" s="48">
        <f t="shared" si="41"/>
        <v>1774</v>
      </c>
      <c r="I171" s="1"/>
      <c r="J171" s="1"/>
    </row>
    <row r="172" ht="15" customHeight="1">
      <c r="A172" s="1"/>
      <c r="B172" s="1" t="s">
        <v>78</v>
      </c>
      <c r="C172" s="47" t="s">
        <v>33</v>
      </c>
      <c r="D172" s="47" t="s">
        <v>33</v>
      </c>
      <c r="E172" s="47" t="s">
        <v>33</v>
      </c>
      <c r="F172" s="47" t="s">
        <v>33</v>
      </c>
      <c r="G172" s="47" t="s">
        <v>33</v>
      </c>
      <c r="H172" s="48">
        <f t="shared" si="18"/>
        <v>48</v>
      </c>
      <c r="I172" s="1"/>
      <c r="J172" s="1"/>
    </row>
    <row r="173" ht="15" customHeight="1">
      <c r="A173" s="1"/>
      <c r="B173" s="1" t="s">
        <v>79</v>
      </c>
      <c r="C173" s="47" t="s">
        <v>33</v>
      </c>
      <c r="D173" s="47">
        <f t="shared" si="17"/>
        <v>27.5</v>
      </c>
      <c r="E173" s="47">
        <f t="shared" si="17"/>
        <v>14</v>
      </c>
      <c r="F173" s="47">
        <f t="shared" si="17"/>
        <v>3</v>
      </c>
      <c r="G173" s="47"/>
      <c r="H173" s="48">
        <f t="shared" si="19"/>
        <v>3.5</v>
      </c>
      <c r="I173" s="1"/>
      <c r="J173" s="1"/>
    </row>
    <row r="174" ht="15" customHeight="1">
      <c r="A174" s="1"/>
      <c r="B174" s="1" t="s">
        <v>134</v>
      </c>
      <c r="C174" s="15">
        <f t="shared" si="42" ref="C174:H174">C27*365/C8/C171</f>
        <v>9.720798276991284</v>
      </c>
      <c r="D174" s="15">
        <f t="shared" si="42"/>
        <v>9.520834108181154</v>
      </c>
      <c r="E174" s="15">
        <f t="shared" si="42"/>
        <v>9.143642935722143</v>
      </c>
      <c r="F174" s="15">
        <f t="shared" si="42"/>
        <v>9.99065887515478</v>
      </c>
      <c r="G174" s="15" t="s">
        <v>33</v>
      </c>
      <c r="H174" s="41">
        <f t="shared" si="42"/>
        <v>10.509097364762612</v>
      </c>
      <c r="I174" s="1"/>
      <c r="J174" s="1"/>
    </row>
    <row r="175" ht="15" customHeight="1">
      <c r="A175" s="1"/>
      <c r="B175" s="4" t="s">
        <v>56</v>
      </c>
      <c r="C175" s="36" t="s">
        <v>33</v>
      </c>
      <c r="D175" s="36" t="s">
        <v>33</v>
      </c>
      <c r="E175" s="36" t="s">
        <v>33</v>
      </c>
      <c r="F175" s="36" t="s">
        <v>33</v>
      </c>
      <c r="G175" s="36" t="s">
        <v>33</v>
      </c>
      <c r="H175" s="35">
        <f t="shared" si="4"/>
        <v>0.08109406916067785</v>
      </c>
      <c r="I175" s="1"/>
      <c r="J175" s="1"/>
    </row>
    <row r="176" ht="15" customHeight="1">
      <c r="A176" s="1"/>
      <c r="B176" s="1" t="s">
        <v>79</v>
      </c>
      <c r="C176" s="15" t="s">
        <v>33</v>
      </c>
      <c r="D176" s="15">
        <f t="shared" si="17"/>
        <v>-0.1999641688101299</v>
      </c>
      <c r="E176" s="15">
        <f t="shared" si="17"/>
        <v>-0.37719117245901046</v>
      </c>
      <c r="F176" s="15">
        <f t="shared" si="17"/>
        <v>0.8470159394326373</v>
      </c>
      <c r="G176" s="15"/>
      <c r="H176" s="41">
        <f t="shared" si="19"/>
        <v>0.5184384896078313</v>
      </c>
      <c r="I176" s="1"/>
      <c r="J176" s="1"/>
    </row>
    <row r="177" ht="15" customHeight="1">
      <c r="A177" s="1"/>
      <c r="B177" s="1" t="s">
        <v>135</v>
      </c>
      <c r="C177" s="52">
        <v>27900</v>
      </c>
      <c r="D177" s="52">
        <v>28500</v>
      </c>
      <c r="E177" s="52">
        <v>27900</v>
      </c>
      <c r="F177" s="52">
        <v>28100</v>
      </c>
      <c r="G177" s="47">
        <f t="shared" si="36"/>
        <v>28500</v>
      </c>
      <c r="H177" s="48">
        <f t="shared" si="37"/>
        <v>28100</v>
      </c>
      <c r="I177" s="1"/>
      <c r="J177" s="1"/>
    </row>
    <row r="178" ht="15" customHeight="1">
      <c r="A178" s="1"/>
      <c r="B178" s="1" t="s">
        <v>78</v>
      </c>
      <c r="C178" s="47" t="s">
        <v>33</v>
      </c>
      <c r="D178" s="47" t="s">
        <v>33</v>
      </c>
      <c r="E178" s="47" t="s">
        <v>33</v>
      </c>
      <c r="F178" s="47" t="s">
        <v>33</v>
      </c>
      <c r="G178" s="47" t="s">
        <v>33</v>
      </c>
      <c r="H178" s="48">
        <f t="shared" si="18"/>
        <v>200</v>
      </c>
      <c r="I178" s="1"/>
      <c r="J178" s="1"/>
    </row>
    <row r="179" ht="15" customHeight="1">
      <c r="A179" s="1"/>
      <c r="B179" s="1" t="s">
        <v>79</v>
      </c>
      <c r="C179" s="47" t="s">
        <v>33</v>
      </c>
      <c r="D179" s="47">
        <f t="shared" si="17"/>
        <v>600</v>
      </c>
      <c r="E179" s="47">
        <f t="shared" si="17"/>
        <v>-600</v>
      </c>
      <c r="F179" s="47">
        <f t="shared" si="17"/>
        <v>200</v>
      </c>
      <c r="G179" s="47"/>
      <c r="H179" s="48">
        <f t="shared" si="19"/>
        <v>0</v>
      </c>
      <c r="I179" s="1"/>
      <c r="J179" s="1"/>
    </row>
    <row r="180" ht="15" customHeight="1">
      <c r="A180" s="1"/>
      <c r="B180" s="1"/>
      <c r="C180" s="1"/>
      <c r="D180" s="1"/>
      <c r="E180" s="1"/>
      <c r="F180" s="1"/>
      <c r="G180" s="1"/>
      <c r="H180" s="32"/>
      <c r="I180" s="1"/>
      <c r="J180" s="1"/>
    </row>
    <row r="181" ht="15" customHeight="1">
      <c r="A181" s="1"/>
      <c r="B181" s="31" t="s">
        <v>136</v>
      </c>
      <c r="C181" s="1"/>
      <c r="D181" s="1"/>
      <c r="E181" s="1"/>
      <c r="F181" s="1"/>
      <c r="G181" s="1"/>
      <c r="H181" s="32"/>
      <c r="I181" s="1"/>
      <c r="J181" s="1"/>
    </row>
    <row r="182" ht="15" customHeight="1">
      <c r="A182" s="1"/>
      <c r="B182" s="1" t="s">
        <v>137</v>
      </c>
      <c r="C182" s="15" t="s">
        <v>33</v>
      </c>
      <c r="D182" s="15" t="s">
        <v>33</v>
      </c>
      <c r="E182" s="15" t="s">
        <v>33</v>
      </c>
      <c r="F182" s="15" t="s">
        <v>33</v>
      </c>
      <c r="G182" s="42">
        <v>14671</v>
      </c>
      <c r="H182" s="41" t="s">
        <v>33</v>
      </c>
      <c r="I182" s="1"/>
      <c r="J182" s="1"/>
    </row>
    <row r="183" ht="15" customHeight="1">
      <c r="A183" s="1"/>
      <c r="B183" s="1" t="s">
        <v>138</v>
      </c>
      <c r="C183" s="15" t="s">
        <v>33</v>
      </c>
      <c r="D183" s="15" t="s">
        <v>33</v>
      </c>
      <c r="E183" s="15" t="s">
        <v>33</v>
      </c>
      <c r="F183" s="15" t="s">
        <v>33</v>
      </c>
      <c r="G183" s="42">
        <v>1428</v>
      </c>
      <c r="H183" s="41" t="s">
        <v>33</v>
      </c>
      <c r="I183" s="1"/>
      <c r="J183" s="1"/>
    </row>
    <row r="184" ht="15" customHeight="1">
      <c r="A184" s="1"/>
      <c r="B184" s="4" t="s">
        <v>139</v>
      </c>
      <c r="C184" s="36" t="s">
        <v>33</v>
      </c>
      <c r="D184" s="36" t="s">
        <v>33</v>
      </c>
      <c r="E184" s="36" t="s">
        <v>33</v>
      </c>
      <c r="F184" s="36" t="s">
        <v>33</v>
      </c>
      <c r="G184" s="36">
        <f>G182/(G182+G183)</f>
        <v>0.91129883843717</v>
      </c>
      <c r="H184" s="35" t="s">
        <v>33</v>
      </c>
      <c r="I184" s="1"/>
      <c r="J184" s="1"/>
    </row>
    <row r="185" ht="15" customHeight="1">
      <c r="A185" s="1"/>
      <c r="B185" s="4" t="s">
        <v>140</v>
      </c>
      <c r="C185" s="36" t="s">
        <v>33</v>
      </c>
      <c r="D185" s="36" t="s">
        <v>33</v>
      </c>
      <c r="E185" s="55">
        <v>0.91</v>
      </c>
      <c r="F185" s="55">
        <v>0.91</v>
      </c>
      <c r="G185" s="36" t="s">
        <v>33</v>
      </c>
      <c r="H185" s="35" t="s">
        <v>33</v>
      </c>
      <c r="I185" s="1"/>
      <c r="J185" s="1"/>
    </row>
    <row r="186" ht="1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ht="1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33692A8-A74F-22C6-C3FA-A62E349812CB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141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47</v>
      </c>
      <c r="D6" s="6" t="s">
        <v>48</v>
      </c>
      <c r="E6" s="6" t="s">
        <v>49</v>
      </c>
      <c r="F6" s="6" t="s">
        <v>50</v>
      </c>
      <c r="G6" s="6" t="s">
        <v>51</v>
      </c>
      <c r="H6" s="28" t="s">
        <v>4</v>
      </c>
      <c r="I6" s="1"/>
      <c r="J6" s="1"/>
    </row>
    <row r="7" ht="15" customHeight="1">
      <c r="A7" s="1"/>
      <c r="B7" s="7" t="s">
        <v>5</v>
      </c>
      <c r="C7" s="8">
        <v>45930</v>
      </c>
      <c r="D7" s="8">
        <v>46022</v>
      </c>
      <c r="E7" s="8">
        <v>46112</v>
      </c>
      <c r="F7" s="8">
        <v>46203</v>
      </c>
      <c r="G7" s="8">
        <v>46022</v>
      </c>
      <c r="H7" s="29">
        <v>46295</v>
      </c>
      <c r="I7" s="1"/>
      <c r="J7" s="1"/>
    </row>
    <row r="8" ht="15" customHeight="1">
      <c r="A8" s="1"/>
      <c r="B8" s="9" t="s">
        <v>6</v>
      </c>
      <c r="C8" s="10">
        <f t="shared" si="0" ref="C8:H8">C7-EOMONTH(C7,-3)</f>
        <v>92</v>
      </c>
      <c r="D8" s="10">
        <f t="shared" si="0"/>
        <v>92</v>
      </c>
      <c r="E8" s="10">
        <f t="shared" si="0"/>
        <v>90</v>
      </c>
      <c r="F8" s="10">
        <f t="shared" si="0"/>
        <v>91</v>
      </c>
      <c r="G8" s="10">
        <f>G7-EOMONTH(G7,-12)</f>
        <v>365</v>
      </c>
      <c r="H8" s="30">
        <f t="shared" si="0"/>
        <v>92</v>
      </c>
      <c r="I8" s="1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3" t="s">
        <v>52</v>
      </c>
    </row>
    <row r="10" ht="15" customHeight="1">
      <c r="A10" s="1"/>
      <c r="B10" s="31" t="s">
        <v>142</v>
      </c>
      <c r="C10" s="1"/>
      <c r="D10" s="1"/>
      <c r="E10" s="1"/>
      <c r="F10" s="1"/>
      <c r="G10" s="1"/>
      <c r="H10" s="32"/>
      <c r="I10" s="1"/>
      <c r="J10" s="1"/>
    </row>
    <row r="11" ht="15" customHeight="1">
      <c r="A11" s="1"/>
      <c r="B11" s="1" t="s">
        <v>143</v>
      </c>
      <c r="C11" s="12">
        <f>Inputs!C139-Inputs!C137</f>
        <v>1227</v>
      </c>
      <c r="D11" s="12">
        <f>Inputs!C141-Inputs!C139</f>
        <v>360</v>
      </c>
      <c r="E11" s="42">
        <v>647</v>
      </c>
      <c r="F11" s="12">
        <f>Inputs!C143-E11</f>
        <v>1632</v>
      </c>
      <c r="G11" s="12">
        <f>Inputs!C141</f>
        <v>3409</v>
      </c>
      <c r="H11" s="33">
        <f>('Revenue summary'!H84-'Cash Flow Statement'!H31)*H14</f>
        <v>1230.05</v>
      </c>
      <c r="I11" s="1"/>
      <c r="J11" s="1" t="s">
        <v>144</v>
      </c>
    </row>
    <row r="12" ht="15" customHeight="1">
      <c r="A12" s="1"/>
      <c r="B12" s="4" t="s">
        <v>56</v>
      </c>
      <c r="C12" s="36" t="s">
        <v>33</v>
      </c>
      <c r="D12" s="36" t="s">
        <v>33</v>
      </c>
      <c r="E12" s="36" t="s">
        <v>33</v>
      </c>
      <c r="F12" s="36" t="s">
        <v>33</v>
      </c>
      <c r="G12" s="36" t="s">
        <v>33</v>
      </c>
      <c r="H12" s="35">
        <f t="shared" si="11" ref="H12:H130">H11/C11-1</f>
        <v>0.0024857375713120966</v>
      </c>
      <c r="I12" s="1"/>
      <c r="J12" s="1"/>
    </row>
    <row r="13" ht="15" customHeight="1">
      <c r="A13" s="1"/>
      <c r="B13" s="1" t="s">
        <v>79</v>
      </c>
      <c r="C13" s="15" t="s">
        <v>33</v>
      </c>
      <c r="D13" s="15">
        <f t="shared" si="1" ref="D13:F131">D11-C11</f>
        <v>-867</v>
      </c>
      <c r="E13" s="15">
        <f t="shared" si="1"/>
        <v>287</v>
      </c>
      <c r="F13" s="15">
        <f t="shared" si="1"/>
        <v>985</v>
      </c>
      <c r="G13" s="15"/>
      <c r="H13" s="41">
        <f t="shared" si="4" ref="H13:H131">H11-F11</f>
        <v>-401.95000000000005</v>
      </c>
      <c r="I13" s="1"/>
      <c r="J13" s="1"/>
    </row>
    <row r="14" ht="15" customHeight="1">
      <c r="A14" s="1"/>
      <c r="B14" s="4" t="s">
        <v>145</v>
      </c>
      <c r="C14" s="34">
        <f>C11/(C11+'Segment - Specialty'!C11)</f>
        <v>0.7780596068484464</v>
      </c>
      <c r="D14" s="34">
        <f>D11/(D11+'Segment - Specialty'!D11)</f>
        <v>0.6728971962616822</v>
      </c>
      <c r="E14" s="34">
        <f>E11/(E11+'Segment - Specialty'!E11)</f>
        <v>0.6882978723404255</v>
      </c>
      <c r="F14" s="34">
        <f>F11/(F11+'Segment - Specialty'!F11)</f>
        <v>0.7569573283858998</v>
      </c>
      <c r="G14" s="34">
        <f>G11/(G11+'Segment - Specialty'!G11)</f>
        <v>0.7462784588441331</v>
      </c>
      <c r="H14" s="50">
        <v>0.73</v>
      </c>
      <c r="I14" s="1"/>
      <c r="J14" s="1" t="s">
        <v>146</v>
      </c>
    </row>
    <row r="15" ht="15" customHeight="1">
      <c r="A15" s="1"/>
      <c r="B15" s="1" t="s">
        <v>105</v>
      </c>
      <c r="C15" s="47" t="s">
        <v>33</v>
      </c>
      <c r="D15" s="47">
        <f t="shared" si="2" ref="D15:F15">(D14-C14)*10000</f>
        <v>-1051.6241058676424</v>
      </c>
      <c r="E15" s="47">
        <f t="shared" si="2"/>
        <v>154.0067607874329</v>
      </c>
      <c r="F15" s="47">
        <f t="shared" si="2"/>
        <v>686.594560454743</v>
      </c>
      <c r="G15" s="47"/>
      <c r="H15" s="48">
        <f>(H14-F14)*10000</f>
        <v>-269.57328385899814</v>
      </c>
      <c r="I15" s="1"/>
      <c r="J15" s="1"/>
    </row>
    <row r="16" ht="15" customHeight="1">
      <c r="A16" s="1"/>
      <c r="B16" s="4" t="s">
        <v>147</v>
      </c>
      <c r="C16" s="34">
        <f>C103/(C103+'Segment - Specialty'!C107)</f>
        <v>0.7485380116959064</v>
      </c>
      <c r="D16" s="34">
        <f>D103/(D103+'Segment - Specialty'!D107)</f>
        <v>0.7507163323782235</v>
      </c>
      <c r="E16" s="34">
        <f>E103/(E103+'Segment - Specialty'!E107)</f>
        <v>0.7444933920704846</v>
      </c>
      <c r="F16" s="34">
        <f>F103/(F103+'Segment - Specialty'!F107)</f>
        <v>0.7286931818181818</v>
      </c>
      <c r="G16" s="34">
        <f>G103/(G103+'Segment - Specialty'!G107)</f>
        <v>0.7569288389513109</v>
      </c>
      <c r="H16" s="56">
        <f>H30/'Revenue summary'!H93</f>
        <v>0.7254576553084053</v>
      </c>
      <c r="I16" s="1"/>
      <c r="J16" s="1" t="s">
        <v>148</v>
      </c>
    </row>
    <row r="17" ht="15" customHeight="1">
      <c r="A17" s="1"/>
      <c r="B17" s="1" t="s">
        <v>104</v>
      </c>
      <c r="C17" s="47" t="s">
        <v>33</v>
      </c>
      <c r="D17" s="47" t="s">
        <v>33</v>
      </c>
      <c r="E17" s="47" t="s">
        <v>33</v>
      </c>
      <c r="F17" s="47" t="s">
        <v>33</v>
      </c>
      <c r="G17" s="47" t="s">
        <v>33</v>
      </c>
      <c r="H17" s="48">
        <f t="shared" si="9" ref="H17:H136">(H16-C16)*10000</f>
        <v>-230.80356387501055</v>
      </c>
      <c r="I17" s="1"/>
      <c r="J17" s="1"/>
    </row>
    <row r="18" ht="15" customHeight="1">
      <c r="A18" s="1"/>
      <c r="B18" s="1" t="s">
        <v>149</v>
      </c>
      <c r="C18" s="12">
        <f>Inputs!F239*C16</f>
        <v>16535.204678362574</v>
      </c>
      <c r="D18" s="15">
        <f t="shared" si="3" ref="D18:F18">C30</f>
        <v>17081.637426900583</v>
      </c>
      <c r="E18" s="15">
        <f t="shared" si="3"/>
        <v>16876.103151862466</v>
      </c>
      <c r="F18" s="15">
        <f t="shared" si="3"/>
        <v>16818.105726872247</v>
      </c>
      <c r="G18" s="15" t="s">
        <v>33</v>
      </c>
      <c r="H18" s="41">
        <f>F30</f>
        <v>17306.463068181816</v>
      </c>
      <c r="I18" s="1"/>
      <c r="J18" s="1"/>
    </row>
    <row r="19" ht="15" customHeight="1">
      <c r="A19" s="1"/>
      <c r="B19" s="1" t="s">
        <v>78</v>
      </c>
      <c r="C19" s="15" t="s">
        <v>33</v>
      </c>
      <c r="D19" s="15" t="s">
        <v>33</v>
      </c>
      <c r="E19" s="15" t="s">
        <v>33</v>
      </c>
      <c r="F19" s="15" t="s">
        <v>33</v>
      </c>
      <c r="G19" s="15" t="s">
        <v>33</v>
      </c>
      <c r="H19" s="41">
        <f t="shared" si="5" ref="H19:H34">H18-C18</f>
        <v>771.2583898192424</v>
      </c>
      <c r="I19" s="1"/>
      <c r="J19" s="1"/>
    </row>
    <row r="20" ht="15" customHeight="1">
      <c r="A20" s="1"/>
      <c r="B20" s="1" t="s">
        <v>79</v>
      </c>
      <c r="C20" s="15" t="s">
        <v>33</v>
      </c>
      <c r="D20" s="15">
        <f t="shared" si="1"/>
        <v>546.432748538009</v>
      </c>
      <c r="E20" s="15">
        <f t="shared" si="1"/>
        <v>-205.5342750381169</v>
      </c>
      <c r="F20" s="15">
        <f t="shared" si="1"/>
        <v>-57.99742499021886</v>
      </c>
      <c r="G20" s="15"/>
      <c r="H20" s="41">
        <f t="shared" si="4"/>
        <v>488.35734130956916</v>
      </c>
      <c r="I20" s="1"/>
      <c r="J20" s="1"/>
    </row>
    <row r="21" ht="15" customHeight="1">
      <c r="A21" s="1"/>
      <c r="B21" s="1" t="s">
        <v>150</v>
      </c>
      <c r="C21" s="12">
        <f>'Revenue summary'!C84*C14</f>
        <v>1159.3088142041852</v>
      </c>
      <c r="D21" s="12">
        <f>'Revenue summary'!D84*D14</f>
        <v>288.67289719626166</v>
      </c>
      <c r="E21" s="12">
        <f>'Revenue summary'!E84*E14</f>
        <v>601.5723404255319</v>
      </c>
      <c r="F21" s="12">
        <f>'Revenue summary'!F84*F14</f>
        <v>1557.061224489796</v>
      </c>
      <c r="G21" s="12">
        <f>'Revenue summary'!G84*G14</f>
        <v>3126.1604640980736</v>
      </c>
      <c r="H21" s="33">
        <f>'Revenue summary'!H84*H14</f>
        <v>1160.7</v>
      </c>
      <c r="I21" s="1"/>
      <c r="J21" s="1"/>
    </row>
    <row r="22" ht="15" customHeight="1">
      <c r="A22" s="1"/>
      <c r="B22" s="1" t="s">
        <v>78</v>
      </c>
      <c r="C22" s="15" t="s">
        <v>33</v>
      </c>
      <c r="D22" s="15" t="s">
        <v>33</v>
      </c>
      <c r="E22" s="15" t="s">
        <v>33</v>
      </c>
      <c r="F22" s="15" t="s">
        <v>33</v>
      </c>
      <c r="G22" s="15" t="s">
        <v>33</v>
      </c>
      <c r="H22" s="41">
        <f t="shared" si="5"/>
        <v>1.391185795814863</v>
      </c>
      <c r="I22" s="1"/>
      <c r="J22" s="1"/>
    </row>
    <row r="23" ht="15" customHeight="1">
      <c r="A23" s="1"/>
      <c r="B23" s="1" t="s">
        <v>79</v>
      </c>
      <c r="C23" s="15" t="s">
        <v>33</v>
      </c>
      <c r="D23" s="15">
        <f t="shared" si="1"/>
        <v>-870.6359170079236</v>
      </c>
      <c r="E23" s="15">
        <f t="shared" si="1"/>
        <v>312.8994432292703</v>
      </c>
      <c r="F23" s="15">
        <f t="shared" si="1"/>
        <v>955.488884064264</v>
      </c>
      <c r="G23" s="15"/>
      <c r="H23" s="41">
        <f t="shared" si="4"/>
        <v>-396.36122448979586</v>
      </c>
      <c r="I23" s="1"/>
      <c r="J23" s="1"/>
    </row>
    <row r="24" ht="15" customHeight="1">
      <c r="A24" s="1"/>
      <c r="B24" s="1" t="s">
        <v>151</v>
      </c>
      <c r="C24" s="12">
        <f>'Revenue summary'!C87*C52</f>
        <v>509.32732732732734</v>
      </c>
      <c r="D24" s="12">
        <f>'Revenue summary'!D87*D52</f>
        <v>677.2908366533865</v>
      </c>
      <c r="E24" s="12">
        <f>'Revenue summary'!E87*E52</f>
        <v>584.8</v>
      </c>
      <c r="F24" s="12">
        <f>'Revenue summary'!F87*F52</f>
        <v>537.0181818181818</v>
      </c>
      <c r="G24" s="15" t="s">
        <v>33</v>
      </c>
      <c r="H24" s="33">
        <f>'Revenue summary'!H87*H52</f>
        <v>573.75</v>
      </c>
      <c r="I24" s="1"/>
      <c r="J24" s="1"/>
    </row>
    <row r="25" ht="15" customHeight="1">
      <c r="A25" s="1"/>
      <c r="B25" s="1" t="s">
        <v>78</v>
      </c>
      <c r="C25" s="15" t="s">
        <v>33</v>
      </c>
      <c r="D25" s="15" t="s">
        <v>33</v>
      </c>
      <c r="E25" s="15" t="s">
        <v>33</v>
      </c>
      <c r="F25" s="15" t="s">
        <v>33</v>
      </c>
      <c r="G25" s="15" t="s">
        <v>33</v>
      </c>
      <c r="H25" s="41">
        <f t="shared" si="5"/>
        <v>64.42267267267266</v>
      </c>
      <c r="I25" s="1"/>
      <c r="J25" s="1"/>
    </row>
    <row r="26" ht="15" customHeight="1">
      <c r="A26" s="1"/>
      <c r="B26" s="1" t="s">
        <v>79</v>
      </c>
      <c r="C26" s="15" t="s">
        <v>33</v>
      </c>
      <c r="D26" s="15">
        <f t="shared" si="1"/>
        <v>167.96350932605912</v>
      </c>
      <c r="E26" s="15">
        <f t="shared" si="1"/>
        <v>-92.49083665338651</v>
      </c>
      <c r="F26" s="15">
        <f t="shared" si="1"/>
        <v>-47.78181818181815</v>
      </c>
      <c r="G26" s="15"/>
      <c r="H26" s="41">
        <f t="shared" si="4"/>
        <v>36.7318181818182</v>
      </c>
      <c r="I26" s="1"/>
      <c r="J26" s="1"/>
    </row>
    <row r="27" ht="15" customHeight="1">
      <c r="A27" s="1"/>
      <c r="B27" s="1" t="s">
        <v>152</v>
      </c>
      <c r="C27" s="15">
        <f t="shared" si="6" ref="C27:F27">C30-C18-C21+C24</f>
        <v>-103.5487383388488</v>
      </c>
      <c r="D27" s="15">
        <f t="shared" si="6"/>
        <v>183.0836644190079</v>
      </c>
      <c r="E27" s="15">
        <f t="shared" si="6"/>
        <v>-74.76976541575084</v>
      </c>
      <c r="F27" s="15">
        <f t="shared" si="6"/>
        <v>-531.6857013620449</v>
      </c>
      <c r="G27" s="15" t="s">
        <v>33</v>
      </c>
      <c r="H27" s="33">
        <f>'Revenue summary'!H90*H14</f>
        <v>0</v>
      </c>
      <c r="I27" s="1"/>
      <c r="J27" s="1"/>
    </row>
    <row r="28" ht="15" customHeight="1">
      <c r="A28" s="1"/>
      <c r="B28" s="1" t="s">
        <v>78</v>
      </c>
      <c r="C28" s="15" t="s">
        <v>33</v>
      </c>
      <c r="D28" s="15" t="s">
        <v>33</v>
      </c>
      <c r="E28" s="15" t="s">
        <v>33</v>
      </c>
      <c r="F28" s="15" t="s">
        <v>33</v>
      </c>
      <c r="G28" s="15" t="s">
        <v>33</v>
      </c>
      <c r="H28" s="41">
        <f t="shared" si="5"/>
        <v>103.5487383388488</v>
      </c>
      <c r="I28" s="1"/>
      <c r="J28" s="1"/>
    </row>
    <row r="29" ht="15" customHeight="1">
      <c r="A29" s="1"/>
      <c r="B29" s="1" t="s">
        <v>79</v>
      </c>
      <c r="C29" s="15" t="s">
        <v>33</v>
      </c>
      <c r="D29" s="15">
        <f t="shared" si="1"/>
        <v>286.6324027578567</v>
      </c>
      <c r="E29" s="15">
        <f t="shared" si="1"/>
        <v>-257.85342983475874</v>
      </c>
      <c r="F29" s="15">
        <f t="shared" si="1"/>
        <v>-456.9159359462941</v>
      </c>
      <c r="G29" s="15"/>
      <c r="H29" s="41">
        <f t="shared" si="4"/>
        <v>531.6857013620449</v>
      </c>
      <c r="I29" s="1"/>
      <c r="J29" s="1"/>
    </row>
    <row r="30" ht="15" customHeight="1">
      <c r="A30" s="1"/>
      <c r="B30" s="3" t="s">
        <v>153</v>
      </c>
      <c r="C30" s="57">
        <f>'Revenue summary'!C93*C16</f>
        <v>17081.637426900583</v>
      </c>
      <c r="D30" s="57">
        <f>'Revenue summary'!D93*D16</f>
        <v>16876.103151862466</v>
      </c>
      <c r="E30" s="57">
        <f>'Revenue summary'!E93*E16</f>
        <v>16818.105726872247</v>
      </c>
      <c r="F30" s="57">
        <f>'Revenue summary'!F93*F16</f>
        <v>17306.463068181816</v>
      </c>
      <c r="G30" s="37">
        <f t="shared" si="31" ref="G30:G139">D30</f>
        <v>16876.103151862466</v>
      </c>
      <c r="H30" s="38">
        <f>H18+H21-H24+H27</f>
        <v>17893.413068181817</v>
      </c>
      <c r="I30" s="1"/>
      <c r="J30" s="1"/>
    </row>
    <row r="31" ht="15" customHeight="1">
      <c r="A31" s="1"/>
      <c r="B31" s="1" t="s">
        <v>78</v>
      </c>
      <c r="C31" s="15" t="s">
        <v>33</v>
      </c>
      <c r="D31" s="15" t="s">
        <v>33</v>
      </c>
      <c r="E31" s="15" t="s">
        <v>33</v>
      </c>
      <c r="F31" s="15" t="s">
        <v>33</v>
      </c>
      <c r="G31" s="15" t="s">
        <v>33</v>
      </c>
      <c r="H31" s="41">
        <f t="shared" si="5"/>
        <v>811.7756412812341</v>
      </c>
      <c r="I31" s="1"/>
      <c r="J31" s="1"/>
    </row>
    <row r="32" ht="15" customHeight="1">
      <c r="A32" s="1"/>
      <c r="B32" s="1" t="s">
        <v>79</v>
      </c>
      <c r="C32" s="15" t="s">
        <v>33</v>
      </c>
      <c r="D32" s="15">
        <f t="shared" si="1"/>
        <v>-205.5342750381169</v>
      </c>
      <c r="E32" s="15">
        <f t="shared" si="1"/>
        <v>-57.99742499021886</v>
      </c>
      <c r="F32" s="15">
        <f t="shared" si="1"/>
        <v>488.35734130956916</v>
      </c>
      <c r="G32" s="15"/>
      <c r="H32" s="41">
        <f t="shared" si="4"/>
        <v>586.9500000000007</v>
      </c>
      <c r="I32" s="1"/>
      <c r="J32" s="1"/>
    </row>
    <row r="33" ht="15" customHeight="1">
      <c r="A33" s="1"/>
      <c r="B33" s="1" t="s">
        <v>154</v>
      </c>
      <c r="C33" s="15">
        <f t="shared" si="7" ref="C33:H33">(C18+C30)/2</f>
        <v>16808.42105263158</v>
      </c>
      <c r="D33" s="15">
        <f t="shared" si="7"/>
        <v>16978.870289381524</v>
      </c>
      <c r="E33" s="15">
        <f t="shared" si="7"/>
        <v>16847.10443936736</v>
      </c>
      <c r="F33" s="15">
        <f t="shared" si="7"/>
        <v>17062.28439752703</v>
      </c>
      <c r="G33" s="15" t="s">
        <v>33</v>
      </c>
      <c r="H33" s="41">
        <f t="shared" si="7"/>
        <v>17599.938068181815</v>
      </c>
      <c r="I33" s="1"/>
      <c r="J33" s="1"/>
    </row>
    <row r="34" ht="15" customHeight="1">
      <c r="A34" s="1"/>
      <c r="B34" s="1" t="s">
        <v>78</v>
      </c>
      <c r="C34" s="15" t="s">
        <v>33</v>
      </c>
      <c r="D34" s="15" t="s">
        <v>33</v>
      </c>
      <c r="E34" s="15" t="s">
        <v>33</v>
      </c>
      <c r="F34" s="15" t="s">
        <v>33</v>
      </c>
      <c r="G34" s="15" t="s">
        <v>33</v>
      </c>
      <c r="H34" s="41">
        <f t="shared" si="5"/>
        <v>791.5170155502346</v>
      </c>
      <c r="I34" s="1"/>
      <c r="J34" s="1"/>
    </row>
    <row r="35" ht="15" customHeight="1">
      <c r="A35" s="1"/>
      <c r="B35" s="1" t="s">
        <v>79</v>
      </c>
      <c r="C35" s="15" t="s">
        <v>33</v>
      </c>
      <c r="D35" s="15">
        <f t="shared" si="1"/>
        <v>170.44923674994425</v>
      </c>
      <c r="E35" s="15">
        <f t="shared" si="1"/>
        <v>-131.76585001416606</v>
      </c>
      <c r="F35" s="15">
        <f t="shared" si="1"/>
        <v>215.17995815967151</v>
      </c>
      <c r="G35" s="15"/>
      <c r="H35" s="41">
        <f t="shared" si="4"/>
        <v>537.653670654785</v>
      </c>
      <c r="I35" s="1"/>
      <c r="J35" s="1"/>
    </row>
    <row r="36" ht="15" customHeight="1">
      <c r="A36" s="1"/>
      <c r="B36" s="4" t="s">
        <v>155</v>
      </c>
      <c r="C36" s="36" t="s">
        <v>33</v>
      </c>
      <c r="D36" s="36" t="s">
        <v>33</v>
      </c>
      <c r="E36" s="36" t="s">
        <v>33</v>
      </c>
      <c r="F36" s="36" t="s">
        <v>33</v>
      </c>
      <c r="G36" s="36" t="s">
        <v>33</v>
      </c>
      <c r="H36" s="35">
        <f t="shared" si="14" ref="H36:H54">H33/C33-1</f>
        <v>0.04709050380590707</v>
      </c>
      <c r="I36" s="1"/>
      <c r="J36" s="1"/>
    </row>
    <row r="37" ht="15" customHeight="1">
      <c r="A37" s="1"/>
      <c r="B37" s="1" t="s">
        <v>156</v>
      </c>
      <c r="C37" s="16">
        <f t="shared" si="8" ref="C37:H37">C43*365/C8/C33</f>
        <v>0.5664862333362376</v>
      </c>
      <c r="D37" s="16">
        <f t="shared" si="8"/>
        <v>0.5603320000492588</v>
      </c>
      <c r="E37" s="16">
        <f t="shared" si="8"/>
        <v>0.5365808329774204</v>
      </c>
      <c r="F37" s="16">
        <f t="shared" si="8"/>
        <v>0.5684216252998994</v>
      </c>
      <c r="G37" s="16" t="s">
        <v>33</v>
      </c>
      <c r="H37" s="46">
        <f t="shared" si="8"/>
        <v>0.5749835268362812</v>
      </c>
      <c r="I37" s="1"/>
      <c r="J37" s="1"/>
    </row>
    <row r="38" ht="15" customHeight="1">
      <c r="A38" s="1"/>
      <c r="B38" s="1" t="s">
        <v>104</v>
      </c>
      <c r="C38" s="47" t="s">
        <v>33</v>
      </c>
      <c r="D38" s="47" t="s">
        <v>33</v>
      </c>
      <c r="E38" s="47" t="s">
        <v>33</v>
      </c>
      <c r="F38" s="47" t="s">
        <v>33</v>
      </c>
      <c r="G38" s="47" t="s">
        <v>33</v>
      </c>
      <c r="H38" s="48">
        <f t="shared" si="9"/>
        <v>84.9729350004358</v>
      </c>
      <c r="I38" s="1"/>
      <c r="J38" s="1"/>
    </row>
    <row r="39" ht="15" customHeight="1">
      <c r="A39" s="1"/>
      <c r="B39" s="1" t="s">
        <v>105</v>
      </c>
      <c r="C39" s="47" t="s">
        <v>33</v>
      </c>
      <c r="D39" s="47">
        <f t="shared" si="10" ref="D39:F39">(D37-C37)*10000</f>
        <v>-61.54233286978838</v>
      </c>
      <c r="E39" s="47">
        <f t="shared" si="10"/>
        <v>-237.5116707183833</v>
      </c>
      <c r="F39" s="47">
        <f t="shared" si="10"/>
        <v>318.4079232247894</v>
      </c>
      <c r="G39" s="47"/>
      <c r="H39" s="48">
        <f>(H37-F37)*10000</f>
        <v>65.6190153638181</v>
      </c>
      <c r="I39" s="1"/>
      <c r="J39" s="1"/>
    </row>
    <row r="40" ht="15" customHeight="1">
      <c r="A40" s="1"/>
      <c r="B40" s="4" t="s">
        <v>157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33</v>
      </c>
      <c r="H40" s="50">
        <v>0.015</v>
      </c>
      <c r="I40" s="1"/>
      <c r="J40" s="1" t="s">
        <v>158</v>
      </c>
    </row>
    <row r="41" ht="15" customHeight="1">
      <c r="A41" s="1"/>
      <c r="B41" s="1"/>
      <c r="C41" s="1"/>
      <c r="D41" s="1"/>
      <c r="E41" s="1"/>
      <c r="F41" s="1"/>
      <c r="G41" s="1"/>
      <c r="H41" s="32"/>
      <c r="I41" s="1"/>
      <c r="J41" s="1"/>
    </row>
    <row r="42" ht="15" customHeight="1">
      <c r="A42" s="1"/>
      <c r="B42" s="31" t="s">
        <v>159</v>
      </c>
      <c r="C42" s="1"/>
      <c r="D42" s="1"/>
      <c r="E42" s="1"/>
      <c r="F42" s="1"/>
      <c r="G42" s="1"/>
      <c r="H42" s="32"/>
      <c r="I42" s="1"/>
      <c r="J42" s="1"/>
    </row>
    <row r="43" ht="15" customHeight="1">
      <c r="A43" s="1"/>
      <c r="B43" s="1" t="s">
        <v>68</v>
      </c>
      <c r="C43" s="42">
        <v>2400</v>
      </c>
      <c r="D43" s="12">
        <f>G43-Inputs!E147-Inputs!F147-C43</f>
        <v>2398</v>
      </c>
      <c r="E43" s="42">
        <v>2229</v>
      </c>
      <c r="F43" s="42">
        <v>2418</v>
      </c>
      <c r="G43" s="42">
        <v>9165</v>
      </c>
      <c r="H43" s="41">
        <f>C43*(H33/C33)*(1+H40)</f>
        <v>2550.7124672711893</v>
      </c>
      <c r="I43" s="1"/>
      <c r="J43" s="1" t="s">
        <v>160</v>
      </c>
    </row>
    <row r="44" ht="15" customHeight="1">
      <c r="A44" s="1"/>
      <c r="B44" s="4" t="s">
        <v>56</v>
      </c>
      <c r="C44" s="34">
        <f>C43/Inputs!C147-1</f>
        <v>0.0313708637730985</v>
      </c>
      <c r="D44" s="34">
        <f>D43/Inputs!D147-1</f>
        <v>0.02522445489525449</v>
      </c>
      <c r="E44" s="34">
        <f>E43/Inputs!E147-1</f>
        <v>0.0619342544068604</v>
      </c>
      <c r="F44" s="34">
        <f>F43/Inputs!F147-1</f>
        <v>0.06613756613756605</v>
      </c>
      <c r="G44" s="34">
        <f>G43/Inputs!G147-1</f>
        <v>0.02459474566797093</v>
      </c>
      <c r="H44" s="35">
        <f t="shared" si="11"/>
        <v>0.06279686136299545</v>
      </c>
      <c r="I44" s="1"/>
      <c r="J44" s="1"/>
    </row>
    <row r="45" ht="15" customHeight="1">
      <c r="A45" s="1"/>
      <c r="B45" s="1" t="s">
        <v>79</v>
      </c>
      <c r="C45" s="12">
        <f>C43-Inputs!F147</f>
        <v>132</v>
      </c>
      <c r="D45" s="15">
        <f t="shared" si="1"/>
        <v>-2</v>
      </c>
      <c r="E45" s="15">
        <f t="shared" si="1"/>
        <v>-169</v>
      </c>
      <c r="F45" s="15">
        <f t="shared" si="1"/>
        <v>189</v>
      </c>
      <c r="G45" s="15"/>
      <c r="H45" s="41">
        <f t="shared" si="4"/>
        <v>132.71246727118933</v>
      </c>
      <c r="I45" s="1"/>
      <c r="J45" s="1"/>
    </row>
    <row r="46" ht="15" customHeight="1">
      <c r="A46" s="1"/>
      <c r="B46" s="4" t="s">
        <v>57</v>
      </c>
      <c r="C46" s="34">
        <f>C43/Inputs!F147-1</f>
        <v>0.05820105820105814</v>
      </c>
      <c r="D46" s="36">
        <f t="shared" si="12" ref="D46:F46">D43/C43-1</f>
        <v>-0.0008333333333333526</v>
      </c>
      <c r="E46" s="36">
        <f t="shared" si="12"/>
        <v>-0.07047539616346954</v>
      </c>
      <c r="F46" s="36">
        <f t="shared" si="12"/>
        <v>0.08479138627187077</v>
      </c>
      <c r="G46" s="36"/>
      <c r="H46" s="35">
        <f>H43/F43-1</f>
        <v>0.0548852221965217</v>
      </c>
      <c r="I46" s="1"/>
      <c r="J46" s="1"/>
    </row>
    <row r="47" ht="15" customHeight="1">
      <c r="A47" s="1"/>
      <c r="B47" s="4" t="s">
        <v>59</v>
      </c>
      <c r="C47" s="36" t="s">
        <v>33</v>
      </c>
      <c r="D47" s="36" t="s">
        <v>33</v>
      </c>
      <c r="E47" s="36" t="s">
        <v>33</v>
      </c>
      <c r="F47" s="36" t="s">
        <v>33</v>
      </c>
      <c r="G47" s="36" t="s">
        <v>33</v>
      </c>
      <c r="H47" s="35" t="s">
        <v>33</v>
      </c>
      <c r="I47" s="1"/>
      <c r="J47" s="1" t="s">
        <v>60</v>
      </c>
    </row>
    <row r="48" ht="15" customHeight="1">
      <c r="A48" s="1"/>
      <c r="B48" s="4" t="s">
        <v>61</v>
      </c>
      <c r="C48" s="36" t="s">
        <v>33</v>
      </c>
      <c r="D48" s="36" t="s">
        <v>33</v>
      </c>
      <c r="E48" s="36" t="s">
        <v>33</v>
      </c>
      <c r="F48" s="36" t="s">
        <v>33</v>
      </c>
      <c r="G48" s="36" t="s">
        <v>33</v>
      </c>
      <c r="H48" s="35" t="s">
        <v>33</v>
      </c>
      <c r="I48" s="1"/>
      <c r="J48" s="1"/>
    </row>
    <row r="49" ht="15" customHeight="1">
      <c r="A49" s="1"/>
      <c r="B49" s="4" t="s">
        <v>62</v>
      </c>
      <c r="C49" s="36" t="s">
        <v>33</v>
      </c>
      <c r="D49" s="36" t="s">
        <v>33</v>
      </c>
      <c r="E49" s="36" t="s">
        <v>33</v>
      </c>
      <c r="F49" s="36" t="s">
        <v>33</v>
      </c>
      <c r="G49" s="36" t="s">
        <v>33</v>
      </c>
      <c r="H49" s="35" t="s">
        <v>33</v>
      </c>
      <c r="I49" s="1"/>
      <c r="J49" s="1"/>
    </row>
    <row r="50" ht="15" customHeight="1">
      <c r="A50" s="1"/>
      <c r="B50" s="4" t="s">
        <v>63</v>
      </c>
      <c r="C50" s="36">
        <f t="shared" si="13" ref="C50:H88">C44</f>
        <v>0.0313708637730985</v>
      </c>
      <c r="D50" s="36">
        <f t="shared" si="13"/>
        <v>0.02522445489525449</v>
      </c>
      <c r="E50" s="36">
        <f t="shared" si="13"/>
        <v>0.0619342544068604</v>
      </c>
      <c r="F50" s="36">
        <f t="shared" si="13"/>
        <v>0.06613756613756605</v>
      </c>
      <c r="G50" s="36">
        <f t="shared" si="13"/>
        <v>0.02459474566797093</v>
      </c>
      <c r="H50" s="35">
        <f t="shared" si="13"/>
        <v>0.06279686136299545</v>
      </c>
      <c r="I50" s="1"/>
      <c r="J50" s="1"/>
    </row>
    <row r="51" ht="15" customHeight="1">
      <c r="A51" s="1"/>
      <c r="B51" s="1" t="s">
        <v>69</v>
      </c>
      <c r="C51" s="42">
        <v>274</v>
      </c>
      <c r="D51" s="12">
        <f>G51-Inputs!E148-Inputs!F148-C51</f>
        <v>340</v>
      </c>
      <c r="E51" s="42">
        <v>301</v>
      </c>
      <c r="F51" s="42">
        <v>284</v>
      </c>
      <c r="G51" s="42">
        <v>1216</v>
      </c>
      <c r="H51" s="33">
        <f>'Revenue summary'!H145*H52</f>
        <v>304.0875</v>
      </c>
      <c r="I51" s="1"/>
      <c r="J51" s="1"/>
    </row>
    <row r="52" ht="15" customHeight="1">
      <c r="A52" s="1"/>
      <c r="B52" s="4" t="s">
        <v>161</v>
      </c>
      <c r="C52" s="34">
        <f>C51/'Revenue summary'!C44</f>
        <v>0.8228228228228228</v>
      </c>
      <c r="D52" s="34">
        <f>D51/'Revenue summary'!D44</f>
        <v>0.8808290155440415</v>
      </c>
      <c r="E52" s="34">
        <f>E51/'Revenue summary'!E44</f>
        <v>0.86</v>
      </c>
      <c r="F52" s="34">
        <f>F51/'Revenue summary'!F44</f>
        <v>0.8606060606060606</v>
      </c>
      <c r="G52" s="34">
        <f>G51/'Revenue summary'!G44</f>
        <v>0.8605803255484784</v>
      </c>
      <c r="H52" s="50">
        <v>0.85</v>
      </c>
      <c r="I52" s="1"/>
      <c r="J52" s="1"/>
    </row>
    <row r="53" ht="15" customHeight="1">
      <c r="A53" s="1"/>
      <c r="B53" s="1" t="s">
        <v>104</v>
      </c>
      <c r="C53" s="51">
        <f>(C52-Inputs!C148/Inputs!C178)*10000</f>
        <v>-307.5973169431112</v>
      </c>
      <c r="D53" s="51">
        <f>(D52-Inputs!D148/Inputs!D178)*10000</f>
        <v>69.35210234306987</v>
      </c>
      <c r="E53" s="51">
        <f>(E52-Inputs!E148/Inputs!E178)*10000</f>
        <v>-153.3156498673738</v>
      </c>
      <c r="F53" s="51">
        <f>(F52-Inputs!F148/Inputs!F178)*10000</f>
        <v>25.618965682057127</v>
      </c>
      <c r="G53" s="51">
        <f>(G52-Inputs!G148/Inputs!G178)*10000</f>
        <v>-125.29470638240836</v>
      </c>
      <c r="H53" s="48">
        <f t="shared" si="9"/>
        <v>271.77177177177157</v>
      </c>
      <c r="I53" s="1"/>
      <c r="J53" s="1"/>
    </row>
    <row r="54" ht="15" customHeight="1">
      <c r="A54" s="1"/>
      <c r="B54" s="4" t="s">
        <v>56</v>
      </c>
      <c r="C54" s="34">
        <f>C51/Inputs!C148-1</f>
        <v>0</v>
      </c>
      <c r="D54" s="34">
        <f>D51/Inputs!D148-1</f>
        <v>-0.1392405063291139</v>
      </c>
      <c r="E54" s="34">
        <f>E51/Inputs!E148-1</f>
        <v>-0.08787878787878789</v>
      </c>
      <c r="F54" s="34">
        <f>F51/Inputs!F148-1</f>
        <v>0.044117647058823595</v>
      </c>
      <c r="G54" s="34">
        <f>G51/Inputs!G148-1</f>
        <v>-0.08433734939759041</v>
      </c>
      <c r="H54" s="35">
        <f t="shared" si="14"/>
        <v>0.10980839416058386</v>
      </c>
      <c r="I54" s="1"/>
      <c r="J54" s="1"/>
    </row>
    <row r="55" ht="15" customHeight="1">
      <c r="A55" s="1"/>
      <c r="B55" s="1" t="s">
        <v>79</v>
      </c>
      <c r="C55" s="12">
        <f>C51-Inputs!F148</f>
        <v>2</v>
      </c>
      <c r="D55" s="15">
        <f t="shared" si="15" ref="D55:F55">D51-C51</f>
        <v>66</v>
      </c>
      <c r="E55" s="15">
        <f t="shared" si="15"/>
        <v>-39</v>
      </c>
      <c r="F55" s="15">
        <f t="shared" si="15"/>
        <v>-17</v>
      </c>
      <c r="G55" s="15"/>
      <c r="H55" s="41">
        <f>H51-F51</f>
        <v>20.087499999999977</v>
      </c>
      <c r="I55" s="1"/>
      <c r="J55" s="1"/>
    </row>
    <row r="56" ht="15" customHeight="1">
      <c r="A56" s="1"/>
      <c r="B56" s="4" t="s">
        <v>59</v>
      </c>
      <c r="C56" s="36" t="s">
        <v>33</v>
      </c>
      <c r="D56" s="36" t="s">
        <v>33</v>
      </c>
      <c r="E56" s="36" t="s">
        <v>33</v>
      </c>
      <c r="F56" s="36" t="s">
        <v>33</v>
      </c>
      <c r="G56" s="36" t="s">
        <v>33</v>
      </c>
      <c r="H56" s="35" t="s">
        <v>33</v>
      </c>
      <c r="I56" s="1"/>
      <c r="J56" s="1" t="s">
        <v>60</v>
      </c>
    </row>
    <row r="57" ht="15" customHeight="1">
      <c r="A57" s="1"/>
      <c r="B57" s="4" t="s">
        <v>61</v>
      </c>
      <c r="C57" s="36" t="s">
        <v>33</v>
      </c>
      <c r="D57" s="36" t="s">
        <v>33</v>
      </c>
      <c r="E57" s="36" t="s">
        <v>33</v>
      </c>
      <c r="F57" s="36" t="s">
        <v>33</v>
      </c>
      <c r="G57" s="36" t="s">
        <v>33</v>
      </c>
      <c r="H57" s="35" t="s">
        <v>33</v>
      </c>
      <c r="I57" s="1"/>
      <c r="J57" s="1"/>
    </row>
    <row r="58" ht="15" customHeight="1">
      <c r="A58" s="1"/>
      <c r="B58" s="4" t="s">
        <v>62</v>
      </c>
      <c r="C58" s="36" t="s">
        <v>33</v>
      </c>
      <c r="D58" s="36" t="s">
        <v>33</v>
      </c>
      <c r="E58" s="36" t="s">
        <v>33</v>
      </c>
      <c r="F58" s="36" t="s">
        <v>33</v>
      </c>
      <c r="G58" s="36" t="s">
        <v>33</v>
      </c>
      <c r="H58" s="35" t="s">
        <v>33</v>
      </c>
      <c r="I58" s="1"/>
      <c r="J58" s="1"/>
    </row>
    <row r="59" ht="15" customHeight="1">
      <c r="A59" s="1"/>
      <c r="B59" s="4" t="s">
        <v>63</v>
      </c>
      <c r="C59" s="36">
        <f t="shared" si="16" ref="C59:H80">C54</f>
        <v>0</v>
      </c>
      <c r="D59" s="36">
        <f t="shared" si="16"/>
        <v>-0.1392405063291139</v>
      </c>
      <c r="E59" s="36">
        <f t="shared" si="16"/>
        <v>-0.08787878787878789</v>
      </c>
      <c r="F59" s="36">
        <f t="shared" si="16"/>
        <v>0.044117647058823595</v>
      </c>
      <c r="G59" s="36">
        <f t="shared" si="16"/>
        <v>-0.08433734939759041</v>
      </c>
      <c r="H59" s="35">
        <f t="shared" si="16"/>
        <v>0.10980839416058386</v>
      </c>
      <c r="I59" s="1"/>
      <c r="J59" s="1"/>
    </row>
    <row r="60" ht="15" customHeight="1">
      <c r="A60" s="1"/>
      <c r="B60" s="1" t="s">
        <v>70</v>
      </c>
      <c r="C60" s="42">
        <v>45</v>
      </c>
      <c r="D60" s="12">
        <f>G60-Inputs!E149-Inputs!F149-C60</f>
        <v>62</v>
      </c>
      <c r="E60" s="42">
        <v>48</v>
      </c>
      <c r="F60" s="42">
        <v>39</v>
      </c>
      <c r="G60" s="42">
        <v>199</v>
      </c>
      <c r="H60" s="41">
        <f t="shared" si="17" ref="H60:H74">C60*(1+H61)</f>
        <v>45</v>
      </c>
      <c r="I60" s="1"/>
      <c r="J60" s="1"/>
    </row>
    <row r="61" ht="15" customHeight="1">
      <c r="A61" s="1"/>
      <c r="B61" s="4" t="s">
        <v>107</v>
      </c>
      <c r="C61" s="34">
        <f>C60/Inputs!C149-1</f>
        <v>0.25</v>
      </c>
      <c r="D61" s="34">
        <f>D60/Inputs!D149-1</f>
        <v>-0.07462686567164178</v>
      </c>
      <c r="E61" s="34">
        <f>E60/Inputs!E149-1</f>
        <v>0.11627906976744184</v>
      </c>
      <c r="F61" s="34">
        <f>F60/Inputs!F149-1</f>
        <v>-0.20408163265306123</v>
      </c>
      <c r="G61" s="34">
        <f>G60/Inputs!G149-1</f>
        <v>0.2515723270440251</v>
      </c>
      <c r="H61" s="50">
        <v>0</v>
      </c>
      <c r="I61" s="1"/>
      <c r="J61" s="1"/>
    </row>
    <row r="62" ht="15" customHeight="1">
      <c r="A62" s="1"/>
      <c r="B62" s="1" t="s">
        <v>79</v>
      </c>
      <c r="C62" s="12">
        <f>C60-Inputs!F149</f>
        <v>-4</v>
      </c>
      <c r="D62" s="15">
        <f t="shared" si="1"/>
        <v>17</v>
      </c>
      <c r="E62" s="15">
        <f t="shared" si="1"/>
        <v>-14</v>
      </c>
      <c r="F62" s="15">
        <f t="shared" si="1"/>
        <v>-9</v>
      </c>
      <c r="G62" s="15"/>
      <c r="H62" s="41">
        <f t="shared" si="4"/>
        <v>6</v>
      </c>
      <c r="I62" s="1"/>
      <c r="J62" s="1"/>
    </row>
    <row r="63" ht="15" customHeight="1">
      <c r="A63" s="1"/>
      <c r="B63" s="4" t="s">
        <v>59</v>
      </c>
      <c r="C63" s="36" t="s">
        <v>33</v>
      </c>
      <c r="D63" s="36" t="s">
        <v>33</v>
      </c>
      <c r="E63" s="36" t="s">
        <v>33</v>
      </c>
      <c r="F63" s="36" t="s">
        <v>33</v>
      </c>
      <c r="G63" s="36" t="s">
        <v>33</v>
      </c>
      <c r="H63" s="35" t="s">
        <v>33</v>
      </c>
      <c r="I63" s="1"/>
      <c r="J63" s="1" t="s">
        <v>60</v>
      </c>
    </row>
    <row r="64" ht="15" customHeight="1">
      <c r="A64" s="1"/>
      <c r="B64" s="4" t="s">
        <v>61</v>
      </c>
      <c r="C64" s="36" t="s">
        <v>33</v>
      </c>
      <c r="D64" s="36" t="s">
        <v>33</v>
      </c>
      <c r="E64" s="36" t="s">
        <v>33</v>
      </c>
      <c r="F64" s="36" t="s">
        <v>33</v>
      </c>
      <c r="G64" s="36" t="s">
        <v>33</v>
      </c>
      <c r="H64" s="35" t="s">
        <v>33</v>
      </c>
      <c r="I64" s="1"/>
      <c r="J64" s="1"/>
    </row>
    <row r="65" ht="15" customHeight="1">
      <c r="A65" s="1"/>
      <c r="B65" s="4" t="s">
        <v>62</v>
      </c>
      <c r="C65" s="36" t="s">
        <v>33</v>
      </c>
      <c r="D65" s="36" t="s">
        <v>33</v>
      </c>
      <c r="E65" s="36" t="s">
        <v>33</v>
      </c>
      <c r="F65" s="36" t="s">
        <v>33</v>
      </c>
      <c r="G65" s="36" t="s">
        <v>33</v>
      </c>
      <c r="H65" s="35" t="s">
        <v>33</v>
      </c>
      <c r="I65" s="1"/>
      <c r="J65" s="1"/>
    </row>
    <row r="66" ht="15" customHeight="1">
      <c r="A66" s="1"/>
      <c r="B66" s="4" t="s">
        <v>63</v>
      </c>
      <c r="C66" s="36">
        <f t="shared" si="16"/>
        <v>0.25</v>
      </c>
      <c r="D66" s="36">
        <f t="shared" si="16"/>
        <v>-0.07462686567164178</v>
      </c>
      <c r="E66" s="36">
        <f t="shared" si="16"/>
        <v>0.11627906976744184</v>
      </c>
      <c r="F66" s="36">
        <f t="shared" si="16"/>
        <v>-0.20408163265306123</v>
      </c>
      <c r="G66" s="36">
        <f t="shared" si="16"/>
        <v>0.2515723270440251</v>
      </c>
      <c r="H66" s="35">
        <f t="shared" si="16"/>
        <v>0</v>
      </c>
      <c r="I66" s="1"/>
      <c r="J66" s="1"/>
    </row>
    <row r="67" ht="15" customHeight="1">
      <c r="A67" s="1"/>
      <c r="B67" s="1" t="s">
        <v>71</v>
      </c>
      <c r="C67" s="42">
        <v>23</v>
      </c>
      <c r="D67" s="12">
        <f>G67-Inputs!E150-Inputs!F150-C67</f>
        <v>22</v>
      </c>
      <c r="E67" s="42">
        <v>21</v>
      </c>
      <c r="F67" s="42">
        <v>25</v>
      </c>
      <c r="G67" s="42">
        <v>87</v>
      </c>
      <c r="H67" s="41">
        <f t="shared" si="17"/>
        <v>24.840000000000003</v>
      </c>
      <c r="I67" s="1"/>
      <c r="J67" s="1"/>
    </row>
    <row r="68" ht="15" customHeight="1">
      <c r="A68" s="1"/>
      <c r="B68" s="4" t="s">
        <v>107</v>
      </c>
      <c r="C68" s="34">
        <f>C67/Inputs!C150-1</f>
        <v>0.045454545454545414</v>
      </c>
      <c r="D68" s="34">
        <f>D67/Inputs!D150-1</f>
        <v>0</v>
      </c>
      <c r="E68" s="34">
        <f>E67/Inputs!E150-1</f>
        <v>0.050000000000000044</v>
      </c>
      <c r="F68" s="34">
        <f>F67/Inputs!F150-1</f>
        <v>0.13636363636363646</v>
      </c>
      <c r="G68" s="34">
        <f>G67/Inputs!G150-1</f>
        <v>0</v>
      </c>
      <c r="H68" s="50">
        <v>0.08</v>
      </c>
      <c r="I68" s="1"/>
      <c r="J68" s="1"/>
    </row>
    <row r="69" ht="15" customHeight="1">
      <c r="A69" s="1"/>
      <c r="B69" s="1" t="s">
        <v>79</v>
      </c>
      <c r="C69" s="12">
        <f>C67-Inputs!F150</f>
        <v>1</v>
      </c>
      <c r="D69" s="15">
        <f t="shared" si="1"/>
        <v>-1</v>
      </c>
      <c r="E69" s="15">
        <f t="shared" si="1"/>
        <v>-1</v>
      </c>
      <c r="F69" s="15">
        <f t="shared" si="1"/>
        <v>4</v>
      </c>
      <c r="G69" s="15"/>
      <c r="H69" s="41">
        <f t="shared" si="4"/>
        <v>-0.1599999999999966</v>
      </c>
      <c r="I69" s="1"/>
      <c r="J69" s="1"/>
    </row>
    <row r="70" ht="15" customHeight="1">
      <c r="A70" s="1"/>
      <c r="B70" s="4" t="s">
        <v>59</v>
      </c>
      <c r="C70" s="36" t="s">
        <v>33</v>
      </c>
      <c r="D70" s="36" t="s">
        <v>33</v>
      </c>
      <c r="E70" s="36" t="s">
        <v>33</v>
      </c>
      <c r="F70" s="36" t="s">
        <v>33</v>
      </c>
      <c r="G70" s="36" t="s">
        <v>33</v>
      </c>
      <c r="H70" s="35" t="s">
        <v>33</v>
      </c>
      <c r="I70" s="1"/>
      <c r="J70" s="1" t="s">
        <v>60</v>
      </c>
    </row>
    <row r="71" ht="15" customHeight="1">
      <c r="A71" s="1"/>
      <c r="B71" s="4" t="s">
        <v>61</v>
      </c>
      <c r="C71" s="36" t="s">
        <v>33</v>
      </c>
      <c r="D71" s="36" t="s">
        <v>33</v>
      </c>
      <c r="E71" s="36" t="s">
        <v>33</v>
      </c>
      <c r="F71" s="36" t="s">
        <v>33</v>
      </c>
      <c r="G71" s="36" t="s">
        <v>33</v>
      </c>
      <c r="H71" s="35" t="s">
        <v>33</v>
      </c>
      <c r="I71" s="1"/>
      <c r="J71" s="1"/>
    </row>
    <row r="72" ht="15" customHeight="1">
      <c r="A72" s="1"/>
      <c r="B72" s="4" t="s">
        <v>62</v>
      </c>
      <c r="C72" s="36" t="s">
        <v>33</v>
      </c>
      <c r="D72" s="36" t="s">
        <v>33</v>
      </c>
      <c r="E72" s="36" t="s">
        <v>33</v>
      </c>
      <c r="F72" s="36" t="s">
        <v>33</v>
      </c>
      <c r="G72" s="36" t="s">
        <v>33</v>
      </c>
      <c r="H72" s="35" t="s">
        <v>33</v>
      </c>
      <c r="I72" s="1"/>
      <c r="J72" s="1"/>
    </row>
    <row r="73" ht="15" customHeight="1">
      <c r="A73" s="1"/>
      <c r="B73" s="4" t="s">
        <v>63</v>
      </c>
      <c r="C73" s="36">
        <f t="shared" si="16"/>
        <v>0.045454545454545414</v>
      </c>
      <c r="D73" s="36">
        <f t="shared" si="16"/>
        <v>0</v>
      </c>
      <c r="E73" s="36">
        <f t="shared" si="16"/>
        <v>0.050000000000000044</v>
      </c>
      <c r="F73" s="36">
        <f t="shared" si="16"/>
        <v>0.13636363636363646</v>
      </c>
      <c r="G73" s="36">
        <f t="shared" si="16"/>
        <v>0</v>
      </c>
      <c r="H73" s="35">
        <f t="shared" si="16"/>
        <v>0.08</v>
      </c>
      <c r="I73" s="1"/>
      <c r="J73" s="1"/>
    </row>
    <row r="74" ht="15" customHeight="1">
      <c r="A74" s="1"/>
      <c r="B74" s="1" t="s">
        <v>72</v>
      </c>
      <c r="C74" s="42">
        <v>84</v>
      </c>
      <c r="D74" s="12">
        <f>G74-Inputs!E151-Inputs!F151-C74</f>
        <v>82</v>
      </c>
      <c r="E74" s="42">
        <v>84</v>
      </c>
      <c r="F74" s="42">
        <v>89</v>
      </c>
      <c r="G74" s="42">
        <v>334</v>
      </c>
      <c r="H74" s="41">
        <f t="shared" si="17"/>
        <v>89.04</v>
      </c>
      <c r="I74" s="1"/>
      <c r="J74" s="1"/>
    </row>
    <row r="75" ht="15" customHeight="1">
      <c r="A75" s="1"/>
      <c r="B75" s="4" t="s">
        <v>107</v>
      </c>
      <c r="C75" s="34">
        <f>C74/Inputs!C151-1</f>
        <v>-0.023255813953488413</v>
      </c>
      <c r="D75" s="34">
        <f>D74/Inputs!D151-1</f>
        <v>0.05128205128205132</v>
      </c>
      <c r="E75" s="34">
        <f>E74/Inputs!E151-1</f>
        <v>0.03703703703703698</v>
      </c>
      <c r="F75" s="34">
        <f>F74/Inputs!F151-1</f>
        <v>0.02298850574712641</v>
      </c>
      <c r="G75" s="34">
        <f>G74/Inputs!G151-1</f>
        <v>0.024539877300613577</v>
      </c>
      <c r="H75" s="50">
        <v>0.06</v>
      </c>
      <c r="I75" s="1"/>
      <c r="J75" s="1"/>
    </row>
    <row r="76" ht="15" customHeight="1">
      <c r="A76" s="1"/>
      <c r="B76" s="1" t="s">
        <v>79</v>
      </c>
      <c r="C76" s="12">
        <f>C74-Inputs!F151</f>
        <v>-3</v>
      </c>
      <c r="D76" s="15">
        <f t="shared" si="1"/>
        <v>-2</v>
      </c>
      <c r="E76" s="15">
        <f t="shared" si="1"/>
        <v>2</v>
      </c>
      <c r="F76" s="15">
        <f t="shared" si="1"/>
        <v>5</v>
      </c>
      <c r="G76" s="15"/>
      <c r="H76" s="41">
        <f t="shared" si="4"/>
        <v>0.04000000000000625</v>
      </c>
      <c r="I76" s="1"/>
      <c r="J76" s="1"/>
    </row>
    <row r="77" ht="15" customHeight="1">
      <c r="A77" s="1"/>
      <c r="B77" s="4" t="s">
        <v>59</v>
      </c>
      <c r="C77" s="36" t="s">
        <v>33</v>
      </c>
      <c r="D77" s="36" t="s">
        <v>33</v>
      </c>
      <c r="E77" s="36" t="s">
        <v>33</v>
      </c>
      <c r="F77" s="36" t="s">
        <v>33</v>
      </c>
      <c r="G77" s="36" t="s">
        <v>33</v>
      </c>
      <c r="H77" s="35" t="s">
        <v>33</v>
      </c>
      <c r="I77" s="1"/>
      <c r="J77" s="1" t="s">
        <v>60</v>
      </c>
    </row>
    <row r="78" ht="15" customHeight="1">
      <c r="A78" s="1"/>
      <c r="B78" s="4" t="s">
        <v>61</v>
      </c>
      <c r="C78" s="36" t="s">
        <v>33</v>
      </c>
      <c r="D78" s="36" t="s">
        <v>33</v>
      </c>
      <c r="E78" s="36" t="s">
        <v>33</v>
      </c>
      <c r="F78" s="36" t="s">
        <v>33</v>
      </c>
      <c r="G78" s="36" t="s">
        <v>33</v>
      </c>
      <c r="H78" s="35" t="s">
        <v>33</v>
      </c>
      <c r="I78" s="1"/>
      <c r="J78" s="1"/>
    </row>
    <row r="79" ht="15" customHeight="1">
      <c r="A79" s="1"/>
      <c r="B79" s="4" t="s">
        <v>62</v>
      </c>
      <c r="C79" s="36" t="s">
        <v>33</v>
      </c>
      <c r="D79" s="36" t="s">
        <v>33</v>
      </c>
      <c r="E79" s="36" t="s">
        <v>33</v>
      </c>
      <c r="F79" s="36" t="s">
        <v>33</v>
      </c>
      <c r="G79" s="36" t="s">
        <v>33</v>
      </c>
      <c r="H79" s="35" t="s">
        <v>33</v>
      </c>
      <c r="I79" s="1"/>
      <c r="J79" s="1"/>
    </row>
    <row r="80" ht="15" customHeight="1">
      <c r="A80" s="1"/>
      <c r="B80" s="4" t="s">
        <v>63</v>
      </c>
      <c r="C80" s="36">
        <f t="shared" si="16"/>
        <v>-0.023255813953488413</v>
      </c>
      <c r="D80" s="36">
        <f t="shared" si="16"/>
        <v>0.05128205128205132</v>
      </c>
      <c r="E80" s="36">
        <f t="shared" si="16"/>
        <v>0.03703703703703698</v>
      </c>
      <c r="F80" s="36">
        <f t="shared" si="16"/>
        <v>0.02298850574712641</v>
      </c>
      <c r="G80" s="36">
        <f t="shared" si="16"/>
        <v>0.024539877300613577</v>
      </c>
      <c r="H80" s="35">
        <f t="shared" si="16"/>
        <v>0.06</v>
      </c>
      <c r="I80" s="1"/>
      <c r="J80" s="1"/>
    </row>
    <row r="81" ht="15" customHeight="1">
      <c r="A81" s="1"/>
      <c r="B81" s="3" t="s">
        <v>162</v>
      </c>
      <c r="C81" s="37">
        <f t="shared" si="18" ref="C81:H81">C43+C51+C60+C67+C74</f>
        <v>2826</v>
      </c>
      <c r="D81" s="37">
        <f t="shared" si="18"/>
        <v>2904</v>
      </c>
      <c r="E81" s="37">
        <f t="shared" si="18"/>
        <v>2683</v>
      </c>
      <c r="F81" s="37">
        <f t="shared" si="18"/>
        <v>2855</v>
      </c>
      <c r="G81" s="37">
        <f t="shared" si="18"/>
        <v>11001</v>
      </c>
      <c r="H81" s="38">
        <f t="shared" si="18"/>
        <v>3013.6799672711895</v>
      </c>
      <c r="I81" s="1"/>
      <c r="J81" s="1"/>
    </row>
    <row r="82" ht="15" customHeight="1">
      <c r="A82" s="1"/>
      <c r="B82" s="4" t="s">
        <v>56</v>
      </c>
      <c r="C82" s="34">
        <f>C81/Inputs!C152-1</f>
        <v>0.029508196721311553</v>
      </c>
      <c r="D82" s="34">
        <f>D81/Inputs!D152-1</f>
        <v>0.0010341261633919352</v>
      </c>
      <c r="E82" s="34">
        <f>E81/Inputs!E152-1</f>
        <v>0.04275165176836371</v>
      </c>
      <c r="F82" s="34">
        <f>F81/Inputs!F152-1</f>
        <v>0.058191252779836944</v>
      </c>
      <c r="G82" s="34">
        <f>G81/Inputs!G152-1</f>
        <v>0.014384508990318068</v>
      </c>
      <c r="H82" s="35">
        <f t="shared" si="11"/>
        <v>0.06641187801528292</v>
      </c>
      <c r="I82" s="1"/>
      <c r="J82" s="1"/>
    </row>
    <row r="83" ht="15" customHeight="1">
      <c r="A83" s="1"/>
      <c r="B83" s="4" t="s">
        <v>57</v>
      </c>
      <c r="C83" s="34">
        <f>C81/Inputs!F152-1</f>
        <v>0.047442550037064546</v>
      </c>
      <c r="D83" s="36">
        <f t="shared" si="19" ref="D83:F83">D81/C81-1</f>
        <v>0.027600849256900206</v>
      </c>
      <c r="E83" s="36">
        <f t="shared" si="19"/>
        <v>-0.07610192837465568</v>
      </c>
      <c r="F83" s="36">
        <f t="shared" si="19"/>
        <v>0.064107342527022</v>
      </c>
      <c r="G83" s="36"/>
      <c r="H83" s="35">
        <f>H81/F81-1</f>
        <v>0.05557967329989122</v>
      </c>
      <c r="I83" s="1"/>
      <c r="J83" s="1"/>
    </row>
    <row r="84" ht="15" customHeight="1">
      <c r="A84" s="1"/>
      <c r="B84" s="4" t="s">
        <v>163</v>
      </c>
      <c r="C84" s="34">
        <f>C81/'Revenue summary'!C27</f>
        <v>0.6682430834712698</v>
      </c>
      <c r="D84" s="34">
        <f>D81/'Revenue summary'!D27</f>
        <v>0.6901140684410646</v>
      </c>
      <c r="E84" s="34">
        <f>E81/'Revenue summary'!E27</f>
        <v>0.6732747804265997</v>
      </c>
      <c r="F84" s="34">
        <f>F81/'Revenue summary'!F27</f>
        <v>0.6473922902494331</v>
      </c>
      <c r="G84" s="34">
        <f>G81/'Revenue summary'!G27</f>
        <v>0.6833343685943226</v>
      </c>
      <c r="H84" s="56">
        <f>H81/'Revenue summary'!H27</f>
        <v>0.6413323353190872</v>
      </c>
      <c r="I84" s="1"/>
      <c r="J84" s="1"/>
    </row>
    <row r="85" ht="15" customHeight="1">
      <c r="A85" s="1"/>
      <c r="B85" s="4" t="s">
        <v>59</v>
      </c>
      <c r="C85" s="36" t="s">
        <v>33</v>
      </c>
      <c r="D85" s="36" t="s">
        <v>33</v>
      </c>
      <c r="E85" s="36" t="s">
        <v>33</v>
      </c>
      <c r="F85" s="36" t="s">
        <v>33</v>
      </c>
      <c r="G85" s="36" t="s">
        <v>33</v>
      </c>
      <c r="H85" s="35" t="s">
        <v>33</v>
      </c>
      <c r="I85" s="1"/>
      <c r="J85" s="1" t="s">
        <v>60</v>
      </c>
    </row>
    <row r="86" ht="15" customHeight="1">
      <c r="A86" s="1"/>
      <c r="B86" s="4" t="s">
        <v>61</v>
      </c>
      <c r="C86" s="36" t="s">
        <v>33</v>
      </c>
      <c r="D86" s="36" t="s">
        <v>33</v>
      </c>
      <c r="E86" s="36" t="s">
        <v>33</v>
      </c>
      <c r="F86" s="36" t="s">
        <v>33</v>
      </c>
      <c r="G86" s="36" t="s">
        <v>33</v>
      </c>
      <c r="H86" s="35" t="s">
        <v>33</v>
      </c>
      <c r="I86" s="1"/>
      <c r="J86" s="1"/>
    </row>
    <row r="87" ht="15" customHeight="1">
      <c r="A87" s="1"/>
      <c r="B87" s="4" t="s">
        <v>62</v>
      </c>
      <c r="C87" s="36" t="s">
        <v>33</v>
      </c>
      <c r="D87" s="36" t="s">
        <v>33</v>
      </c>
      <c r="E87" s="36" t="s">
        <v>33</v>
      </c>
      <c r="F87" s="36" t="s">
        <v>33</v>
      </c>
      <c r="G87" s="36" t="s">
        <v>33</v>
      </c>
      <c r="H87" s="35" t="s">
        <v>33</v>
      </c>
      <c r="I87" s="1"/>
      <c r="J87" s="1"/>
    </row>
    <row r="88" ht="15" customHeight="1">
      <c r="A88" s="1"/>
      <c r="B88" s="4" t="s">
        <v>63</v>
      </c>
      <c r="C88" s="36">
        <f t="shared" si="13"/>
        <v>0.029508196721311553</v>
      </c>
      <c r="D88" s="36">
        <f t="shared" si="13"/>
        <v>0.0010341261633919352</v>
      </c>
      <c r="E88" s="36">
        <f t="shared" si="13"/>
        <v>0.04275165176836371</v>
      </c>
      <c r="F88" s="36">
        <f t="shared" si="13"/>
        <v>0.058191252779836944</v>
      </c>
      <c r="G88" s="36">
        <f t="shared" si="13"/>
        <v>0.014384508990318068</v>
      </c>
      <c r="H88" s="35">
        <f t="shared" si="13"/>
        <v>0.06641187801528292</v>
      </c>
      <c r="I88" s="1"/>
      <c r="J88" s="1"/>
    </row>
    <row r="89" ht="15" customHeight="1">
      <c r="A89" s="1"/>
      <c r="B89" s="4" t="s">
        <v>164</v>
      </c>
      <c r="C89" s="36">
        <f t="shared" si="20" ref="C89:H89">C43/C81</f>
        <v>0.8492569002123143</v>
      </c>
      <c r="D89" s="36">
        <f t="shared" si="20"/>
        <v>0.8257575757575758</v>
      </c>
      <c r="E89" s="36">
        <f t="shared" si="20"/>
        <v>0.8307864330972792</v>
      </c>
      <c r="F89" s="36">
        <f t="shared" si="20"/>
        <v>0.8469352014010508</v>
      </c>
      <c r="G89" s="36">
        <f t="shared" si="20"/>
        <v>0.8331060812653395</v>
      </c>
      <c r="H89" s="35">
        <f t="shared" si="20"/>
        <v>0.8463780145775712</v>
      </c>
      <c r="I89" s="1"/>
      <c r="J89" s="1"/>
    </row>
    <row r="90" ht="15" customHeight="1">
      <c r="A90" s="1"/>
      <c r="B90" s="1" t="s">
        <v>104</v>
      </c>
      <c r="C90" s="51">
        <f>(C89-Inputs!C147/Inputs!C152)*10000</f>
        <v>15.337672432796934</v>
      </c>
      <c r="D90" s="51">
        <f>(D89-Inputs!D147/Inputs!D152)*10000</f>
        <v>194.83877032998032</v>
      </c>
      <c r="E90" s="51">
        <f>(E89-Inputs!E147/Inputs!E152)*10000</f>
        <v>150.0718708095583</v>
      </c>
      <c r="F90" s="51">
        <f>(F89-Inputs!F147/Inputs!F152)*10000</f>
        <v>63.1251793181431</v>
      </c>
      <c r="G90" s="51">
        <f>(G89-Inputs!G147/Inputs!G152)*10000</f>
        <v>83.02024096137117</v>
      </c>
      <c r="H90" s="48">
        <f t="shared" si="9"/>
        <v>-28.788856347430336</v>
      </c>
      <c r="I90" s="1"/>
      <c r="J90" s="1"/>
    </row>
    <row r="91" ht="15" customHeight="1">
      <c r="A91" s="1"/>
      <c r="B91" s="1"/>
      <c r="C91" s="1"/>
      <c r="D91" s="1"/>
      <c r="E91" s="1"/>
      <c r="F91" s="1"/>
      <c r="G91" s="1"/>
      <c r="H91" s="32"/>
      <c r="I91" s="1"/>
      <c r="J91" s="1"/>
    </row>
    <row r="92" ht="15" customHeight="1">
      <c r="A92" s="1"/>
      <c r="B92" s="31" t="s">
        <v>165</v>
      </c>
      <c r="C92" s="1"/>
      <c r="D92" s="1"/>
      <c r="E92" s="1"/>
      <c r="F92" s="1"/>
      <c r="G92" s="1"/>
      <c r="H92" s="32"/>
      <c r="I92" s="1"/>
      <c r="J92" s="1"/>
    </row>
    <row r="93" ht="15" customHeight="1">
      <c r="A93" s="1"/>
      <c r="B93" s="4" t="s">
        <v>166</v>
      </c>
      <c r="C93" s="36" t="s">
        <v>33</v>
      </c>
      <c r="D93" s="36" t="s">
        <v>33</v>
      </c>
      <c r="E93" s="36" t="s">
        <v>33</v>
      </c>
      <c r="F93" s="36" t="s">
        <v>33</v>
      </c>
      <c r="G93" s="55">
        <v>0.39</v>
      </c>
      <c r="H93" s="35" t="s">
        <v>33</v>
      </c>
      <c r="I93" s="1"/>
      <c r="J93" s="1"/>
    </row>
    <row r="94" ht="15" customHeight="1">
      <c r="A94" s="1"/>
      <c r="B94" s="1" t="s">
        <v>167</v>
      </c>
      <c r="C94" s="15" t="s">
        <v>33</v>
      </c>
      <c r="D94" s="15" t="s">
        <v>33</v>
      </c>
      <c r="E94" s="15" t="s">
        <v>33</v>
      </c>
      <c r="F94" s="15" t="s">
        <v>33</v>
      </c>
      <c r="G94" s="12">
        <f>G93*'Revenue summary'!G36</f>
        <v>5384.34</v>
      </c>
      <c r="H94" s="41" t="s">
        <v>33</v>
      </c>
      <c r="I94" s="1"/>
      <c r="J94" s="1"/>
    </row>
    <row r="95" ht="15" customHeight="1">
      <c r="A95" s="1"/>
      <c r="B95" s="4" t="s">
        <v>168</v>
      </c>
      <c r="C95" s="36" t="s">
        <v>33</v>
      </c>
      <c r="D95" s="36" t="s">
        <v>33</v>
      </c>
      <c r="E95" s="36" t="s">
        <v>33</v>
      </c>
      <c r="F95" s="36" t="s">
        <v>33</v>
      </c>
      <c r="G95" s="55">
        <v>0.22</v>
      </c>
      <c r="H95" s="35" t="s">
        <v>33</v>
      </c>
      <c r="I95" s="1"/>
      <c r="J95" s="1"/>
    </row>
    <row r="96" ht="15" customHeight="1">
      <c r="A96" s="1"/>
      <c r="B96" s="1" t="s">
        <v>169</v>
      </c>
      <c r="C96" s="15" t="s">
        <v>33</v>
      </c>
      <c r="D96" s="15" t="s">
        <v>33</v>
      </c>
      <c r="E96" s="15" t="s">
        <v>33</v>
      </c>
      <c r="F96" s="15" t="s">
        <v>33</v>
      </c>
      <c r="G96" s="12">
        <f>G95*'Revenue summary'!G36</f>
        <v>3037.32</v>
      </c>
      <c r="H96" s="41" t="s">
        <v>33</v>
      </c>
      <c r="I96" s="1"/>
      <c r="J96" s="1"/>
    </row>
    <row r="97" ht="15" customHeight="1">
      <c r="A97" s="1"/>
      <c r="B97" s="4" t="s">
        <v>170</v>
      </c>
      <c r="C97" s="36" t="s">
        <v>33</v>
      </c>
      <c r="D97" s="36" t="s">
        <v>33</v>
      </c>
      <c r="E97" s="36" t="s">
        <v>33</v>
      </c>
      <c r="F97" s="36" t="s">
        <v>33</v>
      </c>
      <c r="G97" s="55">
        <v>0.09</v>
      </c>
      <c r="H97" s="35" t="s">
        <v>33</v>
      </c>
      <c r="I97" s="1"/>
      <c r="J97" s="1"/>
    </row>
    <row r="98" ht="15" customHeight="1">
      <c r="A98" s="1"/>
      <c r="B98" s="1" t="s">
        <v>171</v>
      </c>
      <c r="C98" s="15" t="s">
        <v>33</v>
      </c>
      <c r="D98" s="15" t="s">
        <v>33</v>
      </c>
      <c r="E98" s="15" t="s">
        <v>33</v>
      </c>
      <c r="F98" s="15" t="s">
        <v>33</v>
      </c>
      <c r="G98" s="12">
        <f>G97*'Revenue summary'!G36</f>
        <v>1242.54</v>
      </c>
      <c r="H98" s="41" t="s">
        <v>33</v>
      </c>
      <c r="I98" s="1"/>
      <c r="J98" s="1"/>
    </row>
    <row r="99" ht="15" customHeight="1">
      <c r="A99" s="1"/>
      <c r="B99" s="3" t="s">
        <v>172</v>
      </c>
      <c r="C99" s="37" t="s">
        <v>33</v>
      </c>
      <c r="D99" s="37" t="s">
        <v>33</v>
      </c>
      <c r="E99" s="37" t="s">
        <v>33</v>
      </c>
      <c r="F99" s="37" t="s">
        <v>33</v>
      </c>
      <c r="G99" s="37">
        <f>G94+G96+G98</f>
        <v>9664.2</v>
      </c>
      <c r="H99" s="38" t="s">
        <v>33</v>
      </c>
      <c r="I99" s="1"/>
      <c r="J99" s="1"/>
    </row>
    <row r="100" ht="15" customHeight="1">
      <c r="A100" s="1"/>
      <c r="B100" s="4" t="s">
        <v>173</v>
      </c>
      <c r="C100" s="1"/>
      <c r="D100" s="1"/>
      <c r="E100" s="1"/>
      <c r="F100" s="1"/>
      <c r="G100" s="1"/>
      <c r="H100" s="32"/>
      <c r="I100" s="1"/>
      <c r="J100" s="1"/>
    </row>
    <row r="101" ht="15" customHeight="1">
      <c r="A101" s="1"/>
      <c r="B101" s="1"/>
      <c r="C101" s="1"/>
      <c r="D101" s="1"/>
      <c r="E101" s="1"/>
      <c r="F101" s="1"/>
      <c r="G101" s="1"/>
      <c r="H101" s="32"/>
      <c r="I101" s="1"/>
      <c r="J101" s="1"/>
    </row>
    <row r="102" ht="15" customHeight="1">
      <c r="A102" s="1"/>
      <c r="B102" s="31" t="s">
        <v>174</v>
      </c>
      <c r="C102" s="1"/>
      <c r="D102" s="1"/>
      <c r="E102" s="1"/>
      <c r="F102" s="1"/>
      <c r="G102" s="1"/>
      <c r="H102" s="32"/>
      <c r="I102" s="1"/>
      <c r="J102" s="1"/>
    </row>
    <row r="103" ht="15" customHeight="1">
      <c r="A103" s="1"/>
      <c r="B103" s="1" t="s">
        <v>175</v>
      </c>
      <c r="C103" s="42">
        <v>512</v>
      </c>
      <c r="D103" s="12">
        <f>G103-Inputs!E159-Inputs!F159-C103</f>
        <v>524</v>
      </c>
      <c r="E103" s="42">
        <v>507</v>
      </c>
      <c r="F103" s="42">
        <v>513</v>
      </c>
      <c r="G103" s="42">
        <v>2021</v>
      </c>
      <c r="H103" s="41">
        <f>H43*H106</f>
        <v>530.5481931924073</v>
      </c>
      <c r="I103" s="1"/>
      <c r="J103" s="1"/>
    </row>
    <row r="104" ht="15" customHeight="1">
      <c r="A104" s="1"/>
      <c r="B104" s="4" t="s">
        <v>56</v>
      </c>
      <c r="C104" s="34">
        <f>C103/Inputs!C159-1</f>
        <v>0.030181086519114775</v>
      </c>
      <c r="D104" s="34">
        <f>D103/Inputs!D159-1</f>
        <v>0.041749502982107334</v>
      </c>
      <c r="E104" s="34">
        <f>E103/Inputs!E159-1</f>
        <v>0.03893442622950816</v>
      </c>
      <c r="F104" s="34">
        <f>F103/Inputs!F159-1</f>
        <v>0.03219315895372232</v>
      </c>
      <c r="G104" s="34">
        <f>G103/Inputs!G159-1</f>
        <v>0.02693089430894302</v>
      </c>
      <c r="H104" s="35">
        <f t="shared" si="11"/>
        <v>0.03622693982892056</v>
      </c>
      <c r="I104" s="1"/>
      <c r="J104" s="1"/>
    </row>
    <row r="105" ht="15" customHeight="1">
      <c r="A105" s="1"/>
      <c r="B105" s="1" t="s">
        <v>79</v>
      </c>
      <c r="C105" s="12">
        <f>C103-Inputs!F159</f>
        <v>15</v>
      </c>
      <c r="D105" s="15">
        <f t="shared" si="1"/>
        <v>12</v>
      </c>
      <c r="E105" s="15">
        <f t="shared" si="1"/>
        <v>-17</v>
      </c>
      <c r="F105" s="15">
        <f t="shared" si="1"/>
        <v>6</v>
      </c>
      <c r="G105" s="15"/>
      <c r="H105" s="41">
        <f t="shared" si="4"/>
        <v>17.548193192407325</v>
      </c>
      <c r="I105" s="1"/>
      <c r="J105" s="1"/>
    </row>
    <row r="106" ht="15" customHeight="1">
      <c r="A106" s="1"/>
      <c r="B106" s="4" t="s">
        <v>176</v>
      </c>
      <c r="C106" s="36">
        <f t="shared" si="21" ref="C106:G106">C103/C43</f>
        <v>0.21333333333333335</v>
      </c>
      <c r="D106" s="36">
        <f t="shared" si="21"/>
        <v>0.21851542952460384</v>
      </c>
      <c r="E106" s="36">
        <f t="shared" si="21"/>
        <v>0.2274562584118439</v>
      </c>
      <c r="F106" s="36">
        <f t="shared" si="21"/>
        <v>0.21215880893300249</v>
      </c>
      <c r="G106" s="36">
        <f t="shared" si="21"/>
        <v>0.2205128205128205</v>
      </c>
      <c r="H106" s="50">
        <v>0.208</v>
      </c>
      <c r="I106" s="1"/>
      <c r="J106" s="1" t="s">
        <v>177</v>
      </c>
    </row>
    <row r="107" ht="15" customHeight="1">
      <c r="A107" s="1"/>
      <c r="B107" s="1" t="s">
        <v>104</v>
      </c>
      <c r="C107" s="51">
        <f>(C106-Inputs!C159/Inputs!C147)*10000</f>
        <v>-2.4638303967911</v>
      </c>
      <c r="D107" s="51">
        <f>(D106-Inputs!D159/Inputs!D147)*10000</f>
        <v>34.66263214214782</v>
      </c>
      <c r="E107" s="51">
        <f>(E106-Inputs!E159/Inputs!E147)*10000</f>
        <v>-50.35404284678274</v>
      </c>
      <c r="F107" s="51">
        <f>(F106-Inputs!F159/Inputs!F147)*10000</f>
        <v>-69.7699353613332</v>
      </c>
      <c r="G107" s="51">
        <f>(G106-Inputs!G159/Inputs!G147)*10000</f>
        <v>5.016410829714324</v>
      </c>
      <c r="H107" s="48">
        <f t="shared" si="9"/>
        <v>-53.33333333333356</v>
      </c>
      <c r="I107" s="1"/>
      <c r="J107" s="1"/>
    </row>
    <row r="108" ht="15" customHeight="1">
      <c r="A108" s="1"/>
      <c r="B108" s="1" t="s">
        <v>178</v>
      </c>
      <c r="C108" s="42">
        <v>416</v>
      </c>
      <c r="D108" s="12">
        <f>G108-Inputs!E160-Inputs!F160-C108</f>
        <v>400</v>
      </c>
      <c r="E108" s="42">
        <v>418</v>
      </c>
      <c r="F108" s="42">
        <v>437</v>
      </c>
      <c r="G108" s="42">
        <v>1637</v>
      </c>
      <c r="H108" s="41">
        <f>H43*H111</f>
        <v>438.7225443706445</v>
      </c>
      <c r="I108" s="1"/>
      <c r="J108" s="1"/>
    </row>
    <row r="109" ht="15" customHeight="1">
      <c r="A109" s="1"/>
      <c r="B109" s="4" t="s">
        <v>56</v>
      </c>
      <c r="C109" s="34">
        <f>C108/Inputs!C160-1</f>
        <v>0.05050505050505061</v>
      </c>
      <c r="D109" s="34">
        <f>D108/Inputs!D160-1</f>
        <v>0.005025125628140614</v>
      </c>
      <c r="E109" s="34">
        <f>E108/Inputs!E160-1</f>
        <v>0.029556650246305383</v>
      </c>
      <c r="F109" s="34">
        <f>F108/Inputs!F160-1</f>
        <v>0.053012048192771166</v>
      </c>
      <c r="G109" s="34">
        <f>G108/Inputs!G160-1</f>
        <v>0.03870558375634525</v>
      </c>
      <c r="H109" s="35">
        <f t="shared" si="11"/>
        <v>0.05462150089097251</v>
      </c>
      <c r="I109" s="1"/>
      <c r="J109" s="1"/>
    </row>
    <row r="110" ht="15" customHeight="1">
      <c r="A110" s="1"/>
      <c r="B110" s="1" t="s">
        <v>79</v>
      </c>
      <c r="C110" s="12">
        <f>C108-Inputs!F160</f>
        <v>1</v>
      </c>
      <c r="D110" s="15">
        <f t="shared" si="1"/>
        <v>-16</v>
      </c>
      <c r="E110" s="15">
        <f t="shared" si="1"/>
        <v>18</v>
      </c>
      <c r="F110" s="15">
        <f t="shared" si="1"/>
        <v>19</v>
      </c>
      <c r="G110" s="15"/>
      <c r="H110" s="41">
        <f t="shared" si="4"/>
        <v>1.7225443706445276</v>
      </c>
      <c r="I110" s="1"/>
      <c r="J110" s="1"/>
    </row>
    <row r="111" ht="15" customHeight="1">
      <c r="A111" s="1"/>
      <c r="B111" s="4" t="s">
        <v>176</v>
      </c>
      <c r="C111" s="36">
        <f t="shared" si="22" ref="C111:G111">C108/C43</f>
        <v>0.17333333333333334</v>
      </c>
      <c r="D111" s="36">
        <f t="shared" si="22"/>
        <v>0.16680567139282734</v>
      </c>
      <c r="E111" s="36">
        <f t="shared" si="22"/>
        <v>0.18752803947958727</v>
      </c>
      <c r="F111" s="36">
        <f t="shared" si="22"/>
        <v>0.18072787427626139</v>
      </c>
      <c r="G111" s="36">
        <f t="shared" si="22"/>
        <v>0.17861429350791053</v>
      </c>
      <c r="H111" s="50">
        <v>0.172</v>
      </c>
      <c r="I111" s="1"/>
      <c r="J111" s="1" t="s">
        <v>179</v>
      </c>
    </row>
    <row r="112" ht="15" customHeight="1">
      <c r="A112" s="1"/>
      <c r="B112" s="1" t="s">
        <v>104</v>
      </c>
      <c r="C112" s="51">
        <f>(C111-Inputs!C160/Inputs!C147)*10000</f>
        <v>31.57140810772091</v>
      </c>
      <c r="D112" s="51">
        <f>(D111-Inputs!D160/Inputs!D147)*10000</f>
        <v>-33.525158666852796</v>
      </c>
      <c r="E112" s="51">
        <f>(E111-Inputs!E160/Inputs!E147)*10000</f>
        <v>-58.97401206453712</v>
      </c>
      <c r="F112" s="51">
        <f>(F111-Inputs!F160/Inputs!F147)*10000</f>
        <v>-22.527253710049322</v>
      </c>
      <c r="G112" s="51">
        <f>(G111-Inputs!G160/Inputs!G147)*10000</f>
        <v>24.264790864460263</v>
      </c>
      <c r="H112" s="48">
        <f t="shared" si="9"/>
        <v>-13.333333333333531</v>
      </c>
      <c r="I112" s="1"/>
      <c r="J112" s="1"/>
    </row>
    <row r="113" ht="15" customHeight="1">
      <c r="A113" s="1"/>
      <c r="B113" s="1" t="s">
        <v>180</v>
      </c>
      <c r="C113" s="42">
        <v>228</v>
      </c>
      <c r="D113" s="12">
        <f>G113-Inputs!E161-Inputs!F161-C113</f>
        <v>218</v>
      </c>
      <c r="E113" s="42">
        <v>203</v>
      </c>
      <c r="F113" s="42">
        <v>219</v>
      </c>
      <c r="G113" s="42">
        <v>848</v>
      </c>
      <c r="H113" s="41">
        <f>H43*H116</f>
        <v>234.66554698894942</v>
      </c>
      <c r="I113" s="1"/>
      <c r="J113" s="1"/>
    </row>
    <row r="114" ht="15" customHeight="1">
      <c r="A114" s="1"/>
      <c r="B114" s="4" t="s">
        <v>56</v>
      </c>
      <c r="C114" s="34">
        <f>C113/Inputs!C161-1</f>
        <v>0.06542056074766345</v>
      </c>
      <c r="D114" s="34">
        <f>D113/Inputs!D161-1</f>
        <v>0.033175355450236976</v>
      </c>
      <c r="E114" s="34">
        <f>E113/Inputs!E161-1</f>
        <v>0.051813471502590636</v>
      </c>
      <c r="F114" s="34">
        <f>F113/Inputs!F161-1</f>
        <v>0.04784688995215314</v>
      </c>
      <c r="G114" s="34">
        <f>G113/Inputs!G161-1</f>
        <v>0.02168674698795181</v>
      </c>
      <c r="H114" s="35">
        <f t="shared" si="11"/>
        <v>0.02923485521469038</v>
      </c>
      <c r="I114" s="1"/>
      <c r="J114" s="1"/>
    </row>
    <row r="115" ht="15" customHeight="1">
      <c r="A115" s="1"/>
      <c r="B115" s="1" t="s">
        <v>79</v>
      </c>
      <c r="C115" s="12">
        <f>C113-Inputs!F161</f>
        <v>19</v>
      </c>
      <c r="D115" s="15">
        <f t="shared" si="1"/>
        <v>-10</v>
      </c>
      <c r="E115" s="15">
        <f t="shared" si="1"/>
        <v>-15</v>
      </c>
      <c r="F115" s="15">
        <f t="shared" si="1"/>
        <v>16</v>
      </c>
      <c r="G115" s="15"/>
      <c r="H115" s="41">
        <f t="shared" si="4"/>
        <v>15.665546988949416</v>
      </c>
      <c r="I115" s="1"/>
      <c r="J115" s="1"/>
    </row>
    <row r="116" ht="15" customHeight="1">
      <c r="A116" s="1"/>
      <c r="B116" s="4" t="s">
        <v>176</v>
      </c>
      <c r="C116" s="36">
        <f t="shared" si="23" ref="C116:G116">C113/C43</f>
        <v>0.095</v>
      </c>
      <c r="D116" s="36">
        <f t="shared" si="23"/>
        <v>0.09090909090909091</v>
      </c>
      <c r="E116" s="36">
        <f t="shared" si="23"/>
        <v>0.09107222969941678</v>
      </c>
      <c r="F116" s="36">
        <f t="shared" si="23"/>
        <v>0.09057071960297766</v>
      </c>
      <c r="G116" s="36">
        <f t="shared" si="23"/>
        <v>0.09252591380250955</v>
      </c>
      <c r="H116" s="50">
        <v>0.092</v>
      </c>
      <c r="I116" s="1"/>
      <c r="J116" s="1" t="s">
        <v>181</v>
      </c>
    </row>
    <row r="117" ht="15" customHeight="1">
      <c r="A117" s="1"/>
      <c r="B117" s="1" t="s">
        <v>104</v>
      </c>
      <c r="C117" s="51">
        <f>(C116-Inputs!C161/Inputs!C147)*10000</f>
        <v>30.360979802320635</v>
      </c>
      <c r="D117" s="51">
        <f>(D116-Inputs!D161/Inputs!D147)*10000</f>
        <v>6.9959967352015155</v>
      </c>
      <c r="E117" s="51">
        <f>(E116-Inputs!E161/Inputs!E147)*10000</f>
        <v>-8.763172276913672</v>
      </c>
      <c r="F117" s="51">
        <f>(F116-Inputs!F161/Inputs!F147)*10000</f>
        <v>-15.809558820311514</v>
      </c>
      <c r="G117" s="51">
        <f>(G116-Inputs!G161/Inputs!G147)*10000</f>
        <v>-2.633539448353428</v>
      </c>
      <c r="H117" s="48">
        <f t="shared" si="9"/>
        <v>-30.00000000000003</v>
      </c>
      <c r="I117" s="1"/>
      <c r="J117" s="1"/>
    </row>
    <row r="118" ht="15" customHeight="1">
      <c r="A118" s="1"/>
      <c r="B118" s="1" t="s">
        <v>182</v>
      </c>
      <c r="C118" s="42">
        <v>141</v>
      </c>
      <c r="D118" s="12">
        <f>G118-Inputs!E162-Inputs!F162-C118</f>
        <v>130</v>
      </c>
      <c r="E118" s="42">
        <v>112</v>
      </c>
      <c r="F118" s="42">
        <v>132</v>
      </c>
      <c r="G118" s="42">
        <v>514</v>
      </c>
      <c r="H118" s="41">
        <f>H43*H121</f>
        <v>142.83989816718662</v>
      </c>
      <c r="I118" s="1"/>
      <c r="J118" s="1"/>
    </row>
    <row r="119" ht="15" customHeight="1">
      <c r="A119" s="1"/>
      <c r="B119" s="4" t="s">
        <v>56</v>
      </c>
      <c r="C119" s="34">
        <f>C118/Inputs!C162-1</f>
        <v>0.11904761904761907</v>
      </c>
      <c r="D119" s="34">
        <f>D118/Inputs!D162-1</f>
        <v>0.031746031746031855</v>
      </c>
      <c r="E119" s="34">
        <f>E118/Inputs!E162-1</f>
        <v>-0.02608695652173909</v>
      </c>
      <c r="F119" s="34">
        <f>F118/Inputs!F162-1</f>
        <v>0.03125</v>
      </c>
      <c r="G119" s="34">
        <f>G118/Inputs!G162-1</f>
        <v>0.08898305084745761</v>
      </c>
      <c r="H119" s="35">
        <f t="shared" si="11"/>
        <v>0.013048923171536275</v>
      </c>
      <c r="I119" s="1"/>
      <c r="J119" s="1"/>
    </row>
    <row r="120" ht="15" customHeight="1">
      <c r="A120" s="1"/>
      <c r="B120" s="1" t="s">
        <v>79</v>
      </c>
      <c r="C120" s="12">
        <f>C118-Inputs!F162</f>
        <v>13</v>
      </c>
      <c r="D120" s="15">
        <f t="shared" si="1"/>
        <v>-11</v>
      </c>
      <c r="E120" s="15">
        <f t="shared" si="1"/>
        <v>-18</v>
      </c>
      <c r="F120" s="15">
        <f t="shared" si="1"/>
        <v>20</v>
      </c>
      <c r="G120" s="15"/>
      <c r="H120" s="41">
        <f t="shared" si="4"/>
        <v>10.839898167186618</v>
      </c>
      <c r="I120" s="1"/>
      <c r="J120" s="1"/>
    </row>
    <row r="121" ht="15" customHeight="1">
      <c r="A121" s="1"/>
      <c r="B121" s="4" t="s">
        <v>176</v>
      </c>
      <c r="C121" s="36">
        <f t="shared" si="24" ref="C121:G121">C118/C43</f>
        <v>0.05875</v>
      </c>
      <c r="D121" s="36">
        <f t="shared" si="24"/>
        <v>0.05421184320266889</v>
      </c>
      <c r="E121" s="36">
        <f t="shared" si="24"/>
        <v>0.05024674742036788</v>
      </c>
      <c r="F121" s="36">
        <f t="shared" si="24"/>
        <v>0.05459057071960298</v>
      </c>
      <c r="G121" s="36">
        <f t="shared" si="24"/>
        <v>0.056082924168030554</v>
      </c>
      <c r="H121" s="50">
        <v>0.056</v>
      </c>
      <c r="I121" s="1"/>
      <c r="J121" s="1" t="s">
        <v>183</v>
      </c>
    </row>
    <row r="122" ht="15" customHeight="1">
      <c r="A122" s="1"/>
      <c r="B122" s="1" t="s">
        <v>104</v>
      </c>
      <c r="C122" s="51">
        <f>(C121-Inputs!C162/Inputs!C147)*10000</f>
        <v>46.03029651912331</v>
      </c>
      <c r="D122" s="51">
        <f>(D121-Inputs!D162/Inputs!D147)*10000</f>
        <v>3.426683416171625</v>
      </c>
      <c r="E122" s="51">
        <f>(E121-Inputs!E162/Inputs!E147)*10000</f>
        <v>-45.4124686262402</v>
      </c>
      <c r="F122" s="51">
        <f>(F121-Inputs!F162/Inputs!F147)*10000</f>
        <v>-18.468190511201215</v>
      </c>
      <c r="G122" s="51">
        <f>(G121-Inputs!G162/Inputs!G147)*10000</f>
        <v>33.16015280383826</v>
      </c>
      <c r="H122" s="48">
        <f t="shared" si="9"/>
        <v>-27.499999999999954</v>
      </c>
      <c r="I122" s="1"/>
      <c r="J122" s="1"/>
    </row>
    <row r="123" ht="15" customHeight="1">
      <c r="A123" s="1"/>
      <c r="B123" s="1" t="s">
        <v>184</v>
      </c>
      <c r="C123" s="42">
        <v>222</v>
      </c>
      <c r="D123" s="12">
        <f>G123-Inputs!E163-Inputs!F163-C123</f>
        <v>257</v>
      </c>
      <c r="E123" s="42">
        <v>236</v>
      </c>
      <c r="F123" s="42">
        <v>252</v>
      </c>
      <c r="G123" s="42">
        <v>920</v>
      </c>
      <c r="H123" s="41">
        <f>H43*H126</f>
        <v>249.96982179257657</v>
      </c>
      <c r="I123" s="1"/>
      <c r="J123" s="1"/>
    </row>
    <row r="124" ht="15" customHeight="1">
      <c r="A124" s="1"/>
      <c r="B124" s="4" t="s">
        <v>56</v>
      </c>
      <c r="C124" s="34">
        <f>C123/Inputs!C163-1</f>
        <v>0.009090909090909038</v>
      </c>
      <c r="D124" s="34">
        <f>D123/Inputs!D163-1</f>
        <v>0.13716814159292046</v>
      </c>
      <c r="E124" s="34">
        <f>E123/Inputs!E163-1</f>
        <v>0.08256880733944949</v>
      </c>
      <c r="F124" s="34">
        <f>F123/Inputs!F163-1</f>
        <v>0.13004484304932729</v>
      </c>
      <c r="G124" s="34">
        <f>G123/Inputs!G163-1</f>
        <v>0.06113033448673577</v>
      </c>
      <c r="H124" s="35">
        <f t="shared" si="11"/>
        <v>0.1259901882548493</v>
      </c>
      <c r="I124" s="1"/>
      <c r="J124" s="1"/>
    </row>
    <row r="125" ht="15" customHeight="1">
      <c r="A125" s="1"/>
      <c r="B125" s="1" t="s">
        <v>79</v>
      </c>
      <c r="C125" s="12">
        <f>C123-Inputs!F163</f>
        <v>-1</v>
      </c>
      <c r="D125" s="15">
        <f t="shared" si="1"/>
        <v>35</v>
      </c>
      <c r="E125" s="15">
        <f t="shared" si="1"/>
        <v>-21</v>
      </c>
      <c r="F125" s="15">
        <f t="shared" si="1"/>
        <v>16</v>
      </c>
      <c r="G125" s="15"/>
      <c r="H125" s="41">
        <f t="shared" si="4"/>
        <v>-2.0301782074234325</v>
      </c>
      <c r="I125" s="1"/>
      <c r="J125" s="1"/>
    </row>
    <row r="126" ht="15" customHeight="1">
      <c r="A126" s="1"/>
      <c r="B126" s="4" t="s">
        <v>176</v>
      </c>
      <c r="C126" s="36">
        <f t="shared" si="25" ref="C126:G126">C123/C43</f>
        <v>0.0925</v>
      </c>
      <c r="D126" s="36">
        <f t="shared" si="25"/>
        <v>0.10717264386989157</v>
      </c>
      <c r="E126" s="36">
        <f t="shared" si="25"/>
        <v>0.10587707492148946</v>
      </c>
      <c r="F126" s="36">
        <f t="shared" si="25"/>
        <v>0.10421836228287841</v>
      </c>
      <c r="G126" s="36">
        <f t="shared" si="25"/>
        <v>0.10038188761593017</v>
      </c>
      <c r="H126" s="50">
        <v>0.098</v>
      </c>
      <c r="I126" s="1"/>
      <c r="J126" s="1" t="s">
        <v>185</v>
      </c>
    </row>
    <row r="127" ht="15" customHeight="1">
      <c r="A127" s="1"/>
      <c r="B127" s="1" t="s">
        <v>104</v>
      </c>
      <c r="C127" s="51">
        <f>(C126-Inputs!C163/Inputs!C147)*10000</f>
        <v>-20.423291792006914</v>
      </c>
      <c r="D127" s="51">
        <f>(D126-Inputs!D163/Inputs!D147)*10000</f>
        <v>105.50155627052749</v>
      </c>
      <c r="E127" s="51">
        <f>(E126-Inputs!E163/Inputs!E147)*10000</f>
        <v>20.180944546004664</v>
      </c>
      <c r="F127" s="51">
        <f>(F126-Inputs!F163/Inputs!F147)*10000</f>
        <v>58.93847291696758</v>
      </c>
      <c r="G127" s="51">
        <f>(G126-Inputs!G163/Inputs!G147)*10000</f>
        <v>34.56230824426532</v>
      </c>
      <c r="H127" s="48">
        <f t="shared" si="9"/>
        <v>55.00000000000005</v>
      </c>
      <c r="I127" s="1"/>
      <c r="J127" s="1"/>
    </row>
    <row r="128" ht="15" customHeight="1">
      <c r="A128" s="1"/>
      <c r="B128" s="3" t="s">
        <v>186</v>
      </c>
      <c r="C128" s="37">
        <f t="shared" si="26" ref="C128:H128">C108+C113+C118+C123</f>
        <v>1007</v>
      </c>
      <c r="D128" s="37">
        <f t="shared" si="26"/>
        <v>1005</v>
      </c>
      <c r="E128" s="37">
        <f t="shared" si="26"/>
        <v>969</v>
      </c>
      <c r="F128" s="37">
        <f t="shared" si="26"/>
        <v>1040</v>
      </c>
      <c r="G128" s="37">
        <f t="shared" si="26"/>
        <v>3919</v>
      </c>
      <c r="H128" s="38">
        <f t="shared" si="26"/>
        <v>1066.1978113193572</v>
      </c>
      <c r="I128" s="1"/>
      <c r="J128" s="1"/>
    </row>
    <row r="129" ht="15" customHeight="1">
      <c r="A129" s="1"/>
      <c r="B129" s="3" t="s">
        <v>187</v>
      </c>
      <c r="C129" s="37">
        <f t="shared" si="27" ref="C129:H129">C43-C103-C128</f>
        <v>881</v>
      </c>
      <c r="D129" s="37">
        <f t="shared" si="27"/>
        <v>869</v>
      </c>
      <c r="E129" s="37">
        <f t="shared" si="27"/>
        <v>753</v>
      </c>
      <c r="F129" s="37">
        <f t="shared" si="27"/>
        <v>865</v>
      </c>
      <c r="G129" s="37">
        <f t="shared" si="27"/>
        <v>3225</v>
      </c>
      <c r="H129" s="38">
        <f t="shared" si="27"/>
        <v>953.9664627594248</v>
      </c>
      <c r="I129" s="1"/>
      <c r="J129" s="1"/>
    </row>
    <row r="130" ht="15" customHeight="1">
      <c r="A130" s="1"/>
      <c r="B130" s="4" t="s">
        <v>56</v>
      </c>
      <c r="C130" s="34">
        <f>C129/Inputs!C164-1</f>
        <v>0.008009153318077722</v>
      </c>
      <c r="D130" s="34">
        <f>D129/Inputs!D164-1</f>
        <v>-0.006857142857142895</v>
      </c>
      <c r="E130" s="34">
        <f>E129/Inputs!E164-1</f>
        <v>0.10898379970544925</v>
      </c>
      <c r="F130" s="34">
        <f>F129/Inputs!F164-1</f>
        <v>0.08668341708542715</v>
      </c>
      <c r="G130" s="34">
        <f>G129/Inputs!G164-1</f>
        <v>-0.0021658415841584455</v>
      </c>
      <c r="H130" s="35">
        <f t="shared" si="11"/>
        <v>0.08282231868266154</v>
      </c>
      <c r="I130" s="1"/>
      <c r="J130" s="1"/>
    </row>
    <row r="131" ht="15" customHeight="1">
      <c r="A131" s="1"/>
      <c r="B131" s="1" t="s">
        <v>79</v>
      </c>
      <c r="C131" s="12">
        <f>C129-Inputs!F164</f>
        <v>85</v>
      </c>
      <c r="D131" s="15">
        <f t="shared" si="1"/>
        <v>-12</v>
      </c>
      <c r="E131" s="15">
        <f t="shared" si="1"/>
        <v>-116</v>
      </c>
      <c r="F131" s="15">
        <f t="shared" si="1"/>
        <v>112</v>
      </c>
      <c r="G131" s="15"/>
      <c r="H131" s="41">
        <f t="shared" si="4"/>
        <v>88.96646275942476</v>
      </c>
      <c r="I131" s="1"/>
      <c r="J131" s="1"/>
    </row>
    <row r="132" ht="15" customHeight="1">
      <c r="A132" s="1"/>
      <c r="B132" s="4" t="s">
        <v>188</v>
      </c>
      <c r="C132" s="36">
        <f t="shared" si="28" ref="C132:H132">C129/C43</f>
        <v>0.3670833333333333</v>
      </c>
      <c r="D132" s="36">
        <f t="shared" si="28"/>
        <v>0.3623853211009174</v>
      </c>
      <c r="E132" s="36">
        <f t="shared" si="28"/>
        <v>0.33781965006729475</v>
      </c>
      <c r="F132" s="36">
        <f t="shared" si="28"/>
        <v>0.3577336641852771</v>
      </c>
      <c r="G132" s="36">
        <f t="shared" si="28"/>
        <v>0.3518821603927987</v>
      </c>
      <c r="H132" s="35">
        <f t="shared" si="28"/>
        <v>0.374</v>
      </c>
      <c r="I132" s="1"/>
      <c r="J132" s="1"/>
    </row>
    <row r="133" ht="15" customHeight="1">
      <c r="A133" s="1"/>
      <c r="B133" s="1" t="s">
        <v>104</v>
      </c>
      <c r="C133" s="51">
        <f>(C132-Inputs!C164/Inputs!C147)*10000</f>
        <v>-85.07556224036705</v>
      </c>
      <c r="D133" s="51">
        <f>(D132-Inputs!D164/Inputs!D147)*10000</f>
        <v>-117.061709897196</v>
      </c>
      <c r="E133" s="51">
        <f>(E132-Inputs!E164/Inputs!E147)*10000</f>
        <v>143.32275126846926</v>
      </c>
      <c r="F133" s="51">
        <f>(F132-Inputs!F164/Inputs!F147)*10000</f>
        <v>67.63646548592794</v>
      </c>
      <c r="G133" s="51">
        <f>(G132-Inputs!G164/Inputs!G147)*10000</f>
        <v>-94.3701232939248</v>
      </c>
      <c r="H133" s="48">
        <f t="shared" si="9"/>
        <v>69.16666666666683</v>
      </c>
      <c r="I133" s="1"/>
      <c r="J133" s="1"/>
    </row>
    <row r="134" ht="15" customHeight="1">
      <c r="A134" s="1"/>
      <c r="B134" s="1" t="s">
        <v>189</v>
      </c>
      <c r="C134" s="15">
        <f t="shared" si="29" ref="C134:H134">C129+C103</f>
        <v>1393</v>
      </c>
      <c r="D134" s="15">
        <f t="shared" si="29"/>
        <v>1393</v>
      </c>
      <c r="E134" s="15">
        <f t="shared" si="29"/>
        <v>1260</v>
      </c>
      <c r="F134" s="15">
        <f t="shared" si="29"/>
        <v>1378</v>
      </c>
      <c r="G134" s="15">
        <f t="shared" si="29"/>
        <v>5246</v>
      </c>
      <c r="H134" s="41">
        <f t="shared" si="29"/>
        <v>1484.514655951832</v>
      </c>
      <c r="I134" s="1"/>
      <c r="J134" s="1"/>
    </row>
    <row r="135" ht="15" customHeight="1">
      <c r="A135" s="1"/>
      <c r="B135" s="4" t="s">
        <v>190</v>
      </c>
      <c r="C135" s="36">
        <f t="shared" si="30" ref="C135:H135">C134/C43</f>
        <v>0.5804166666666667</v>
      </c>
      <c r="D135" s="36">
        <f t="shared" si="30"/>
        <v>0.5809007506255213</v>
      </c>
      <c r="E135" s="36">
        <f t="shared" si="30"/>
        <v>0.5652759084791387</v>
      </c>
      <c r="F135" s="36">
        <f t="shared" si="30"/>
        <v>0.5698924731182796</v>
      </c>
      <c r="G135" s="36">
        <f t="shared" si="30"/>
        <v>0.5723949809056192</v>
      </c>
      <c r="H135" s="35">
        <f t="shared" si="30"/>
        <v>0.582</v>
      </c>
      <c r="I135" s="1"/>
      <c r="J135" s="1"/>
    </row>
    <row r="136" ht="15" customHeight="1">
      <c r="A136" s="1"/>
      <c r="B136" s="1" t="s">
        <v>104</v>
      </c>
      <c r="C136" s="51">
        <f>(C135-(Inputs!C164+Inputs!C159)/Inputs!C147)*10000</f>
        <v>-87.53939263715816</v>
      </c>
      <c r="D136" s="51">
        <f>(D135-(Inputs!D164+Inputs!D159)/Inputs!D147)*10000</f>
        <v>-82.39907775504763</v>
      </c>
      <c r="E136" s="51">
        <f>(E135-(Inputs!E164+Inputs!E159)/Inputs!E147)*10000</f>
        <v>92.96870842168681</v>
      </c>
      <c r="F136" s="51">
        <f>(F135-(Inputs!F164+Inputs!F159)/Inputs!F147)*10000</f>
        <v>-2.1334698754049697</v>
      </c>
      <c r="G136" s="51">
        <f>(G135-(Inputs!G164+Inputs!G159)/Inputs!G147)*10000</f>
        <v>-89.35371246420965</v>
      </c>
      <c r="H136" s="48">
        <f t="shared" si="9"/>
        <v>15.8333333333327</v>
      </c>
      <c r="I136" s="1"/>
      <c r="J136" s="1"/>
    </row>
    <row r="137" ht="15" customHeight="1">
      <c r="A137" s="1"/>
      <c r="B137" s="1"/>
      <c r="C137" s="1"/>
      <c r="D137" s="1"/>
      <c r="E137" s="1"/>
      <c r="F137" s="1"/>
      <c r="G137" s="1"/>
      <c r="H137" s="32"/>
      <c r="I137" s="1"/>
      <c r="J137" s="1"/>
    </row>
    <row r="138" ht="15" customHeight="1">
      <c r="A138" s="1"/>
      <c r="B138" s="31" t="s">
        <v>191</v>
      </c>
      <c r="C138" s="1"/>
      <c r="D138" s="1"/>
      <c r="E138" s="1"/>
      <c r="F138" s="1"/>
      <c r="G138" s="1"/>
      <c r="H138" s="32"/>
      <c r="I138" s="1"/>
      <c r="J138" s="1"/>
    </row>
    <row r="139" ht="15" customHeight="1">
      <c r="A139" s="1"/>
      <c r="B139" s="1" t="s">
        <v>192</v>
      </c>
      <c r="C139" s="42">
        <v>22147</v>
      </c>
      <c r="D139" s="42">
        <v>21787</v>
      </c>
      <c r="E139" s="42">
        <v>21411</v>
      </c>
      <c r="F139" s="42">
        <v>22280</v>
      </c>
      <c r="G139" s="15">
        <f t="shared" si="31"/>
        <v>21787</v>
      </c>
      <c r="H139" s="33">
        <f>'Balance Sheet'!H22*H141</f>
        <v>22871.951724987477</v>
      </c>
      <c r="I139" s="1"/>
      <c r="J139" s="1"/>
    </row>
    <row r="140" ht="15" customHeight="1">
      <c r="A140" s="1"/>
      <c r="B140" s="1" t="s">
        <v>79</v>
      </c>
      <c r="C140" s="15" t="s">
        <v>33</v>
      </c>
      <c r="D140" s="15">
        <f t="shared" si="32" ref="D140:F140">D139-C139</f>
        <v>-360</v>
      </c>
      <c r="E140" s="15">
        <f t="shared" si="32"/>
        <v>-376</v>
      </c>
      <c r="F140" s="15">
        <f t="shared" si="32"/>
        <v>869</v>
      </c>
      <c r="G140" s="15"/>
      <c r="H140" s="41">
        <f>H139-F139</f>
        <v>591.9517249874771</v>
      </c>
      <c r="I140" s="1"/>
      <c r="J140" s="1"/>
    </row>
    <row r="141" ht="15" customHeight="1">
      <c r="A141" s="1"/>
      <c r="B141" s="4" t="s">
        <v>193</v>
      </c>
      <c r="C141" s="34">
        <f>C139/'Balance Sheet'!C22</f>
        <v>0.7366372858805921</v>
      </c>
      <c r="D141" s="34">
        <f>D139/'Balance Sheet'!D22</f>
        <v>0.72949172972611</v>
      </c>
      <c r="E141" s="34">
        <f>E139/'Balance Sheet'!E22</f>
        <v>0.7163744646680942</v>
      </c>
      <c r="F141" s="34">
        <f>F139/'Balance Sheet'!F22</f>
        <v>0.711502842179217</v>
      </c>
      <c r="G141" s="34">
        <f>G139/'Balance Sheet'!G22</f>
        <v>0.72949172972611</v>
      </c>
      <c r="H141" s="35">
        <f>F141</f>
        <v>0.711502842179217</v>
      </c>
      <c r="I141" s="1"/>
      <c r="J141" s="1"/>
    </row>
    <row r="142" ht="15" customHeight="1">
      <c r="A142" s="1"/>
      <c r="B142" s="4" t="s">
        <v>194</v>
      </c>
      <c r="C142" s="36">
        <f t="shared" si="33" ref="C142:H142">C129*365/C8/C139</f>
        <v>0.15782145388226101</v>
      </c>
      <c r="D142" s="36">
        <f t="shared" si="33"/>
        <v>0.15824404660936617</v>
      </c>
      <c r="E142" s="36">
        <f t="shared" si="33"/>
        <v>0.14262917814830384</v>
      </c>
      <c r="F142" s="36">
        <f t="shared" si="33"/>
        <v>0.1557228677964764</v>
      </c>
      <c r="G142" s="36">
        <f t="shared" si="33"/>
        <v>0.14802405103961078</v>
      </c>
      <c r="H142" s="35">
        <f t="shared" si="33"/>
        <v>0.16547596350758162</v>
      </c>
      <c r="I142" s="1"/>
      <c r="J142" s="1"/>
    </row>
    <row r="143" ht="1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ht="1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0A63955-D5A1-10F8-37C9-99AA6C444E37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195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47</v>
      </c>
      <c r="D6" s="6" t="s">
        <v>48</v>
      </c>
      <c r="E6" s="6" t="s">
        <v>49</v>
      </c>
      <c r="F6" s="6" t="s">
        <v>50</v>
      </c>
      <c r="G6" s="6" t="s">
        <v>51</v>
      </c>
      <c r="H6" s="28" t="s">
        <v>4</v>
      </c>
      <c r="I6" s="1"/>
      <c r="J6" s="1"/>
    </row>
    <row r="7" ht="15" customHeight="1">
      <c r="A7" s="1"/>
      <c r="B7" s="7" t="s">
        <v>5</v>
      </c>
      <c r="C7" s="8">
        <v>45930</v>
      </c>
      <c r="D7" s="8">
        <v>46022</v>
      </c>
      <c r="E7" s="8">
        <v>46112</v>
      </c>
      <c r="F7" s="8">
        <v>46203</v>
      </c>
      <c r="G7" s="8">
        <v>46022</v>
      </c>
      <c r="H7" s="29">
        <v>46295</v>
      </c>
      <c r="I7" s="1"/>
      <c r="J7" s="1"/>
    </row>
    <row r="8" ht="15" customHeight="1">
      <c r="A8" s="1"/>
      <c r="B8" s="9" t="s">
        <v>6</v>
      </c>
      <c r="C8" s="10">
        <f t="shared" si="0" ref="C8:H8">C7-EOMONTH(C7,-3)</f>
        <v>92</v>
      </c>
      <c r="D8" s="10">
        <f t="shared" si="0"/>
        <v>92</v>
      </c>
      <c r="E8" s="10">
        <f t="shared" si="0"/>
        <v>90</v>
      </c>
      <c r="F8" s="10">
        <f t="shared" si="0"/>
        <v>91</v>
      </c>
      <c r="G8" s="10">
        <f>G7-EOMONTH(G7,-12)</f>
        <v>365</v>
      </c>
      <c r="H8" s="30">
        <f t="shared" si="0"/>
        <v>92</v>
      </c>
      <c r="I8" s="1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3" t="s">
        <v>52</v>
      </c>
    </row>
    <row r="10" ht="15" customHeight="1">
      <c r="A10" s="1"/>
      <c r="B10" s="31" t="s">
        <v>142</v>
      </c>
      <c r="C10" s="1"/>
      <c r="D10" s="1"/>
      <c r="E10" s="1"/>
      <c r="F10" s="1"/>
      <c r="G10" s="1"/>
      <c r="H10" s="32"/>
      <c r="I10" s="1"/>
      <c r="J10" s="1"/>
    </row>
    <row r="11" ht="15" customHeight="1">
      <c r="A11" s="1"/>
      <c r="B11" s="1" t="s">
        <v>143</v>
      </c>
      <c r="C11" s="12">
        <f>Inputs!C140-Inputs!C138</f>
        <v>350</v>
      </c>
      <c r="D11" s="12">
        <f>Inputs!C142-Inputs!C140</f>
        <v>175</v>
      </c>
      <c r="E11" s="42">
        <v>293</v>
      </c>
      <c r="F11" s="12">
        <f>Inputs!C144-E11</f>
        <v>524</v>
      </c>
      <c r="G11" s="12">
        <f>Inputs!C142</f>
        <v>1159</v>
      </c>
      <c r="H11" s="33">
        <f>('Revenue summary'!H84-'Cash Flow Statement'!H31)*H14</f>
        <v>454.95000000000005</v>
      </c>
      <c r="I11" s="1"/>
      <c r="J11" s="1" t="s">
        <v>144</v>
      </c>
    </row>
    <row r="12" ht="15" customHeight="1">
      <c r="A12" s="1"/>
      <c r="B12" s="4" t="s">
        <v>56</v>
      </c>
      <c r="C12" s="36" t="s">
        <v>33</v>
      </c>
      <c r="D12" s="36" t="s">
        <v>33</v>
      </c>
      <c r="E12" s="36" t="s">
        <v>33</v>
      </c>
      <c r="F12" s="36" t="s">
        <v>33</v>
      </c>
      <c r="G12" s="36" t="s">
        <v>33</v>
      </c>
      <c r="H12" s="35">
        <f t="shared" si="11" ref="H12:H134">H11/C11-1</f>
        <v>0.29985714285714304</v>
      </c>
      <c r="I12" s="1"/>
      <c r="J12" s="1"/>
    </row>
    <row r="13" ht="15" customHeight="1">
      <c r="A13" s="1"/>
      <c r="B13" s="1" t="s">
        <v>79</v>
      </c>
      <c r="C13" s="15" t="s">
        <v>33</v>
      </c>
      <c r="D13" s="15">
        <f t="shared" si="1" ref="D13:F135">D11-C11</f>
        <v>-175</v>
      </c>
      <c r="E13" s="15">
        <f t="shared" si="1"/>
        <v>118</v>
      </c>
      <c r="F13" s="15">
        <f t="shared" si="1"/>
        <v>231</v>
      </c>
      <c r="G13" s="15"/>
      <c r="H13" s="41">
        <f t="shared" si="4" ref="H13:H135">H11-F11</f>
        <v>-69.04999999999995</v>
      </c>
      <c r="I13" s="1"/>
      <c r="J13" s="1"/>
    </row>
    <row r="14" ht="15" customHeight="1">
      <c r="A14" s="1"/>
      <c r="B14" s="4" t="s">
        <v>145</v>
      </c>
      <c r="C14" s="34">
        <f>C11/('Segment - General Rentals'!C11+C11)</f>
        <v>0.2219403931515536</v>
      </c>
      <c r="D14" s="34">
        <f>D11/('Segment - General Rentals'!D11+D11)</f>
        <v>0.32710280373831774</v>
      </c>
      <c r="E14" s="34">
        <f>E11/('Segment - General Rentals'!E11+E11)</f>
        <v>0.31170212765957445</v>
      </c>
      <c r="F14" s="34">
        <f>F11/('Segment - General Rentals'!F11+F11)</f>
        <v>0.24304267161410018</v>
      </c>
      <c r="G14" s="34">
        <f>G11/('Segment - General Rentals'!G11+G11)</f>
        <v>0.2537215411558669</v>
      </c>
      <c r="H14" s="56">
        <f>1-'Segment - General Rentals'!H14</f>
        <v>0.27</v>
      </c>
      <c r="I14" s="1"/>
      <c r="J14" s="1"/>
    </row>
    <row r="15" ht="15" customHeight="1">
      <c r="A15" s="1"/>
      <c r="B15" s="1" t="s">
        <v>105</v>
      </c>
      <c r="C15" s="47" t="s">
        <v>33</v>
      </c>
      <c r="D15" s="47">
        <f t="shared" si="2" ref="D15:F15">(D14-C14)*10000</f>
        <v>1051.6241058676414</v>
      </c>
      <c r="E15" s="47">
        <f t="shared" si="2"/>
        <v>-154.0067607874329</v>
      </c>
      <c r="F15" s="47">
        <f t="shared" si="2"/>
        <v>-686.5945604547427</v>
      </c>
      <c r="G15" s="47"/>
      <c r="H15" s="48">
        <f>(H14-F14)*10000</f>
        <v>269.5732838589984</v>
      </c>
      <c r="I15" s="1"/>
      <c r="J15" s="1"/>
    </row>
    <row r="16" ht="15" customHeight="1">
      <c r="A16" s="1"/>
      <c r="B16" s="4" t="s">
        <v>147</v>
      </c>
      <c r="C16" s="34">
        <f>C107/('Segment - General Rentals'!C103+C107)</f>
        <v>0.25146198830409355</v>
      </c>
      <c r="D16" s="34">
        <f>D107/('Segment - General Rentals'!D103+D107)</f>
        <v>0.2492836676217765</v>
      </c>
      <c r="E16" s="34">
        <f>E107/('Segment - General Rentals'!E103+E107)</f>
        <v>0.2555066079295154</v>
      </c>
      <c r="F16" s="34">
        <f>F107/('Segment - General Rentals'!F103+F107)</f>
        <v>0.2713068181818182</v>
      </c>
      <c r="G16" s="34">
        <f>G107/('Segment - General Rentals'!G103+G107)</f>
        <v>0.24307116104868914</v>
      </c>
      <c r="H16" s="56">
        <f>H30/'Revenue summary'!H93</f>
        <v>0.27454234469159466</v>
      </c>
      <c r="I16" s="1"/>
      <c r="J16" s="1" t="s">
        <v>148</v>
      </c>
    </row>
    <row r="17" ht="15" customHeight="1">
      <c r="A17" s="1"/>
      <c r="B17" s="1" t="s">
        <v>104</v>
      </c>
      <c r="C17" s="47" t="s">
        <v>33</v>
      </c>
      <c r="D17" s="47" t="s">
        <v>33</v>
      </c>
      <c r="E17" s="47" t="s">
        <v>33</v>
      </c>
      <c r="F17" s="47" t="s">
        <v>33</v>
      </c>
      <c r="G17" s="47" t="s">
        <v>33</v>
      </c>
      <c r="H17" s="48">
        <f t="shared" si="9" ref="H17:H140">(H16-C16)*10000</f>
        <v>230.80356387501112</v>
      </c>
      <c r="I17" s="1"/>
      <c r="J17" s="1"/>
    </row>
    <row r="18" ht="15" customHeight="1">
      <c r="A18" s="1"/>
      <c r="B18" s="1" t="s">
        <v>149</v>
      </c>
      <c r="C18" s="12">
        <f>Inputs!F239*C16</f>
        <v>5554.795321637426</v>
      </c>
      <c r="D18" s="15">
        <f t="shared" si="3" ref="D18:F18">C30</f>
        <v>5738.3625730994145</v>
      </c>
      <c r="E18" s="15">
        <f t="shared" si="3"/>
        <v>5603.896848137536</v>
      </c>
      <c r="F18" s="15">
        <f t="shared" si="3"/>
        <v>5771.894273127753</v>
      </c>
      <c r="G18" s="15" t="s">
        <v>33</v>
      </c>
      <c r="H18" s="41">
        <f>F30</f>
        <v>6443.536931818182</v>
      </c>
      <c r="I18" s="1"/>
      <c r="J18" s="1"/>
    </row>
    <row r="19" ht="15" customHeight="1">
      <c r="A19" s="1"/>
      <c r="B19" s="1" t="s">
        <v>78</v>
      </c>
      <c r="C19" s="15" t="s">
        <v>33</v>
      </c>
      <c r="D19" s="15" t="s">
        <v>33</v>
      </c>
      <c r="E19" s="15" t="s">
        <v>33</v>
      </c>
      <c r="F19" s="15" t="s">
        <v>33</v>
      </c>
      <c r="G19" s="15" t="s">
        <v>33</v>
      </c>
      <c r="H19" s="41">
        <f t="shared" si="5" ref="H19:H34">H18-C18</f>
        <v>888.7416101807557</v>
      </c>
      <c r="I19" s="1"/>
      <c r="J19" s="1"/>
    </row>
    <row r="20" ht="15" customHeight="1">
      <c r="A20" s="1"/>
      <c r="B20" s="1" t="s">
        <v>79</v>
      </c>
      <c r="C20" s="15" t="s">
        <v>33</v>
      </c>
      <c r="D20" s="15">
        <f t="shared" si="1"/>
        <v>183.56725146198823</v>
      </c>
      <c r="E20" s="15">
        <f t="shared" si="1"/>
        <v>-134.46572496187855</v>
      </c>
      <c r="F20" s="15">
        <f t="shared" si="1"/>
        <v>167.99742499021704</v>
      </c>
      <c r="G20" s="15"/>
      <c r="H20" s="41">
        <f t="shared" si="4"/>
        <v>671.642658690429</v>
      </c>
      <c r="I20" s="1"/>
      <c r="J20" s="1"/>
    </row>
    <row r="21" ht="15" customHeight="1">
      <c r="A21" s="1"/>
      <c r="B21" s="1" t="s">
        <v>150</v>
      </c>
      <c r="C21" s="12">
        <f>'Revenue summary'!C84*C14</f>
        <v>330.6911857958149</v>
      </c>
      <c r="D21" s="12">
        <f>'Revenue summary'!D84*D14</f>
        <v>140.3271028037383</v>
      </c>
      <c r="E21" s="12">
        <f>'Revenue summary'!E84*E14</f>
        <v>272.42765957446807</v>
      </c>
      <c r="F21" s="12">
        <f>'Revenue summary'!F84*F14</f>
        <v>499.93877551020404</v>
      </c>
      <c r="G21" s="12">
        <f>'Revenue summary'!G84*G14</f>
        <v>1062.8395359019266</v>
      </c>
      <c r="H21" s="33">
        <f>'Revenue summary'!H84*H14</f>
        <v>429.3</v>
      </c>
      <c r="I21" s="1"/>
      <c r="J21" s="1"/>
    </row>
    <row r="22" ht="15" customHeight="1">
      <c r="A22" s="1"/>
      <c r="B22" s="1" t="s">
        <v>78</v>
      </c>
      <c r="C22" s="15" t="s">
        <v>33</v>
      </c>
      <c r="D22" s="15" t="s">
        <v>33</v>
      </c>
      <c r="E22" s="15" t="s">
        <v>33</v>
      </c>
      <c r="F22" s="15" t="s">
        <v>33</v>
      </c>
      <c r="G22" s="15" t="s">
        <v>33</v>
      </c>
      <c r="H22" s="41">
        <f t="shared" si="5"/>
        <v>98.60881420418514</v>
      </c>
      <c r="I22" s="1"/>
      <c r="J22" s="1"/>
    </row>
    <row r="23" ht="15" customHeight="1">
      <c r="A23" s="1"/>
      <c r="B23" s="1" t="s">
        <v>79</v>
      </c>
      <c r="C23" s="15" t="s">
        <v>33</v>
      </c>
      <c r="D23" s="15">
        <f t="shared" si="1"/>
        <v>-190.36408299207656</v>
      </c>
      <c r="E23" s="15">
        <f t="shared" si="1"/>
        <v>132.10055677072975</v>
      </c>
      <c r="F23" s="15">
        <f t="shared" si="1"/>
        <v>227.51111593573597</v>
      </c>
      <c r="G23" s="15"/>
      <c r="H23" s="41">
        <f t="shared" si="4"/>
        <v>-70.63877551020403</v>
      </c>
      <c r="I23" s="1"/>
      <c r="J23" s="1"/>
    </row>
    <row r="24" ht="15" customHeight="1">
      <c r="A24" s="1"/>
      <c r="B24" s="1" t="s">
        <v>151</v>
      </c>
      <c r="C24" s="12">
        <f>'Revenue summary'!C87*C52</f>
        <v>109.67267267267268</v>
      </c>
      <c r="D24" s="12">
        <f>'Revenue summary'!D87*D52</f>
        <v>91.63346613545816</v>
      </c>
      <c r="E24" s="12">
        <f>'Revenue summary'!E87*E52</f>
        <v>95.2</v>
      </c>
      <c r="F24" s="12">
        <f>'Revenue summary'!F87*F52</f>
        <v>86.98181818181818</v>
      </c>
      <c r="G24" s="15" t="s">
        <v>33</v>
      </c>
      <c r="H24" s="33">
        <f>'Revenue summary'!H87*H52</f>
        <v>101.25000000000001</v>
      </c>
      <c r="I24" s="1"/>
      <c r="J24" s="1"/>
    </row>
    <row r="25" ht="15" customHeight="1">
      <c r="A25" s="1"/>
      <c r="B25" s="1" t="s">
        <v>78</v>
      </c>
      <c r="C25" s="15" t="s">
        <v>33</v>
      </c>
      <c r="D25" s="15" t="s">
        <v>33</v>
      </c>
      <c r="E25" s="15" t="s">
        <v>33</v>
      </c>
      <c r="F25" s="15" t="s">
        <v>33</v>
      </c>
      <c r="G25" s="15" t="s">
        <v>33</v>
      </c>
      <c r="H25" s="41">
        <f t="shared" si="5"/>
        <v>-8.422672672672661</v>
      </c>
      <c r="I25" s="1"/>
      <c r="J25" s="1"/>
    </row>
    <row r="26" ht="15" customHeight="1">
      <c r="A26" s="1"/>
      <c r="B26" s="1" t="s">
        <v>79</v>
      </c>
      <c r="C26" s="15" t="s">
        <v>33</v>
      </c>
      <c r="D26" s="15">
        <f t="shared" si="1"/>
        <v>-18.03920653721451</v>
      </c>
      <c r="E26" s="15">
        <f t="shared" si="1"/>
        <v>3.5665338645418387</v>
      </c>
      <c r="F26" s="15">
        <f t="shared" si="1"/>
        <v>-8.218181818181819</v>
      </c>
      <c r="G26" s="15"/>
      <c r="H26" s="41">
        <f t="shared" si="4"/>
        <v>14.26818181818183</v>
      </c>
      <c r="I26" s="1"/>
      <c r="J26" s="1"/>
    </row>
    <row r="27" ht="15" customHeight="1">
      <c r="A27" s="1"/>
      <c r="B27" s="1" t="s">
        <v>152</v>
      </c>
      <c r="C27" s="15">
        <f t="shared" si="6" ref="C27:F27">C30-C18-C21+C24</f>
        <v>-37.451261661153964</v>
      </c>
      <c r="D27" s="15">
        <f t="shared" si="6"/>
        <v>-183.15936163015868</v>
      </c>
      <c r="E27" s="15">
        <f t="shared" si="6"/>
        <v>-9.230234584251022</v>
      </c>
      <c r="F27" s="15">
        <f t="shared" si="6"/>
        <v>258.6857013620432</v>
      </c>
      <c r="G27" s="15" t="s">
        <v>33</v>
      </c>
      <c r="H27" s="33">
        <f>'Revenue summary'!H90*H14</f>
        <v>0</v>
      </c>
      <c r="I27" s="1"/>
      <c r="J27" s="1"/>
    </row>
    <row r="28" ht="15" customHeight="1">
      <c r="A28" s="1"/>
      <c r="B28" s="1" t="s">
        <v>78</v>
      </c>
      <c r="C28" s="15" t="s">
        <v>33</v>
      </c>
      <c r="D28" s="15" t="s">
        <v>33</v>
      </c>
      <c r="E28" s="15" t="s">
        <v>33</v>
      </c>
      <c r="F28" s="15" t="s">
        <v>33</v>
      </c>
      <c r="G28" s="15" t="s">
        <v>33</v>
      </c>
      <c r="H28" s="41">
        <f t="shared" si="5"/>
        <v>37.451261661153964</v>
      </c>
      <c r="I28" s="1"/>
      <c r="J28" s="1"/>
    </row>
    <row r="29" ht="15" customHeight="1">
      <c r="A29" s="1"/>
      <c r="B29" s="1" t="s">
        <v>79</v>
      </c>
      <c r="C29" s="15" t="s">
        <v>33</v>
      </c>
      <c r="D29" s="15">
        <f t="shared" si="1"/>
        <v>-145.7080999690047</v>
      </c>
      <c r="E29" s="15">
        <f t="shared" si="1"/>
        <v>173.92912704590765</v>
      </c>
      <c r="F29" s="15">
        <f t="shared" si="1"/>
        <v>267.9159359462942</v>
      </c>
      <c r="G29" s="15"/>
      <c r="H29" s="41">
        <f t="shared" si="4"/>
        <v>-258.6857013620432</v>
      </c>
      <c r="I29" s="1"/>
      <c r="J29" s="1"/>
    </row>
    <row r="30" ht="15" customHeight="1">
      <c r="A30" s="1"/>
      <c r="B30" s="3" t="s">
        <v>153</v>
      </c>
      <c r="C30" s="57">
        <f>'Revenue summary'!C93*C16</f>
        <v>5738.3625730994145</v>
      </c>
      <c r="D30" s="57">
        <f>'Revenue summary'!D93*D16</f>
        <v>5603.896848137536</v>
      </c>
      <c r="E30" s="57">
        <f>'Revenue summary'!E93*E16</f>
        <v>5771.894273127753</v>
      </c>
      <c r="F30" s="57">
        <f>'Revenue summary'!F93*F16</f>
        <v>6443.536931818182</v>
      </c>
      <c r="G30" s="37">
        <f t="shared" si="31" ref="G30:G143">D30</f>
        <v>5603.896848137536</v>
      </c>
      <c r="H30" s="38">
        <f>H18+H21-H24+H27</f>
        <v>6771.586931818182</v>
      </c>
      <c r="I30" s="1"/>
      <c r="J30" s="1"/>
    </row>
    <row r="31" ht="15" customHeight="1">
      <c r="A31" s="1"/>
      <c r="B31" s="1" t="s">
        <v>78</v>
      </c>
      <c r="C31" s="15" t="s">
        <v>33</v>
      </c>
      <c r="D31" s="15" t="s">
        <v>33</v>
      </c>
      <c r="E31" s="15" t="s">
        <v>33</v>
      </c>
      <c r="F31" s="15" t="s">
        <v>33</v>
      </c>
      <c r="G31" s="15" t="s">
        <v>33</v>
      </c>
      <c r="H31" s="41">
        <f t="shared" si="5"/>
        <v>1033.2243587187677</v>
      </c>
      <c r="I31" s="1"/>
      <c r="J31" s="1"/>
    </row>
    <row r="32" ht="15" customHeight="1">
      <c r="A32" s="1"/>
      <c r="B32" s="1" t="s">
        <v>79</v>
      </c>
      <c r="C32" s="15" t="s">
        <v>33</v>
      </c>
      <c r="D32" s="15">
        <f t="shared" si="1"/>
        <v>-134.46572496187855</v>
      </c>
      <c r="E32" s="15">
        <f t="shared" si="1"/>
        <v>167.99742499021704</v>
      </c>
      <c r="F32" s="15">
        <f t="shared" si="1"/>
        <v>671.642658690429</v>
      </c>
      <c r="G32" s="15"/>
      <c r="H32" s="41">
        <f t="shared" si="4"/>
        <v>328.0500000000002</v>
      </c>
      <c r="I32" s="1"/>
      <c r="J32" s="1"/>
    </row>
    <row r="33" ht="15" customHeight="1">
      <c r="A33" s="1"/>
      <c r="B33" s="1" t="s">
        <v>154</v>
      </c>
      <c r="C33" s="15">
        <f t="shared" si="7" ref="C33:H33">(C18+C30)/2</f>
        <v>5646.57894736842</v>
      </c>
      <c r="D33" s="15">
        <f t="shared" si="7"/>
        <v>5671.129710618476</v>
      </c>
      <c r="E33" s="15">
        <f t="shared" si="7"/>
        <v>5687.895560632644</v>
      </c>
      <c r="F33" s="15">
        <f t="shared" si="7"/>
        <v>6107.7156024729675</v>
      </c>
      <c r="G33" s="15" t="s">
        <v>33</v>
      </c>
      <c r="H33" s="41">
        <f t="shared" si="7"/>
        <v>6607.561931818182</v>
      </c>
      <c r="I33" s="1"/>
      <c r="J33" s="1"/>
    </row>
    <row r="34" ht="15" customHeight="1">
      <c r="A34" s="1"/>
      <c r="B34" s="1" t="s">
        <v>78</v>
      </c>
      <c r="C34" s="15" t="s">
        <v>33</v>
      </c>
      <c r="D34" s="15" t="s">
        <v>33</v>
      </c>
      <c r="E34" s="15" t="s">
        <v>33</v>
      </c>
      <c r="F34" s="15" t="s">
        <v>33</v>
      </c>
      <c r="G34" s="15" t="s">
        <v>33</v>
      </c>
      <c r="H34" s="41">
        <f t="shared" si="5"/>
        <v>960.9829844497617</v>
      </c>
      <c r="I34" s="1"/>
      <c r="J34" s="1"/>
    </row>
    <row r="35" ht="15" customHeight="1">
      <c r="A35" s="1"/>
      <c r="B35" s="1" t="s">
        <v>79</v>
      </c>
      <c r="C35" s="15" t="s">
        <v>33</v>
      </c>
      <c r="D35" s="15">
        <f t="shared" si="1"/>
        <v>24.550763250055752</v>
      </c>
      <c r="E35" s="15">
        <f t="shared" si="1"/>
        <v>16.76585001416879</v>
      </c>
      <c r="F35" s="15">
        <f t="shared" si="1"/>
        <v>419.82004184032303</v>
      </c>
      <c r="G35" s="15"/>
      <c r="H35" s="41">
        <f t="shared" si="4"/>
        <v>499.84632934521414</v>
      </c>
      <c r="I35" s="1"/>
      <c r="J35" s="1"/>
    </row>
    <row r="36" ht="15" customHeight="1">
      <c r="A36" s="1"/>
      <c r="B36" s="4" t="s">
        <v>155</v>
      </c>
      <c r="C36" s="36" t="s">
        <v>33</v>
      </c>
      <c r="D36" s="36" t="s">
        <v>33</v>
      </c>
      <c r="E36" s="36" t="s">
        <v>33</v>
      </c>
      <c r="F36" s="36" t="s">
        <v>33</v>
      </c>
      <c r="G36" s="36" t="s">
        <v>33</v>
      </c>
      <c r="H36" s="35">
        <f t="shared" si="14" ref="H36:H54">H33/C33-1</f>
        <v>0.17018853245603283</v>
      </c>
      <c r="I36" s="1"/>
      <c r="J36" s="1"/>
    </row>
    <row r="37" ht="15" customHeight="1">
      <c r="A37" s="1"/>
      <c r="B37" s="1" t="s">
        <v>156</v>
      </c>
      <c r="C37" s="16">
        <f t="shared" si="8" ref="C37:H37">C43*365/C8/C33</f>
        <v>0.8888125087384072</v>
      </c>
      <c r="D37" s="16">
        <f t="shared" si="8"/>
        <v>0.8275994647513762</v>
      </c>
      <c r="E37" s="16">
        <f t="shared" si="8"/>
        <v>0.8484879969516037</v>
      </c>
      <c r="F37" s="16">
        <f t="shared" si="8"/>
        <v>0.9397499242435755</v>
      </c>
      <c r="G37" s="16" t="s">
        <v>33</v>
      </c>
      <c r="H37" s="46">
        <f t="shared" si="8"/>
        <v>0.9243650090879437</v>
      </c>
      <c r="I37" s="1"/>
      <c r="J37" s="1"/>
    </row>
    <row r="38" ht="15" customHeight="1">
      <c r="A38" s="1"/>
      <c r="B38" s="1" t="s">
        <v>104</v>
      </c>
      <c r="C38" s="47" t="s">
        <v>33</v>
      </c>
      <c r="D38" s="47" t="s">
        <v>33</v>
      </c>
      <c r="E38" s="47" t="s">
        <v>33</v>
      </c>
      <c r="F38" s="47" t="s">
        <v>33</v>
      </c>
      <c r="G38" s="47" t="s">
        <v>33</v>
      </c>
      <c r="H38" s="48">
        <f t="shared" si="9"/>
        <v>355.52500349536496</v>
      </c>
      <c r="I38" s="1"/>
      <c r="J38" s="1"/>
    </row>
    <row r="39" ht="15" customHeight="1">
      <c r="A39" s="1"/>
      <c r="B39" s="1" t="s">
        <v>105</v>
      </c>
      <c r="C39" s="47" t="s">
        <v>33</v>
      </c>
      <c r="D39" s="47">
        <f t="shared" si="10" ref="D39:F39">(D37-C37)*10000</f>
        <v>-612.1304398703098</v>
      </c>
      <c r="E39" s="47">
        <f t="shared" si="10"/>
        <v>208.88532200227462</v>
      </c>
      <c r="F39" s="47">
        <f t="shared" si="10"/>
        <v>912.619272919718</v>
      </c>
      <c r="G39" s="47"/>
      <c r="H39" s="48">
        <f>(H37-F37)*10000</f>
        <v>-153.84915155631785</v>
      </c>
      <c r="I39" s="1"/>
      <c r="J39" s="1"/>
    </row>
    <row r="40" ht="15" customHeight="1">
      <c r="A40" s="1"/>
      <c r="B40" s="4" t="s">
        <v>157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33</v>
      </c>
      <c r="H40" s="50">
        <v>0.04</v>
      </c>
      <c r="I40" s="1"/>
      <c r="J40" s="1" t="s">
        <v>196</v>
      </c>
    </row>
    <row r="41" ht="15" customHeight="1">
      <c r="A41" s="1"/>
      <c r="B41" s="1"/>
      <c r="C41" s="1"/>
      <c r="D41" s="1"/>
      <c r="E41" s="1"/>
      <c r="F41" s="1"/>
      <c r="G41" s="1"/>
      <c r="H41" s="32"/>
      <c r="I41" s="1"/>
      <c r="J41" s="1"/>
    </row>
    <row r="42" ht="15" customHeight="1">
      <c r="A42" s="1"/>
      <c r="B42" s="31" t="s">
        <v>159</v>
      </c>
      <c r="C42" s="1"/>
      <c r="D42" s="1"/>
      <c r="E42" s="1"/>
      <c r="F42" s="1"/>
      <c r="G42" s="1"/>
      <c r="H42" s="32"/>
      <c r="I42" s="1"/>
      <c r="J42" s="1"/>
    </row>
    <row r="43" ht="15" customHeight="1">
      <c r="A43" s="1"/>
      <c r="B43" s="1" t="s">
        <v>68</v>
      </c>
      <c r="C43" s="42">
        <v>1265</v>
      </c>
      <c r="D43" s="12">
        <f>G43-Inputs!E153-Inputs!F153-C43</f>
        <v>1183</v>
      </c>
      <c r="E43" s="42">
        <v>1190</v>
      </c>
      <c r="F43" s="42">
        <v>1431</v>
      </c>
      <c r="G43" s="42">
        <v>4641</v>
      </c>
      <c r="H43" s="41">
        <f>C43*(H33/C33)*(1+H40)</f>
        <v>1539.500033299157</v>
      </c>
      <c r="I43" s="1"/>
      <c r="J43" s="1" t="s">
        <v>160</v>
      </c>
    </row>
    <row r="44" ht="15" customHeight="1">
      <c r="A44" s="1"/>
      <c r="B44" s="4" t="s">
        <v>56</v>
      </c>
      <c r="C44" s="34">
        <f>C43/Inputs!C153-1</f>
        <v>0.113556338028169</v>
      </c>
      <c r="D44" s="34">
        <f>D43/Inputs!D153-1</f>
        <v>0.09233610341643583</v>
      </c>
      <c r="E44" s="34">
        <f>E43/Inputs!E153-1</f>
        <v>0.13766730401529648</v>
      </c>
      <c r="F44" s="34">
        <f>F43/Inputs!F153-1</f>
        <v>0.2476024411508282</v>
      </c>
      <c r="G44" s="34">
        <f>G43/Inputs!G153-1</f>
        <v>0.13638589618021557</v>
      </c>
      <c r="H44" s="35">
        <f t="shared" si="11"/>
        <v>0.2169960737542742</v>
      </c>
      <c r="I44" s="1"/>
      <c r="J44" s="1"/>
    </row>
    <row r="45" ht="15" customHeight="1">
      <c r="A45" s="1"/>
      <c r="B45" s="1" t="s">
        <v>79</v>
      </c>
      <c r="C45" s="12">
        <f>C43-Inputs!F153</f>
        <v>118</v>
      </c>
      <c r="D45" s="15">
        <f t="shared" si="1"/>
        <v>-82</v>
      </c>
      <c r="E45" s="15">
        <f t="shared" si="1"/>
        <v>7</v>
      </c>
      <c r="F45" s="15">
        <f t="shared" si="1"/>
        <v>241</v>
      </c>
      <c r="G45" s="15"/>
      <c r="H45" s="41">
        <f t="shared" si="4"/>
        <v>108.50003329915694</v>
      </c>
      <c r="I45" s="1"/>
      <c r="J45" s="1"/>
    </row>
    <row r="46" ht="15" customHeight="1">
      <c r="A46" s="1"/>
      <c r="B46" s="4" t="s">
        <v>57</v>
      </c>
      <c r="C46" s="34">
        <f>C43/Inputs!F153-1</f>
        <v>0.10287707061900608</v>
      </c>
      <c r="D46" s="36">
        <f t="shared" si="12" ref="D46:F46">D43/C43-1</f>
        <v>-0.06482213438735174</v>
      </c>
      <c r="E46" s="36">
        <f t="shared" si="12"/>
        <v>0.00591715976331364</v>
      </c>
      <c r="F46" s="36">
        <f t="shared" si="12"/>
        <v>0.2025210084033613</v>
      </c>
      <c r="G46" s="36"/>
      <c r="H46" s="35">
        <f>H43/F43-1</f>
        <v>0.07582112739284197</v>
      </c>
      <c r="I46" s="1"/>
      <c r="J46" s="1"/>
    </row>
    <row r="47" ht="15" customHeight="1">
      <c r="A47" s="1"/>
      <c r="B47" s="4" t="s">
        <v>59</v>
      </c>
      <c r="C47" s="36" t="s">
        <v>33</v>
      </c>
      <c r="D47" s="36" t="s">
        <v>33</v>
      </c>
      <c r="E47" s="36" t="s">
        <v>33</v>
      </c>
      <c r="F47" s="36" t="s">
        <v>33</v>
      </c>
      <c r="G47" s="36" t="s">
        <v>33</v>
      </c>
      <c r="H47" s="35" t="s">
        <v>33</v>
      </c>
      <c r="I47" s="1"/>
      <c r="J47" s="1" t="s">
        <v>60</v>
      </c>
    </row>
    <row r="48" ht="15" customHeight="1">
      <c r="A48" s="1"/>
      <c r="B48" s="4" t="s">
        <v>61</v>
      </c>
      <c r="C48" s="36" t="s">
        <v>33</v>
      </c>
      <c r="D48" s="36" t="s">
        <v>33</v>
      </c>
      <c r="E48" s="36" t="s">
        <v>33</v>
      </c>
      <c r="F48" s="36" t="s">
        <v>33</v>
      </c>
      <c r="G48" s="36" t="s">
        <v>33</v>
      </c>
      <c r="H48" s="35" t="s">
        <v>33</v>
      </c>
      <c r="I48" s="1"/>
      <c r="J48" s="1"/>
    </row>
    <row r="49" ht="15" customHeight="1">
      <c r="A49" s="1"/>
      <c r="B49" s="4" t="s">
        <v>62</v>
      </c>
      <c r="C49" s="36" t="s">
        <v>33</v>
      </c>
      <c r="D49" s="36" t="s">
        <v>33</v>
      </c>
      <c r="E49" s="36" t="s">
        <v>33</v>
      </c>
      <c r="F49" s="36" t="s">
        <v>33</v>
      </c>
      <c r="G49" s="36" t="s">
        <v>33</v>
      </c>
      <c r="H49" s="35" t="s">
        <v>33</v>
      </c>
      <c r="I49" s="1"/>
      <c r="J49" s="1"/>
    </row>
    <row r="50" ht="15" customHeight="1">
      <c r="A50" s="1"/>
      <c r="B50" s="4" t="s">
        <v>63</v>
      </c>
      <c r="C50" s="36">
        <f t="shared" si="13" ref="C50:H88">C44</f>
        <v>0.113556338028169</v>
      </c>
      <c r="D50" s="36">
        <f t="shared" si="13"/>
        <v>0.09233610341643583</v>
      </c>
      <c r="E50" s="36">
        <f t="shared" si="13"/>
        <v>0.13766730401529648</v>
      </c>
      <c r="F50" s="36">
        <f t="shared" si="13"/>
        <v>0.2476024411508282</v>
      </c>
      <c r="G50" s="36">
        <f t="shared" si="13"/>
        <v>0.13638589618021557</v>
      </c>
      <c r="H50" s="35">
        <f t="shared" si="13"/>
        <v>0.2169960737542742</v>
      </c>
      <c r="I50" s="1"/>
      <c r="J50" s="1"/>
    </row>
    <row r="51" ht="15" customHeight="1">
      <c r="A51" s="1"/>
      <c r="B51" s="1" t="s">
        <v>69</v>
      </c>
      <c r="C51" s="42">
        <v>59</v>
      </c>
      <c r="D51" s="12">
        <f>G51-Inputs!E154-Inputs!F154-C51</f>
        <v>46</v>
      </c>
      <c r="E51" s="42">
        <v>49</v>
      </c>
      <c r="F51" s="42">
        <v>46</v>
      </c>
      <c r="G51" s="42">
        <v>197</v>
      </c>
      <c r="H51" s="33">
        <f>'Revenue summary'!H145*H52</f>
        <v>53.66250000000001</v>
      </c>
      <c r="I51" s="1"/>
      <c r="J51" s="1"/>
    </row>
    <row r="52" ht="15" customHeight="1">
      <c r="A52" s="1"/>
      <c r="B52" s="4" t="s">
        <v>161</v>
      </c>
      <c r="C52" s="34">
        <f>C51/'Revenue summary'!C44</f>
        <v>0.17717717717717718</v>
      </c>
      <c r="D52" s="34">
        <f>D51/'Revenue summary'!D44</f>
        <v>0.11917098445595854</v>
      </c>
      <c r="E52" s="34">
        <f>E51/'Revenue summary'!E44</f>
        <v>0.14</v>
      </c>
      <c r="F52" s="34">
        <f>F51/'Revenue summary'!F44</f>
        <v>0.1393939393939394</v>
      </c>
      <c r="G52" s="34">
        <f>G51/'Revenue summary'!G44</f>
        <v>0.1394196744515216</v>
      </c>
      <c r="H52" s="56">
        <f>1-'Segment - General Rentals'!H52</f>
        <v>0.15000000000000002</v>
      </c>
      <c r="I52" s="1"/>
      <c r="J52" s="1"/>
    </row>
    <row r="53" ht="15" customHeight="1">
      <c r="A53" s="1"/>
      <c r="B53" s="1" t="s">
        <v>104</v>
      </c>
      <c r="C53" s="51">
        <f>(C52-Inputs!C154/Inputs!C178)*10000</f>
        <v>307.5973169431115</v>
      </c>
      <c r="D53" s="51">
        <f>(D52-Inputs!D154/Inputs!D178)*10000</f>
        <v>-69.35210234306946</v>
      </c>
      <c r="E53" s="51">
        <f>(E52-Inputs!E154/Inputs!E178)*10000</f>
        <v>153.3156498673742</v>
      </c>
      <c r="F53" s="51">
        <f>(F52-Inputs!F154/Inputs!F178)*10000</f>
        <v>-25.618965682057127</v>
      </c>
      <c r="G53" s="51">
        <f>(G52-Inputs!G154/Inputs!G178)*10000</f>
        <v>125.29470638240863</v>
      </c>
      <c r="H53" s="48">
        <f t="shared" si="9"/>
        <v>-271.77177177177157</v>
      </c>
      <c r="I53" s="1"/>
      <c r="J53" s="1"/>
    </row>
    <row r="54" ht="15" customHeight="1">
      <c r="A54" s="1"/>
      <c r="B54" s="4" t="s">
        <v>56</v>
      </c>
      <c r="C54" s="34">
        <f>C51/Inputs!C154-1</f>
        <v>0.25531914893617014</v>
      </c>
      <c r="D54" s="34">
        <f>D51/Inputs!D154-1</f>
        <v>-0.19298245614035092</v>
      </c>
      <c r="E54" s="34">
        <f>E51/Inputs!E154-1</f>
        <v>0.042553191489361764</v>
      </c>
      <c r="F54" s="34">
        <f>F51/Inputs!F154-1</f>
        <v>0.022222222222222143</v>
      </c>
      <c r="G54" s="34">
        <f>G51/Inputs!G154-1</f>
        <v>0.020725388601036343</v>
      </c>
      <c r="H54" s="35">
        <f t="shared" si="14"/>
        <v>-0.09046610169491509</v>
      </c>
      <c r="I54" s="1"/>
      <c r="J54" s="1"/>
    </row>
    <row r="55" ht="15" customHeight="1">
      <c r="A55" s="1"/>
      <c r="B55" s="1" t="s">
        <v>79</v>
      </c>
      <c r="C55" s="12">
        <f>C51-Inputs!F154</f>
        <v>14</v>
      </c>
      <c r="D55" s="15">
        <f t="shared" si="15" ref="D55:F55">D51-C51</f>
        <v>-13</v>
      </c>
      <c r="E55" s="15">
        <f t="shared" si="15"/>
        <v>3</v>
      </c>
      <c r="F55" s="15">
        <f t="shared" si="15"/>
        <v>-3</v>
      </c>
      <c r="G55" s="15"/>
      <c r="H55" s="41">
        <f>H51-F51</f>
        <v>7.6625000000000085</v>
      </c>
      <c r="I55" s="1"/>
      <c r="J55" s="1"/>
    </row>
    <row r="56" ht="15" customHeight="1">
      <c r="A56" s="1"/>
      <c r="B56" s="4" t="s">
        <v>59</v>
      </c>
      <c r="C56" s="36" t="s">
        <v>33</v>
      </c>
      <c r="D56" s="36" t="s">
        <v>33</v>
      </c>
      <c r="E56" s="36" t="s">
        <v>33</v>
      </c>
      <c r="F56" s="36" t="s">
        <v>33</v>
      </c>
      <c r="G56" s="36" t="s">
        <v>33</v>
      </c>
      <c r="H56" s="35" t="s">
        <v>33</v>
      </c>
      <c r="I56" s="1"/>
      <c r="J56" s="1" t="s">
        <v>60</v>
      </c>
    </row>
    <row r="57" ht="15" customHeight="1">
      <c r="A57" s="1"/>
      <c r="B57" s="4" t="s">
        <v>61</v>
      </c>
      <c r="C57" s="36" t="s">
        <v>33</v>
      </c>
      <c r="D57" s="36" t="s">
        <v>33</v>
      </c>
      <c r="E57" s="36" t="s">
        <v>33</v>
      </c>
      <c r="F57" s="36" t="s">
        <v>33</v>
      </c>
      <c r="G57" s="36" t="s">
        <v>33</v>
      </c>
      <c r="H57" s="35" t="s">
        <v>33</v>
      </c>
      <c r="I57" s="1"/>
      <c r="J57" s="1"/>
    </row>
    <row r="58" ht="15" customHeight="1">
      <c r="A58" s="1"/>
      <c r="B58" s="4" t="s">
        <v>62</v>
      </c>
      <c r="C58" s="36" t="s">
        <v>33</v>
      </c>
      <c r="D58" s="36" t="s">
        <v>33</v>
      </c>
      <c r="E58" s="36" t="s">
        <v>33</v>
      </c>
      <c r="F58" s="36" t="s">
        <v>33</v>
      </c>
      <c r="G58" s="36" t="s">
        <v>33</v>
      </c>
      <c r="H58" s="35" t="s">
        <v>33</v>
      </c>
      <c r="I58" s="1"/>
      <c r="J58" s="1"/>
    </row>
    <row r="59" ht="15" customHeight="1">
      <c r="A59" s="1"/>
      <c r="B59" s="4" t="s">
        <v>63</v>
      </c>
      <c r="C59" s="36">
        <f t="shared" si="16" ref="C59:H80">C54</f>
        <v>0.25531914893617014</v>
      </c>
      <c r="D59" s="36">
        <f t="shared" si="16"/>
        <v>-0.19298245614035092</v>
      </c>
      <c r="E59" s="36">
        <f t="shared" si="16"/>
        <v>0.042553191489361764</v>
      </c>
      <c r="F59" s="36">
        <f t="shared" si="16"/>
        <v>0.022222222222222143</v>
      </c>
      <c r="G59" s="36">
        <f t="shared" si="16"/>
        <v>0.020725388601036343</v>
      </c>
      <c r="H59" s="35">
        <f t="shared" si="16"/>
        <v>-0.09046610169491509</v>
      </c>
      <c r="I59" s="1"/>
      <c r="J59" s="1"/>
    </row>
    <row r="60" ht="15" customHeight="1">
      <c r="A60" s="1"/>
      <c r="B60" s="1" t="s">
        <v>70</v>
      </c>
      <c r="C60" s="42">
        <v>50</v>
      </c>
      <c r="D60" s="12">
        <f>G60-Inputs!E155-Inputs!F155-C60</f>
        <v>46</v>
      </c>
      <c r="E60" s="42">
        <v>36</v>
      </c>
      <c r="F60" s="42">
        <v>47</v>
      </c>
      <c r="G60" s="42">
        <v>149</v>
      </c>
      <c r="H60" s="41">
        <f t="shared" si="17" ref="H60:H74">C60*(1+H61)</f>
        <v>60</v>
      </c>
      <c r="I60" s="1"/>
      <c r="J60" s="1"/>
    </row>
    <row r="61" ht="15" customHeight="1">
      <c r="A61" s="1"/>
      <c r="B61" s="4" t="s">
        <v>107</v>
      </c>
      <c r="C61" s="34">
        <f>C60/Inputs!C155-1</f>
        <v>0.2195121951219512</v>
      </c>
      <c r="D61" s="34">
        <f>D60/Inputs!D155-1</f>
        <v>0.5862068965517242</v>
      </c>
      <c r="E61" s="34">
        <f>E60/Inputs!E155-1</f>
        <v>0.33333333333333326</v>
      </c>
      <c r="F61" s="34">
        <f>F60/Inputs!F155-1</f>
        <v>0.8076923076923077</v>
      </c>
      <c r="G61" s="34">
        <f>G60/Inputs!G155-1</f>
        <v>0.21138211382113825</v>
      </c>
      <c r="H61" s="50">
        <v>0.2</v>
      </c>
      <c r="I61" s="1"/>
      <c r="J61" s="1"/>
    </row>
    <row r="62" ht="15" customHeight="1">
      <c r="A62" s="1"/>
      <c r="B62" s="1" t="s">
        <v>79</v>
      </c>
      <c r="C62" s="12">
        <f>C60-Inputs!F155</f>
        <v>24</v>
      </c>
      <c r="D62" s="15">
        <f t="shared" si="1"/>
        <v>-4</v>
      </c>
      <c r="E62" s="15">
        <f t="shared" si="1"/>
        <v>-10</v>
      </c>
      <c r="F62" s="15">
        <f t="shared" si="1"/>
        <v>11</v>
      </c>
      <c r="G62" s="15"/>
      <c r="H62" s="41">
        <f t="shared" si="4"/>
        <v>13</v>
      </c>
      <c r="I62" s="1"/>
      <c r="J62" s="1"/>
    </row>
    <row r="63" ht="15" customHeight="1">
      <c r="A63" s="1"/>
      <c r="B63" s="4" t="s">
        <v>59</v>
      </c>
      <c r="C63" s="36" t="s">
        <v>33</v>
      </c>
      <c r="D63" s="36" t="s">
        <v>33</v>
      </c>
      <c r="E63" s="36" t="s">
        <v>33</v>
      </c>
      <c r="F63" s="36" t="s">
        <v>33</v>
      </c>
      <c r="G63" s="36" t="s">
        <v>33</v>
      </c>
      <c r="H63" s="35" t="s">
        <v>33</v>
      </c>
      <c r="I63" s="1"/>
      <c r="J63" s="1" t="s">
        <v>60</v>
      </c>
    </row>
    <row r="64" ht="15" customHeight="1">
      <c r="A64" s="1"/>
      <c r="B64" s="4" t="s">
        <v>61</v>
      </c>
      <c r="C64" s="36" t="s">
        <v>33</v>
      </c>
      <c r="D64" s="36" t="s">
        <v>33</v>
      </c>
      <c r="E64" s="36" t="s">
        <v>33</v>
      </c>
      <c r="F64" s="36" t="s">
        <v>33</v>
      </c>
      <c r="G64" s="36" t="s">
        <v>33</v>
      </c>
      <c r="H64" s="35" t="s">
        <v>33</v>
      </c>
      <c r="I64" s="1"/>
      <c r="J64" s="1"/>
    </row>
    <row r="65" ht="15" customHeight="1">
      <c r="A65" s="1"/>
      <c r="B65" s="4" t="s">
        <v>62</v>
      </c>
      <c r="C65" s="36" t="s">
        <v>33</v>
      </c>
      <c r="D65" s="36" t="s">
        <v>33</v>
      </c>
      <c r="E65" s="36" t="s">
        <v>33</v>
      </c>
      <c r="F65" s="36" t="s">
        <v>33</v>
      </c>
      <c r="G65" s="36" t="s">
        <v>33</v>
      </c>
      <c r="H65" s="35" t="s">
        <v>33</v>
      </c>
      <c r="I65" s="1"/>
      <c r="J65" s="1"/>
    </row>
    <row r="66" ht="15" customHeight="1">
      <c r="A66" s="1"/>
      <c r="B66" s="4" t="s">
        <v>63</v>
      </c>
      <c r="C66" s="36">
        <f t="shared" si="16"/>
        <v>0.2195121951219512</v>
      </c>
      <c r="D66" s="36">
        <f t="shared" si="16"/>
        <v>0.5862068965517242</v>
      </c>
      <c r="E66" s="36">
        <f t="shared" si="16"/>
        <v>0.33333333333333326</v>
      </c>
      <c r="F66" s="36">
        <f t="shared" si="16"/>
        <v>0.8076923076923077</v>
      </c>
      <c r="G66" s="36">
        <f t="shared" si="16"/>
        <v>0.21138211382113825</v>
      </c>
      <c r="H66" s="35">
        <f t="shared" si="16"/>
        <v>0.2</v>
      </c>
      <c r="I66" s="1"/>
      <c r="J66" s="1"/>
    </row>
    <row r="67" ht="15" customHeight="1">
      <c r="A67" s="1"/>
      <c r="B67" s="1" t="s">
        <v>71</v>
      </c>
      <c r="C67" s="42">
        <v>20</v>
      </c>
      <c r="D67" s="12">
        <f>G67-Inputs!E156-Inputs!F156-C67</f>
        <v>21</v>
      </c>
      <c r="E67" s="42">
        <v>19</v>
      </c>
      <c r="F67" s="42">
        <v>19</v>
      </c>
      <c r="G67" s="42">
        <v>76</v>
      </c>
      <c r="H67" s="41">
        <f t="shared" si="17"/>
        <v>21</v>
      </c>
      <c r="I67" s="1"/>
      <c r="J67" s="1"/>
    </row>
    <row r="68" ht="15" customHeight="1">
      <c r="A68" s="1"/>
      <c r="B68" s="4" t="s">
        <v>107</v>
      </c>
      <c r="C68" s="34">
        <f>C67/Inputs!C156-1</f>
        <v>0.25</v>
      </c>
      <c r="D68" s="34">
        <f>D67/Inputs!D156-1</f>
        <v>0.23529411764705888</v>
      </c>
      <c r="E68" s="34">
        <f>E67/Inputs!E156-1</f>
        <v>0.1875</v>
      </c>
      <c r="F68" s="34">
        <f>F67/Inputs!F156-1</f>
        <v>0</v>
      </c>
      <c r="G68" s="34">
        <f>G67/Inputs!G156-1</f>
        <v>0.11764705882352944</v>
      </c>
      <c r="H68" s="50">
        <v>0.05</v>
      </c>
      <c r="I68" s="1"/>
      <c r="J68" s="1"/>
    </row>
    <row r="69" ht="15" customHeight="1">
      <c r="A69" s="1"/>
      <c r="B69" s="1" t="s">
        <v>79</v>
      </c>
      <c r="C69" s="12">
        <f>C67-Inputs!F156</f>
        <v>1</v>
      </c>
      <c r="D69" s="15">
        <f t="shared" si="1"/>
        <v>1</v>
      </c>
      <c r="E69" s="15">
        <f t="shared" si="1"/>
        <v>-2</v>
      </c>
      <c r="F69" s="15">
        <f t="shared" si="1"/>
        <v>0</v>
      </c>
      <c r="G69" s="15"/>
      <c r="H69" s="41">
        <f t="shared" si="4"/>
        <v>2</v>
      </c>
      <c r="I69" s="1"/>
      <c r="J69" s="1"/>
    </row>
    <row r="70" ht="15" customHeight="1">
      <c r="A70" s="1"/>
      <c r="B70" s="4" t="s">
        <v>59</v>
      </c>
      <c r="C70" s="36" t="s">
        <v>33</v>
      </c>
      <c r="D70" s="36" t="s">
        <v>33</v>
      </c>
      <c r="E70" s="36" t="s">
        <v>33</v>
      </c>
      <c r="F70" s="36" t="s">
        <v>33</v>
      </c>
      <c r="G70" s="36" t="s">
        <v>33</v>
      </c>
      <c r="H70" s="35" t="s">
        <v>33</v>
      </c>
      <c r="I70" s="1"/>
      <c r="J70" s="1" t="s">
        <v>60</v>
      </c>
    </row>
    <row r="71" ht="15" customHeight="1">
      <c r="A71" s="1"/>
      <c r="B71" s="4" t="s">
        <v>61</v>
      </c>
      <c r="C71" s="36" t="s">
        <v>33</v>
      </c>
      <c r="D71" s="36" t="s">
        <v>33</v>
      </c>
      <c r="E71" s="36" t="s">
        <v>33</v>
      </c>
      <c r="F71" s="36" t="s">
        <v>33</v>
      </c>
      <c r="G71" s="36" t="s">
        <v>33</v>
      </c>
      <c r="H71" s="35" t="s">
        <v>33</v>
      </c>
      <c r="I71" s="1"/>
      <c r="J71" s="1"/>
    </row>
    <row r="72" ht="15" customHeight="1">
      <c r="A72" s="1"/>
      <c r="B72" s="4" t="s">
        <v>62</v>
      </c>
      <c r="C72" s="36" t="s">
        <v>33</v>
      </c>
      <c r="D72" s="36" t="s">
        <v>33</v>
      </c>
      <c r="E72" s="36" t="s">
        <v>33</v>
      </c>
      <c r="F72" s="36" t="s">
        <v>33</v>
      </c>
      <c r="G72" s="36" t="s">
        <v>33</v>
      </c>
      <c r="H72" s="35" t="s">
        <v>33</v>
      </c>
      <c r="I72" s="1"/>
      <c r="J72" s="1"/>
    </row>
    <row r="73" ht="15" customHeight="1">
      <c r="A73" s="1"/>
      <c r="B73" s="4" t="s">
        <v>63</v>
      </c>
      <c r="C73" s="36">
        <f t="shared" si="16"/>
        <v>0.25</v>
      </c>
      <c r="D73" s="36">
        <f t="shared" si="16"/>
        <v>0.23529411764705888</v>
      </c>
      <c r="E73" s="36">
        <f t="shared" si="16"/>
        <v>0.1875</v>
      </c>
      <c r="F73" s="36">
        <f t="shared" si="16"/>
        <v>0</v>
      </c>
      <c r="G73" s="36">
        <f t="shared" si="16"/>
        <v>0.11764705882352944</v>
      </c>
      <c r="H73" s="35">
        <f t="shared" si="16"/>
        <v>0.05</v>
      </c>
      <c r="I73" s="1"/>
      <c r="J73" s="1"/>
    </row>
    <row r="74" ht="15" customHeight="1">
      <c r="A74" s="1"/>
      <c r="B74" s="1" t="s">
        <v>72</v>
      </c>
      <c r="C74" s="42">
        <v>9</v>
      </c>
      <c r="D74" s="12">
        <f>G74-Inputs!E157-Inputs!F157-C74</f>
        <v>8</v>
      </c>
      <c r="E74" s="42">
        <v>8</v>
      </c>
      <c r="F74" s="42">
        <v>12</v>
      </c>
      <c r="G74" s="42">
        <v>35</v>
      </c>
      <c r="H74" s="41">
        <f t="shared" si="17"/>
        <v>11.25</v>
      </c>
      <c r="I74" s="1"/>
      <c r="J74" s="1"/>
    </row>
    <row r="75" ht="15" customHeight="1">
      <c r="A75" s="1"/>
      <c r="B75" s="4" t="s">
        <v>107</v>
      </c>
      <c r="C75" s="34">
        <f>C74/Inputs!C157-1</f>
        <v>0.2857142857142858</v>
      </c>
      <c r="D75" s="34">
        <f>D74/Inputs!D157-1</f>
        <v>0</v>
      </c>
      <c r="E75" s="34">
        <f>E74/Inputs!E157-1</f>
        <v>-0.19999999999999996</v>
      </c>
      <c r="F75" s="34">
        <f>F74/Inputs!F157-1</f>
        <v>0.5</v>
      </c>
      <c r="G75" s="34">
        <f>G74/Inputs!G157-1</f>
        <v>0.09375</v>
      </c>
      <c r="H75" s="50">
        <v>0.25</v>
      </c>
      <c r="I75" s="1"/>
      <c r="J75" s="1"/>
    </row>
    <row r="76" ht="15" customHeight="1">
      <c r="A76" s="1"/>
      <c r="B76" s="1" t="s">
        <v>79</v>
      </c>
      <c r="C76" s="12">
        <f>C74-Inputs!F157</f>
        <v>1</v>
      </c>
      <c r="D76" s="15">
        <f t="shared" si="1"/>
        <v>-1</v>
      </c>
      <c r="E76" s="15">
        <f t="shared" si="1"/>
        <v>0</v>
      </c>
      <c r="F76" s="15">
        <f t="shared" si="1"/>
        <v>4</v>
      </c>
      <c r="G76" s="15"/>
      <c r="H76" s="41">
        <f t="shared" si="4"/>
        <v>-0.75</v>
      </c>
      <c r="I76" s="1"/>
      <c r="J76" s="1"/>
    </row>
    <row r="77" ht="15" customHeight="1">
      <c r="A77" s="1"/>
      <c r="B77" s="4" t="s">
        <v>59</v>
      </c>
      <c r="C77" s="36" t="s">
        <v>33</v>
      </c>
      <c r="D77" s="36" t="s">
        <v>33</v>
      </c>
      <c r="E77" s="36" t="s">
        <v>33</v>
      </c>
      <c r="F77" s="36" t="s">
        <v>33</v>
      </c>
      <c r="G77" s="36" t="s">
        <v>33</v>
      </c>
      <c r="H77" s="35" t="s">
        <v>33</v>
      </c>
      <c r="I77" s="1"/>
      <c r="J77" s="1" t="s">
        <v>60</v>
      </c>
    </row>
    <row r="78" ht="15" customHeight="1">
      <c r="A78" s="1"/>
      <c r="B78" s="4" t="s">
        <v>61</v>
      </c>
      <c r="C78" s="36" t="s">
        <v>33</v>
      </c>
      <c r="D78" s="36" t="s">
        <v>33</v>
      </c>
      <c r="E78" s="36" t="s">
        <v>33</v>
      </c>
      <c r="F78" s="36" t="s">
        <v>33</v>
      </c>
      <c r="G78" s="36" t="s">
        <v>33</v>
      </c>
      <c r="H78" s="35" t="s">
        <v>33</v>
      </c>
      <c r="I78" s="1"/>
      <c r="J78" s="1"/>
    </row>
    <row r="79" ht="15" customHeight="1">
      <c r="A79" s="1"/>
      <c r="B79" s="4" t="s">
        <v>62</v>
      </c>
      <c r="C79" s="36" t="s">
        <v>33</v>
      </c>
      <c r="D79" s="36" t="s">
        <v>33</v>
      </c>
      <c r="E79" s="36" t="s">
        <v>33</v>
      </c>
      <c r="F79" s="36" t="s">
        <v>33</v>
      </c>
      <c r="G79" s="36" t="s">
        <v>33</v>
      </c>
      <c r="H79" s="35" t="s">
        <v>33</v>
      </c>
      <c r="I79" s="1"/>
      <c r="J79" s="1"/>
    </row>
    <row r="80" ht="15" customHeight="1">
      <c r="A80" s="1"/>
      <c r="B80" s="4" t="s">
        <v>63</v>
      </c>
      <c r="C80" s="36">
        <f t="shared" si="16"/>
        <v>0.2857142857142858</v>
      </c>
      <c r="D80" s="36">
        <f t="shared" si="16"/>
        <v>0</v>
      </c>
      <c r="E80" s="36">
        <f t="shared" si="16"/>
        <v>-0.19999999999999996</v>
      </c>
      <c r="F80" s="36">
        <f t="shared" si="16"/>
        <v>0.5</v>
      </c>
      <c r="G80" s="36">
        <f t="shared" si="16"/>
        <v>0.09375</v>
      </c>
      <c r="H80" s="35">
        <f t="shared" si="16"/>
        <v>0.25</v>
      </c>
      <c r="I80" s="1"/>
      <c r="J80" s="1"/>
    </row>
    <row r="81" ht="15" customHeight="1">
      <c r="A81" s="1"/>
      <c r="B81" s="3" t="s">
        <v>162</v>
      </c>
      <c r="C81" s="37">
        <f t="shared" si="18" ref="C81:H81">C43+C51+C60+C67+C74</f>
        <v>1403</v>
      </c>
      <c r="D81" s="37">
        <f t="shared" si="18"/>
        <v>1304</v>
      </c>
      <c r="E81" s="37">
        <f t="shared" si="18"/>
        <v>1302</v>
      </c>
      <c r="F81" s="37">
        <f t="shared" si="18"/>
        <v>1555</v>
      </c>
      <c r="G81" s="37">
        <f t="shared" si="18"/>
        <v>5098</v>
      </c>
      <c r="H81" s="38">
        <f t="shared" si="18"/>
        <v>1685.4125332991568</v>
      </c>
      <c r="I81" s="1"/>
      <c r="J81" s="1"/>
    </row>
    <row r="82" ht="15" customHeight="1">
      <c r="A82" s="1"/>
      <c r="B82" s="4" t="s">
        <v>56</v>
      </c>
      <c r="C82" s="34">
        <f>C81/Inputs!C158-1</f>
        <v>0.12510024057738578</v>
      </c>
      <c r="D82" s="34">
        <f>D81/Inputs!D158-1</f>
        <v>0.09212730318257956</v>
      </c>
      <c r="E82" s="34">
        <f>E81/Inputs!E158-1</f>
        <v>0.1361256544502618</v>
      </c>
      <c r="F82" s="34">
        <f>F81/Inputs!F158-1</f>
        <v>0.24899598393574296</v>
      </c>
      <c r="G82" s="34">
        <f>G81/Inputs!G158-1</f>
        <v>0.13288888888888883</v>
      </c>
      <c r="H82" s="35">
        <f t="shared" si="11"/>
        <v>0.20129189828877903</v>
      </c>
      <c r="I82" s="1"/>
      <c r="J82" s="1"/>
    </row>
    <row r="83" ht="15" customHeight="1">
      <c r="A83" s="1"/>
      <c r="B83" s="4" t="s">
        <v>57</v>
      </c>
      <c r="C83" s="34">
        <f>C81/Inputs!F158-1</f>
        <v>0.12690763052208842</v>
      </c>
      <c r="D83" s="36">
        <f t="shared" si="19" ref="D83:F83">D81/C81-1</f>
        <v>-0.07056307911617965</v>
      </c>
      <c r="E83" s="36">
        <f t="shared" si="19"/>
        <v>-0.0015337423312883347</v>
      </c>
      <c r="F83" s="36">
        <f t="shared" si="19"/>
        <v>0.19431643625192008</v>
      </c>
      <c r="G83" s="36"/>
      <c r="H83" s="35">
        <f>H81/F81-1</f>
        <v>0.08386658089977939</v>
      </c>
      <c r="I83" s="1"/>
      <c r="J83" s="1"/>
    </row>
    <row r="84" ht="15" customHeight="1">
      <c r="A84" s="1"/>
      <c r="B84" s="4" t="s">
        <v>163</v>
      </c>
      <c r="C84" s="34">
        <f>C81/'Revenue summary'!C27</f>
        <v>0.3317569165287302</v>
      </c>
      <c r="D84" s="34">
        <f>D81/'Revenue summary'!D27</f>
        <v>0.30988593155893535</v>
      </c>
      <c r="E84" s="34">
        <f>E81/'Revenue summary'!E27</f>
        <v>0.3267252195734002</v>
      </c>
      <c r="F84" s="34">
        <f>F81/'Revenue summary'!F27</f>
        <v>0.3526077097505669</v>
      </c>
      <c r="G84" s="34">
        <f>G81/'Revenue summary'!G27</f>
        <v>0.3166656314056774</v>
      </c>
      <c r="H84" s="56">
        <f>H81/'Revenue summary'!H27</f>
        <v>0.35866766468091277</v>
      </c>
      <c r="I84" s="1"/>
      <c r="J84" s="1"/>
    </row>
    <row r="85" ht="15" customHeight="1">
      <c r="A85" s="1"/>
      <c r="B85" s="4" t="s">
        <v>59</v>
      </c>
      <c r="C85" s="36" t="s">
        <v>33</v>
      </c>
      <c r="D85" s="36" t="s">
        <v>33</v>
      </c>
      <c r="E85" s="36" t="s">
        <v>33</v>
      </c>
      <c r="F85" s="36" t="s">
        <v>33</v>
      </c>
      <c r="G85" s="36" t="s">
        <v>33</v>
      </c>
      <c r="H85" s="35" t="s">
        <v>33</v>
      </c>
      <c r="I85" s="1"/>
      <c r="J85" s="1" t="s">
        <v>60</v>
      </c>
    </row>
    <row r="86" ht="15" customHeight="1">
      <c r="A86" s="1"/>
      <c r="B86" s="4" t="s">
        <v>61</v>
      </c>
      <c r="C86" s="36" t="s">
        <v>33</v>
      </c>
      <c r="D86" s="36" t="s">
        <v>33</v>
      </c>
      <c r="E86" s="36" t="s">
        <v>33</v>
      </c>
      <c r="F86" s="36" t="s">
        <v>33</v>
      </c>
      <c r="G86" s="36" t="s">
        <v>33</v>
      </c>
      <c r="H86" s="35" t="s">
        <v>33</v>
      </c>
      <c r="I86" s="1"/>
      <c r="J86" s="1"/>
    </row>
    <row r="87" ht="15" customHeight="1">
      <c r="A87" s="1"/>
      <c r="B87" s="4" t="s">
        <v>62</v>
      </c>
      <c r="C87" s="36" t="s">
        <v>33</v>
      </c>
      <c r="D87" s="36" t="s">
        <v>33</v>
      </c>
      <c r="E87" s="36" t="s">
        <v>33</v>
      </c>
      <c r="F87" s="36" t="s">
        <v>33</v>
      </c>
      <c r="G87" s="36" t="s">
        <v>33</v>
      </c>
      <c r="H87" s="35" t="s">
        <v>33</v>
      </c>
      <c r="I87" s="1"/>
      <c r="J87" s="1"/>
    </row>
    <row r="88" ht="15" customHeight="1">
      <c r="A88" s="1"/>
      <c r="B88" s="4" t="s">
        <v>63</v>
      </c>
      <c r="C88" s="36">
        <f t="shared" si="13"/>
        <v>0.12510024057738578</v>
      </c>
      <c r="D88" s="36">
        <f t="shared" si="13"/>
        <v>0.09212730318257956</v>
      </c>
      <c r="E88" s="36">
        <f t="shared" si="13"/>
        <v>0.1361256544502618</v>
      </c>
      <c r="F88" s="36">
        <f t="shared" si="13"/>
        <v>0.24899598393574296</v>
      </c>
      <c r="G88" s="36">
        <f t="shared" si="13"/>
        <v>0.13288888888888883</v>
      </c>
      <c r="H88" s="35">
        <f t="shared" si="13"/>
        <v>0.20129189828877903</v>
      </c>
      <c r="I88" s="1"/>
      <c r="J88" s="1"/>
    </row>
    <row r="89" ht="15" customHeight="1">
      <c r="A89" s="1"/>
      <c r="B89" s="4" t="s">
        <v>164</v>
      </c>
      <c r="C89" s="36">
        <f t="shared" si="20" ref="C89:H89">C43/C81</f>
        <v>0.9016393442622951</v>
      </c>
      <c r="D89" s="36">
        <f t="shared" si="20"/>
        <v>0.9072085889570553</v>
      </c>
      <c r="E89" s="36">
        <f t="shared" si="20"/>
        <v>0.9139784946236559</v>
      </c>
      <c r="F89" s="36">
        <f t="shared" si="20"/>
        <v>0.9202572347266881</v>
      </c>
      <c r="G89" s="36">
        <f t="shared" si="20"/>
        <v>0.9103570027461749</v>
      </c>
      <c r="H89" s="35">
        <f t="shared" si="20"/>
        <v>0.91342624009424</v>
      </c>
      <c r="I89" s="1"/>
      <c r="J89" s="1"/>
    </row>
    <row r="90" ht="15" customHeight="1">
      <c r="A90" s="1"/>
      <c r="B90" s="1" t="s">
        <v>104</v>
      </c>
      <c r="C90" s="51">
        <f>(C89-Inputs!C153/Inputs!C158)*10000</f>
        <v>-93.47023019180445</v>
      </c>
      <c r="D90" s="51">
        <f>(D89-Inputs!D153/Inputs!D158)*10000</f>
        <v>1.7341307765827985</v>
      </c>
      <c r="E90" s="51">
        <f>(E89-Inputs!E153/Inputs!E158)*10000</f>
        <v>12.38529527669896</v>
      </c>
      <c r="F90" s="51">
        <f>(F89-Inputs!F153/Inputs!F158)*10000</f>
        <v>-10.279058355608939</v>
      </c>
      <c r="G90" s="51">
        <f>(G89-Inputs!G153/Inputs!G158)*10000</f>
        <v>28.014471906193663</v>
      </c>
      <c r="H90" s="48">
        <f t="shared" si="9"/>
        <v>117.8689583194492</v>
      </c>
      <c r="I90" s="1"/>
      <c r="J90" s="1"/>
    </row>
    <row r="91" ht="15" customHeight="1">
      <c r="A91" s="1"/>
      <c r="B91" s="1"/>
      <c r="C91" s="1"/>
      <c r="D91" s="1"/>
      <c r="E91" s="1"/>
      <c r="F91" s="1"/>
      <c r="G91" s="1"/>
      <c r="H91" s="32"/>
      <c r="I91" s="1"/>
      <c r="J91" s="1"/>
    </row>
    <row r="92" ht="15" customHeight="1">
      <c r="A92" s="1"/>
      <c r="B92" s="31" t="s">
        <v>165</v>
      </c>
      <c r="C92" s="1"/>
      <c r="D92" s="1"/>
      <c r="E92" s="1"/>
      <c r="F92" s="1"/>
      <c r="G92" s="1"/>
      <c r="H92" s="32"/>
      <c r="I92" s="1"/>
      <c r="J92" s="1"/>
    </row>
    <row r="93" ht="15" customHeight="1">
      <c r="A93" s="1"/>
      <c r="B93" s="4" t="s">
        <v>197</v>
      </c>
      <c r="C93" s="36" t="s">
        <v>33</v>
      </c>
      <c r="D93" s="36" t="s">
        <v>33</v>
      </c>
      <c r="E93" s="36" t="s">
        <v>33</v>
      </c>
      <c r="F93" s="36" t="s">
        <v>33</v>
      </c>
      <c r="G93" s="55">
        <v>0.11</v>
      </c>
      <c r="H93" s="35" t="s">
        <v>33</v>
      </c>
      <c r="I93" s="1"/>
      <c r="J93" s="1"/>
    </row>
    <row r="94" ht="15" customHeight="1">
      <c r="A94" s="1"/>
      <c r="B94" s="1" t="s">
        <v>198</v>
      </c>
      <c r="C94" s="15" t="s">
        <v>33</v>
      </c>
      <c r="D94" s="15" t="s">
        <v>33</v>
      </c>
      <c r="E94" s="15" t="s">
        <v>33</v>
      </c>
      <c r="F94" s="15" t="s">
        <v>33</v>
      </c>
      <c r="G94" s="12">
        <f>G93*'Revenue summary'!G36</f>
        <v>1518.66</v>
      </c>
      <c r="H94" s="41" t="s">
        <v>33</v>
      </c>
      <c r="I94" s="1"/>
      <c r="J94" s="1"/>
    </row>
    <row r="95" ht="15" customHeight="1">
      <c r="A95" s="1"/>
      <c r="B95" s="4" t="s">
        <v>199</v>
      </c>
      <c r="C95" s="36" t="s">
        <v>33</v>
      </c>
      <c r="D95" s="36" t="s">
        <v>33</v>
      </c>
      <c r="E95" s="36" t="s">
        <v>33</v>
      </c>
      <c r="F95" s="36" t="s">
        <v>33</v>
      </c>
      <c r="G95" s="55">
        <v>0.05</v>
      </c>
      <c r="H95" s="35" t="s">
        <v>33</v>
      </c>
      <c r="I95" s="1"/>
      <c r="J95" s="1"/>
    </row>
    <row r="96" ht="15" customHeight="1">
      <c r="A96" s="1"/>
      <c r="B96" s="1" t="s">
        <v>200</v>
      </c>
      <c r="C96" s="15" t="s">
        <v>33</v>
      </c>
      <c r="D96" s="15" t="s">
        <v>33</v>
      </c>
      <c r="E96" s="15" t="s">
        <v>33</v>
      </c>
      <c r="F96" s="15" t="s">
        <v>33</v>
      </c>
      <c r="G96" s="12">
        <f>G95*'Revenue summary'!G36</f>
        <v>690.3000000000001</v>
      </c>
      <c r="H96" s="41" t="s">
        <v>33</v>
      </c>
      <c r="I96" s="1"/>
      <c r="J96" s="1"/>
    </row>
    <row r="97" ht="15" customHeight="1">
      <c r="A97" s="1"/>
      <c r="B97" s="4" t="s">
        <v>201</v>
      </c>
      <c r="C97" s="36" t="s">
        <v>33</v>
      </c>
      <c r="D97" s="36" t="s">
        <v>33</v>
      </c>
      <c r="E97" s="36" t="s">
        <v>33</v>
      </c>
      <c r="F97" s="36" t="s">
        <v>33</v>
      </c>
      <c r="G97" s="55">
        <v>0.07</v>
      </c>
      <c r="H97" s="35" t="s">
        <v>33</v>
      </c>
      <c r="I97" s="1"/>
      <c r="J97" s="1"/>
    </row>
    <row r="98" ht="15" customHeight="1">
      <c r="A98" s="1"/>
      <c r="B98" s="1" t="s">
        <v>202</v>
      </c>
      <c r="C98" s="15" t="s">
        <v>33</v>
      </c>
      <c r="D98" s="15" t="s">
        <v>33</v>
      </c>
      <c r="E98" s="15" t="s">
        <v>33</v>
      </c>
      <c r="F98" s="15" t="s">
        <v>33</v>
      </c>
      <c r="G98" s="12">
        <f>G97*'Revenue summary'!G36</f>
        <v>966.4200000000001</v>
      </c>
      <c r="H98" s="41" t="s">
        <v>33</v>
      </c>
      <c r="I98" s="1"/>
      <c r="J98" s="1"/>
    </row>
    <row r="99" ht="15" customHeight="1">
      <c r="A99" s="1"/>
      <c r="B99" s="4" t="s">
        <v>203</v>
      </c>
      <c r="C99" s="36" t="s">
        <v>33</v>
      </c>
      <c r="D99" s="36" t="s">
        <v>33</v>
      </c>
      <c r="E99" s="36" t="s">
        <v>33</v>
      </c>
      <c r="F99" s="36" t="s">
        <v>33</v>
      </c>
      <c r="G99" s="55">
        <v>0.03</v>
      </c>
      <c r="H99" s="35" t="s">
        <v>33</v>
      </c>
      <c r="I99" s="1"/>
      <c r="J99" s="1"/>
    </row>
    <row r="100" ht="15" customHeight="1">
      <c r="A100" s="1"/>
      <c r="B100" s="1" t="s">
        <v>204</v>
      </c>
      <c r="C100" s="15" t="s">
        <v>33</v>
      </c>
      <c r="D100" s="15" t="s">
        <v>33</v>
      </c>
      <c r="E100" s="15" t="s">
        <v>33</v>
      </c>
      <c r="F100" s="15" t="s">
        <v>33</v>
      </c>
      <c r="G100" s="12">
        <f>G99*'Revenue summary'!G36</f>
        <v>414.18</v>
      </c>
      <c r="H100" s="41" t="s">
        <v>33</v>
      </c>
      <c r="I100" s="1"/>
      <c r="J100" s="1"/>
    </row>
    <row r="101" ht="15" customHeight="1">
      <c r="A101" s="1"/>
      <c r="B101" s="4" t="s">
        <v>205</v>
      </c>
      <c r="C101" s="36" t="s">
        <v>33</v>
      </c>
      <c r="D101" s="36" t="s">
        <v>33</v>
      </c>
      <c r="E101" s="36" t="s">
        <v>33</v>
      </c>
      <c r="F101" s="36" t="s">
        <v>33</v>
      </c>
      <c r="G101" s="55">
        <v>0.04</v>
      </c>
      <c r="H101" s="35" t="s">
        <v>33</v>
      </c>
      <c r="I101" s="1"/>
      <c r="J101" s="1"/>
    </row>
    <row r="102" ht="15" customHeight="1">
      <c r="A102" s="1"/>
      <c r="B102" s="1" t="s">
        <v>206</v>
      </c>
      <c r="C102" s="15" t="s">
        <v>33</v>
      </c>
      <c r="D102" s="15" t="s">
        <v>33</v>
      </c>
      <c r="E102" s="15" t="s">
        <v>33</v>
      </c>
      <c r="F102" s="15" t="s">
        <v>33</v>
      </c>
      <c r="G102" s="12">
        <f>G101*'Revenue summary'!G36</f>
        <v>552.24</v>
      </c>
      <c r="H102" s="41" t="s">
        <v>33</v>
      </c>
      <c r="I102" s="1"/>
      <c r="J102" s="1"/>
    </row>
    <row r="103" ht="15" customHeight="1">
      <c r="A103" s="1"/>
      <c r="B103" s="3" t="s">
        <v>172</v>
      </c>
      <c r="C103" s="37" t="s">
        <v>33</v>
      </c>
      <c r="D103" s="37" t="s">
        <v>33</v>
      </c>
      <c r="E103" s="37" t="s">
        <v>33</v>
      </c>
      <c r="F103" s="37" t="s">
        <v>33</v>
      </c>
      <c r="G103" s="37">
        <f>G94+G96+G98+G100+G102</f>
        <v>4141.8</v>
      </c>
      <c r="H103" s="38" t="s">
        <v>33</v>
      </c>
      <c r="I103" s="1"/>
      <c r="J103" s="1"/>
    </row>
    <row r="104" ht="15" customHeight="1">
      <c r="A104" s="1"/>
      <c r="B104" s="4" t="s">
        <v>173</v>
      </c>
      <c r="C104" s="1"/>
      <c r="D104" s="1"/>
      <c r="E104" s="1"/>
      <c r="F104" s="1"/>
      <c r="G104" s="1"/>
      <c r="H104" s="32"/>
      <c r="I104" s="1"/>
      <c r="J104" s="1"/>
    </row>
    <row r="105" ht="15" customHeight="1">
      <c r="A105" s="1"/>
      <c r="B105" s="1"/>
      <c r="C105" s="1"/>
      <c r="D105" s="1"/>
      <c r="E105" s="1"/>
      <c r="F105" s="1"/>
      <c r="G105" s="1"/>
      <c r="H105" s="32"/>
      <c r="I105" s="1"/>
      <c r="J105" s="1"/>
    </row>
    <row r="106" ht="15" customHeight="1">
      <c r="A106" s="1"/>
      <c r="B106" s="31" t="s">
        <v>174</v>
      </c>
      <c r="C106" s="1"/>
      <c r="D106" s="1"/>
      <c r="E106" s="1"/>
      <c r="F106" s="1"/>
      <c r="G106" s="1"/>
      <c r="H106" s="32"/>
      <c r="I106" s="1"/>
      <c r="J106" s="1"/>
    </row>
    <row r="107" ht="15" customHeight="1">
      <c r="A107" s="1"/>
      <c r="B107" s="1" t="s">
        <v>175</v>
      </c>
      <c r="C107" s="42">
        <v>172</v>
      </c>
      <c r="D107" s="12">
        <f>G107-Inputs!E165-Inputs!F165-C107</f>
        <v>174</v>
      </c>
      <c r="E107" s="42">
        <v>174</v>
      </c>
      <c r="F107" s="42">
        <v>191</v>
      </c>
      <c r="G107" s="42">
        <v>649</v>
      </c>
      <c r="H107" s="41">
        <f>H43*H110</f>
        <v>206.29300446208705</v>
      </c>
      <c r="I107" s="1"/>
      <c r="J107" s="1"/>
    </row>
    <row r="108" ht="15" customHeight="1">
      <c r="A108" s="1"/>
      <c r="B108" s="4" t="s">
        <v>56</v>
      </c>
      <c r="C108" s="34">
        <f>C107/Inputs!C165-1</f>
        <v>0.303030303030303</v>
      </c>
      <c r="D108" s="34">
        <f>D107/Inputs!D165-1</f>
        <v>0.20833333333333326</v>
      </c>
      <c r="E108" s="34">
        <f>E107/Inputs!E165-1</f>
        <v>0.16778523489932895</v>
      </c>
      <c r="F108" s="34">
        <f>F107/Inputs!F165-1</f>
        <v>0.24025974025974017</v>
      </c>
      <c r="G108" s="34">
        <f>G107/Inputs!G165-1</f>
        <v>0.3032128514056225</v>
      </c>
      <c r="H108" s="35">
        <f t="shared" si="11"/>
        <v>0.19937793291911077</v>
      </c>
      <c r="I108" s="1"/>
      <c r="J108" s="1"/>
    </row>
    <row r="109" ht="15" customHeight="1">
      <c r="A109" s="1"/>
      <c r="B109" s="1" t="s">
        <v>79</v>
      </c>
      <c r="C109" s="12">
        <f>C107-Inputs!F165</f>
        <v>18</v>
      </c>
      <c r="D109" s="15">
        <f t="shared" si="1"/>
        <v>2</v>
      </c>
      <c r="E109" s="15">
        <f t="shared" si="1"/>
        <v>0</v>
      </c>
      <c r="F109" s="15">
        <f t="shared" si="1"/>
        <v>17</v>
      </c>
      <c r="G109" s="15"/>
      <c r="H109" s="41">
        <f t="shared" si="4"/>
        <v>15.293004462087055</v>
      </c>
      <c r="I109" s="1"/>
      <c r="J109" s="1"/>
    </row>
    <row r="110" ht="15" customHeight="1">
      <c r="A110" s="1"/>
      <c r="B110" s="4" t="s">
        <v>176</v>
      </c>
      <c r="C110" s="36">
        <f t="shared" si="21" ref="C110:G110">C107/C43</f>
        <v>0.1359683794466403</v>
      </c>
      <c r="D110" s="36">
        <f t="shared" si="21"/>
        <v>0.147083685545224</v>
      </c>
      <c r="E110" s="36">
        <f t="shared" si="21"/>
        <v>0.146218487394958</v>
      </c>
      <c r="F110" s="36">
        <f t="shared" si="21"/>
        <v>0.1334730957372467</v>
      </c>
      <c r="G110" s="36">
        <f t="shared" si="21"/>
        <v>0.1398405516052575</v>
      </c>
      <c r="H110" s="50">
        <v>0.134</v>
      </c>
      <c r="I110" s="1"/>
      <c r="J110" s="1" t="s">
        <v>207</v>
      </c>
    </row>
    <row r="111" ht="15" customHeight="1">
      <c r="A111" s="1"/>
      <c r="B111" s="1" t="s">
        <v>104</v>
      </c>
      <c r="C111" s="51">
        <f>(C110-Inputs!C165/Inputs!C153)*10000</f>
        <v>197.7119634804876</v>
      </c>
      <c r="D111" s="51">
        <f>(D110-Inputs!D165/Inputs!D153)*10000</f>
        <v>141.196966255564</v>
      </c>
      <c r="E111" s="51">
        <f>(E110-Inputs!E165/Inputs!E153)*10000</f>
        <v>37.71068656908266</v>
      </c>
      <c r="F111" s="51">
        <f>(F110-Inputs!F165/Inputs!F153)*10000</f>
        <v>-7.901998163714341</v>
      </c>
      <c r="G111" s="51">
        <f>(G110-Inputs!G165/Inputs!G153)*10000</f>
        <v>179.01276384885313</v>
      </c>
      <c r="H111" s="48">
        <f t="shared" si="9"/>
        <v>-19.683794466403004</v>
      </c>
      <c r="I111" s="1"/>
      <c r="J111" s="1"/>
    </row>
    <row r="112" ht="15" customHeight="1">
      <c r="A112" s="1"/>
      <c r="B112" s="1" t="s">
        <v>178</v>
      </c>
      <c r="C112" s="42">
        <v>134</v>
      </c>
      <c r="D112" s="12">
        <f>G112-Inputs!E166-Inputs!F166-C112</f>
        <v>142</v>
      </c>
      <c r="E112" s="42">
        <v>137</v>
      </c>
      <c r="F112" s="42">
        <v>146</v>
      </c>
      <c r="G112" s="42">
        <v>524</v>
      </c>
      <c r="H112" s="41">
        <f>H43*H115</f>
        <v>152.41050329661655</v>
      </c>
      <c r="I112" s="1"/>
      <c r="J112" s="1"/>
    </row>
    <row r="113" ht="15" customHeight="1">
      <c r="A113" s="1"/>
      <c r="B113" s="4" t="s">
        <v>56</v>
      </c>
      <c r="C113" s="34">
        <f>C112/Inputs!C166-1</f>
        <v>0.16521739130434776</v>
      </c>
      <c r="D113" s="34">
        <f>D112/Inputs!D166-1</f>
        <v>0.15447154471544722</v>
      </c>
      <c r="E113" s="34">
        <f>E112/Inputs!E166-1</f>
        <v>0.1416666666666666</v>
      </c>
      <c r="F113" s="34">
        <f>F112/Inputs!F166-1</f>
        <v>0.140625</v>
      </c>
      <c r="G113" s="34">
        <f>G112/Inputs!G166-1</f>
        <v>0.18552036199095023</v>
      </c>
      <c r="H113" s="35">
        <f t="shared" si="11"/>
        <v>0.13739181564639225</v>
      </c>
      <c r="I113" s="1"/>
      <c r="J113" s="1"/>
    </row>
    <row r="114" ht="15" customHeight="1">
      <c r="A114" s="1"/>
      <c r="B114" s="1" t="s">
        <v>79</v>
      </c>
      <c r="C114" s="12">
        <f>C112-Inputs!F166</f>
        <v>6</v>
      </c>
      <c r="D114" s="15">
        <f t="shared" si="1"/>
        <v>8</v>
      </c>
      <c r="E114" s="15">
        <f t="shared" si="1"/>
        <v>-5</v>
      </c>
      <c r="F114" s="15">
        <f t="shared" si="1"/>
        <v>9</v>
      </c>
      <c r="G114" s="15"/>
      <c r="H114" s="41">
        <f t="shared" si="4"/>
        <v>6.410503296616554</v>
      </c>
      <c r="I114" s="1"/>
      <c r="J114" s="1"/>
    </row>
    <row r="115" ht="15" customHeight="1">
      <c r="A115" s="1"/>
      <c r="B115" s="4" t="s">
        <v>176</v>
      </c>
      <c r="C115" s="36">
        <f t="shared" si="22" ref="C115:G115">C112/C43</f>
        <v>0.10592885375494071</v>
      </c>
      <c r="D115" s="36">
        <f t="shared" si="22"/>
        <v>0.12003381234150465</v>
      </c>
      <c r="E115" s="36">
        <f t="shared" si="22"/>
        <v>0.11512605042016806</v>
      </c>
      <c r="F115" s="36">
        <f t="shared" si="22"/>
        <v>0.10202655485674354</v>
      </c>
      <c r="G115" s="36">
        <f t="shared" si="22"/>
        <v>0.11290670114199526</v>
      </c>
      <c r="H115" s="50">
        <v>0.099</v>
      </c>
      <c r="I115" s="1"/>
      <c r="J115" s="1" t="s">
        <v>208</v>
      </c>
    </row>
    <row r="116" ht="15" customHeight="1">
      <c r="A116" s="1"/>
      <c r="B116" s="1" t="s">
        <v>104</v>
      </c>
      <c r="C116" s="51">
        <f>(C115-Inputs!C166/Inputs!C153)*10000</f>
        <v>46.964593887435235</v>
      </c>
      <c r="D116" s="51">
        <f>(D115-Inputs!D166/Inputs!D153)*10000</f>
        <v>64.60405139288584</v>
      </c>
      <c r="E116" s="51">
        <f>(E115-Inputs!E166/Inputs!E153)*10000</f>
        <v>4.032970740877606</v>
      </c>
      <c r="F116" s="51">
        <f>(F115-Inputs!F166/Inputs!F153)*10000</f>
        <v>-95.68911577432573</v>
      </c>
      <c r="G116" s="51">
        <f>(G115-Inputs!G166/Inputs!G153)*10000</f>
        <v>46.79472934355694</v>
      </c>
      <c r="H116" s="48">
        <f t="shared" si="9"/>
        <v>-69.28853754940705</v>
      </c>
      <c r="I116" s="1"/>
      <c r="J116" s="1"/>
    </row>
    <row r="117" ht="15" customHeight="1">
      <c r="A117" s="1"/>
      <c r="B117" s="1" t="s">
        <v>180</v>
      </c>
      <c r="C117" s="42">
        <v>66</v>
      </c>
      <c r="D117" s="12">
        <f>G117-Inputs!E167-Inputs!F167-C117</f>
        <v>61</v>
      </c>
      <c r="E117" s="42">
        <v>58</v>
      </c>
      <c r="F117" s="42">
        <v>68</v>
      </c>
      <c r="G117" s="42">
        <v>239</v>
      </c>
      <c r="H117" s="41">
        <f>H43*H120</f>
        <v>75.4355016316587</v>
      </c>
      <c r="I117" s="1"/>
      <c r="J117" s="1"/>
    </row>
    <row r="118" ht="15" customHeight="1">
      <c r="A118" s="1"/>
      <c r="B118" s="4" t="s">
        <v>56</v>
      </c>
      <c r="C118" s="34">
        <f>C117/Inputs!C167-1</f>
        <v>0.13793103448275867</v>
      </c>
      <c r="D118" s="34">
        <f>D117/Inputs!D167-1</f>
        <v>0.07017543859649122</v>
      </c>
      <c r="E118" s="34">
        <f>E117/Inputs!E167-1</f>
        <v>0.09433962264150941</v>
      </c>
      <c r="F118" s="34">
        <f>F117/Inputs!F167-1</f>
        <v>0.15254237288135597</v>
      </c>
      <c r="G118" s="34">
        <f>G117/Inputs!G167-1</f>
        <v>0.1327014218009479</v>
      </c>
      <c r="H118" s="35">
        <f t="shared" si="11"/>
        <v>0.14296214593422274</v>
      </c>
      <c r="I118" s="1"/>
      <c r="J118" s="1"/>
    </row>
    <row r="119" ht="15" customHeight="1">
      <c r="A119" s="1"/>
      <c r="B119" s="1" t="s">
        <v>79</v>
      </c>
      <c r="C119" s="12">
        <f>C117-Inputs!F167</f>
        <v>7</v>
      </c>
      <c r="D119" s="15">
        <f t="shared" si="1"/>
        <v>-5</v>
      </c>
      <c r="E119" s="15">
        <f t="shared" si="1"/>
        <v>-3</v>
      </c>
      <c r="F119" s="15">
        <f t="shared" si="1"/>
        <v>10</v>
      </c>
      <c r="G119" s="15"/>
      <c r="H119" s="41">
        <f t="shared" si="4"/>
        <v>7.4355016316586955</v>
      </c>
      <c r="I119" s="1"/>
      <c r="J119" s="1"/>
    </row>
    <row r="120" ht="15" customHeight="1">
      <c r="A120" s="1"/>
      <c r="B120" s="4" t="s">
        <v>176</v>
      </c>
      <c r="C120" s="36">
        <f t="shared" si="23" ref="C120:G120">C117/C43</f>
        <v>0.05217391304347826</v>
      </c>
      <c r="D120" s="36">
        <f t="shared" si="23"/>
        <v>0.05156382079459002</v>
      </c>
      <c r="E120" s="36">
        <f t="shared" si="23"/>
        <v>0.04873949579831933</v>
      </c>
      <c r="F120" s="36">
        <f t="shared" si="23"/>
        <v>0.047519217330538085</v>
      </c>
      <c r="G120" s="36">
        <f t="shared" si="23"/>
        <v>0.05149752208575738</v>
      </c>
      <c r="H120" s="50">
        <v>0.049</v>
      </c>
      <c r="I120" s="1"/>
      <c r="J120" s="1" t="s">
        <v>209</v>
      </c>
    </row>
    <row r="121" ht="15" customHeight="1">
      <c r="A121" s="1"/>
      <c r="B121" s="1" t="s">
        <v>104</v>
      </c>
      <c r="C121" s="51">
        <f>(C120-Inputs!C167/Inputs!C153)*10000</f>
        <v>11.175750153092427</v>
      </c>
      <c r="D121" s="51">
        <f>(D120-Inputs!D167/Inputs!D153)*10000</f>
        <v>-10.67758152778396</v>
      </c>
      <c r="E121" s="51">
        <f>(E120-Inputs!E167/Inputs!E153)*10000</f>
        <v>-19.297202628661413</v>
      </c>
      <c r="F121" s="51">
        <f>(F120-Inputs!F167/Inputs!F153)*10000</f>
        <v>-39.19317978964963</v>
      </c>
      <c r="G121" s="51">
        <f>(G120-Inputs!G167/Inputs!G153)*10000</f>
        <v>-1.6751219436015456</v>
      </c>
      <c r="H121" s="48">
        <f t="shared" si="9"/>
        <v>-31.739130434782563</v>
      </c>
      <c r="I121" s="1"/>
      <c r="J121" s="1"/>
    </row>
    <row r="122" ht="15" customHeight="1">
      <c r="A122" s="1"/>
      <c r="B122" s="1" t="s">
        <v>182</v>
      </c>
      <c r="C122" s="42">
        <v>133</v>
      </c>
      <c r="D122" s="12">
        <f>G122-Inputs!E168-Inputs!F168-C122</f>
        <v>125</v>
      </c>
      <c r="E122" s="42">
        <v>113</v>
      </c>
      <c r="F122" s="42">
        <v>144</v>
      </c>
      <c r="G122" s="42">
        <v>473</v>
      </c>
      <c r="H122" s="41">
        <f>H43*H125</f>
        <v>157.02900339651399</v>
      </c>
      <c r="I122" s="1"/>
      <c r="J122" s="1"/>
    </row>
    <row r="123" ht="15" customHeight="1">
      <c r="A123" s="1"/>
      <c r="B123" s="4" t="s">
        <v>56</v>
      </c>
      <c r="C123" s="34">
        <f>C122/Inputs!C168-1</f>
        <v>0.303921568627451</v>
      </c>
      <c r="D123" s="34">
        <f>D122/Inputs!D168-1</f>
        <v>0.32978723404255317</v>
      </c>
      <c r="E123" s="34">
        <f>E122/Inputs!E168-1</f>
        <v>0.17708333333333326</v>
      </c>
      <c r="F123" s="34">
        <f>F122/Inputs!F168-1</f>
        <v>0.2100840336134453</v>
      </c>
      <c r="G123" s="34">
        <f>G122/Inputs!G168-1</f>
        <v>0.3514285714285714</v>
      </c>
      <c r="H123" s="35">
        <f t="shared" si="11"/>
        <v>0.18066919847002993</v>
      </c>
      <c r="I123" s="1"/>
      <c r="J123" s="1"/>
    </row>
    <row r="124" ht="15" customHeight="1">
      <c r="A124" s="1"/>
      <c r="B124" s="1" t="s">
        <v>79</v>
      </c>
      <c r="C124" s="12">
        <f>C122-Inputs!F168</f>
        <v>14</v>
      </c>
      <c r="D124" s="15">
        <f t="shared" si="1"/>
        <v>-8</v>
      </c>
      <c r="E124" s="15">
        <f t="shared" si="1"/>
        <v>-12</v>
      </c>
      <c r="F124" s="15">
        <f t="shared" si="1"/>
        <v>31</v>
      </c>
      <c r="G124" s="15"/>
      <c r="H124" s="41">
        <f t="shared" si="4"/>
        <v>13.029003396513986</v>
      </c>
      <c r="I124" s="1"/>
      <c r="J124" s="1"/>
    </row>
    <row r="125" ht="15" customHeight="1">
      <c r="A125" s="1"/>
      <c r="B125" s="4" t="s">
        <v>176</v>
      </c>
      <c r="C125" s="36">
        <f t="shared" si="24" ref="C125:G125">C122/C43</f>
        <v>0.10513833992094862</v>
      </c>
      <c r="D125" s="36">
        <f t="shared" si="24"/>
        <v>0.10566356720202874</v>
      </c>
      <c r="E125" s="36">
        <f t="shared" si="24"/>
        <v>0.0949579831932773</v>
      </c>
      <c r="F125" s="36">
        <f t="shared" si="24"/>
        <v>0.10062893081761007</v>
      </c>
      <c r="G125" s="36">
        <f t="shared" si="24"/>
        <v>0.10191769015298427</v>
      </c>
      <c r="H125" s="50">
        <v>0.102</v>
      </c>
      <c r="I125" s="1"/>
      <c r="J125" s="1" t="s">
        <v>210</v>
      </c>
    </row>
    <row r="126" ht="15" customHeight="1">
      <c r="A126" s="1"/>
      <c r="B126" s="1" t="s">
        <v>104</v>
      </c>
      <c r="C126" s="51">
        <f>(C125-Inputs!C168/Inputs!C153)*10000</f>
        <v>153.49607526582417</v>
      </c>
      <c r="D126" s="51">
        <f>(D125-Inputs!D168/Inputs!D153)*10000</f>
        <v>188.67629990579061</v>
      </c>
      <c r="E126" s="51">
        <f>(E125-Inputs!E168/Inputs!E153)*10000</f>
        <v>31.797805164130583</v>
      </c>
      <c r="F126" s="51">
        <f>(F125-Inputs!F168/Inputs!F153)*10000</f>
        <v>-31.199793829130297</v>
      </c>
      <c r="G126" s="51">
        <f>(G125-Inputs!G168/Inputs!G153)*10000</f>
        <v>162.1739632340542</v>
      </c>
      <c r="H126" s="48">
        <f t="shared" si="9"/>
        <v>-31.383399209486267</v>
      </c>
      <c r="I126" s="1"/>
      <c r="J126" s="1"/>
    </row>
    <row r="127" ht="15" customHeight="1">
      <c r="A127" s="1"/>
      <c r="B127" s="1" t="s">
        <v>184</v>
      </c>
      <c r="C127" s="42">
        <v>190</v>
      </c>
      <c r="D127" s="12">
        <f>G127-Inputs!E169-Inputs!F169-C127</f>
        <v>204</v>
      </c>
      <c r="E127" s="42">
        <v>215</v>
      </c>
      <c r="F127" s="42">
        <v>246</v>
      </c>
      <c r="G127" s="42">
        <v>733</v>
      </c>
      <c r="H127" s="41">
        <f>H43*H130</f>
        <v>270.9520058606516</v>
      </c>
      <c r="I127" s="1"/>
      <c r="J127" s="1"/>
    </row>
    <row r="128" ht="15" customHeight="1">
      <c r="A128" s="1"/>
      <c r="B128" s="4" t="s">
        <v>56</v>
      </c>
      <c r="C128" s="34">
        <f>C127/Inputs!C169-1</f>
        <v>0.18012422360248448</v>
      </c>
      <c r="D128" s="34">
        <f>D127/Inputs!D169-1</f>
        <v>0.18604651162790709</v>
      </c>
      <c r="E128" s="34">
        <f>E127/Inputs!E169-1</f>
        <v>0.21468926553672318</v>
      </c>
      <c r="F128" s="34">
        <f>F127/Inputs!F169-1</f>
        <v>0.5185185185185186</v>
      </c>
      <c r="G128" s="34">
        <f>G127/Inputs!G169-1</f>
        <v>0.1880064829821717</v>
      </c>
      <c r="H128" s="35">
        <f t="shared" si="11"/>
        <v>0.4260631887402715</v>
      </c>
      <c r="I128" s="1"/>
      <c r="J128" s="1"/>
    </row>
    <row r="129" ht="15" customHeight="1">
      <c r="A129" s="1"/>
      <c r="B129" s="1" t="s">
        <v>79</v>
      </c>
      <c r="C129" s="12">
        <f>C127-Inputs!F169</f>
        <v>28</v>
      </c>
      <c r="D129" s="15">
        <f t="shared" si="1"/>
        <v>14</v>
      </c>
      <c r="E129" s="15">
        <f t="shared" si="1"/>
        <v>11</v>
      </c>
      <c r="F129" s="15">
        <f t="shared" si="1"/>
        <v>31</v>
      </c>
      <c r="G129" s="15"/>
      <c r="H129" s="41">
        <f t="shared" si="4"/>
        <v>24.95200586065158</v>
      </c>
      <c r="I129" s="1"/>
      <c r="J129" s="1"/>
    </row>
    <row r="130" ht="15" customHeight="1">
      <c r="A130" s="1"/>
      <c r="B130" s="4" t="s">
        <v>176</v>
      </c>
      <c r="C130" s="36">
        <f t="shared" si="25" ref="C130:G130">C127/C43</f>
        <v>0.15019762845849802</v>
      </c>
      <c r="D130" s="36">
        <f t="shared" si="25"/>
        <v>0.1724429416737109</v>
      </c>
      <c r="E130" s="36">
        <f t="shared" si="25"/>
        <v>0.18067226890756302</v>
      </c>
      <c r="F130" s="36">
        <f t="shared" si="25"/>
        <v>0.1719077568134172</v>
      </c>
      <c r="G130" s="36">
        <f t="shared" si="25"/>
        <v>0.1579400991165697</v>
      </c>
      <c r="H130" s="50">
        <v>0.176</v>
      </c>
      <c r="I130" s="1"/>
      <c r="J130" s="1" t="s">
        <v>211</v>
      </c>
    </row>
    <row r="131" ht="15" customHeight="1">
      <c r="A131" s="1"/>
      <c r="B131" s="1" t="s">
        <v>104</v>
      </c>
      <c r="C131" s="51">
        <f>(C130-Inputs!C169/Inputs!C153)*10000</f>
        <v>84.72276345821955</v>
      </c>
      <c r="D131" s="51">
        <f>(D130-Inputs!D169/Inputs!D153)*10000</f>
        <v>136.24843797441278</v>
      </c>
      <c r="E131" s="51">
        <f>(E130-Inputs!E169/Inputs!E153)*10000</f>
        <v>114.56207722094575</v>
      </c>
      <c r="F131" s="51">
        <f>(F130-Inputs!F169/Inputs!F153)*10000</f>
        <v>306.69744607663057</v>
      </c>
      <c r="G131" s="51">
        <f>(G130-Inputs!G169/Inputs!G153)*10000</f>
        <v>68.62723994140701</v>
      </c>
      <c r="H131" s="48">
        <f t="shared" si="9"/>
        <v>258.02371541501975</v>
      </c>
      <c r="I131" s="1"/>
      <c r="J131" s="1"/>
    </row>
    <row r="132" ht="15" customHeight="1">
      <c r="A132" s="1"/>
      <c r="B132" s="3" t="s">
        <v>186</v>
      </c>
      <c r="C132" s="37">
        <f t="shared" si="26" ref="C132:H132">C112+C117+C122+C127</f>
        <v>523</v>
      </c>
      <c r="D132" s="37">
        <f t="shared" si="26"/>
        <v>532</v>
      </c>
      <c r="E132" s="37">
        <f t="shared" si="26"/>
        <v>523</v>
      </c>
      <c r="F132" s="37">
        <f t="shared" si="26"/>
        <v>604</v>
      </c>
      <c r="G132" s="37">
        <f t="shared" si="26"/>
        <v>1969</v>
      </c>
      <c r="H132" s="38">
        <f t="shared" si="26"/>
        <v>655.8270141854408</v>
      </c>
      <c r="I132" s="1"/>
      <c r="J132" s="1"/>
    </row>
    <row r="133" ht="15" customHeight="1">
      <c r="A133" s="1"/>
      <c r="B133" s="3" t="s">
        <v>187</v>
      </c>
      <c r="C133" s="37">
        <f t="shared" si="27" ref="C133:H133">C43-C107-C132</f>
        <v>570</v>
      </c>
      <c r="D133" s="37">
        <f t="shared" si="27"/>
        <v>477</v>
      </c>
      <c r="E133" s="37">
        <f t="shared" si="27"/>
        <v>493</v>
      </c>
      <c r="F133" s="37">
        <f t="shared" si="27"/>
        <v>636</v>
      </c>
      <c r="G133" s="37">
        <f t="shared" si="27"/>
        <v>2023</v>
      </c>
      <c r="H133" s="38">
        <f t="shared" si="27"/>
        <v>677.380014651629</v>
      </c>
      <c r="I133" s="1"/>
      <c r="J133" s="1"/>
    </row>
    <row r="134" ht="15" customHeight="1">
      <c r="A134" s="1"/>
      <c r="B134" s="4" t="s">
        <v>56</v>
      </c>
      <c r="C134" s="34">
        <f>C133/Inputs!C170-1</f>
        <v>0.0035211267605634866</v>
      </c>
      <c r="D134" s="34">
        <f>D133/Inputs!D170-1</f>
        <v>-0.032454361054766734</v>
      </c>
      <c r="E134" s="34">
        <f>E133/Inputs!E170-1</f>
        <v>0.09312638580931254</v>
      </c>
      <c r="F134" s="34">
        <f>F133/Inputs!F170-1</f>
        <v>0.21142857142857152</v>
      </c>
      <c r="G134" s="34">
        <f>G133/Inputs!G170-1</f>
        <v>0.02899287894201419</v>
      </c>
      <c r="H134" s="35">
        <f t="shared" si="11"/>
        <v>0.18838599061689298</v>
      </c>
      <c r="I134" s="1"/>
      <c r="J134" s="1"/>
    </row>
    <row r="135" ht="15" customHeight="1">
      <c r="A135" s="1"/>
      <c r="B135" s="1" t="s">
        <v>79</v>
      </c>
      <c r="C135" s="12">
        <f>C133-Inputs!F170</f>
        <v>45</v>
      </c>
      <c r="D135" s="15">
        <f t="shared" si="1"/>
        <v>-93</v>
      </c>
      <c r="E135" s="15">
        <f t="shared" si="1"/>
        <v>16</v>
      </c>
      <c r="F135" s="15">
        <f t="shared" si="1"/>
        <v>143</v>
      </c>
      <c r="G135" s="15"/>
      <c r="H135" s="41">
        <f t="shared" si="4"/>
        <v>41.38001465162904</v>
      </c>
      <c r="I135" s="1"/>
      <c r="J135" s="1"/>
    </row>
    <row r="136" ht="15" customHeight="1">
      <c r="A136" s="1"/>
      <c r="B136" s="4" t="s">
        <v>188</v>
      </c>
      <c r="C136" s="36">
        <f t="shared" si="28" ref="C136:H136">C133/C43</f>
        <v>0.4505928853754941</v>
      </c>
      <c r="D136" s="36">
        <f t="shared" si="28"/>
        <v>0.40321217244294166</v>
      </c>
      <c r="E136" s="36">
        <f t="shared" si="28"/>
        <v>0.4142857142857143</v>
      </c>
      <c r="F136" s="36">
        <f t="shared" si="28"/>
        <v>0.4444444444444444</v>
      </c>
      <c r="G136" s="36">
        <f t="shared" si="28"/>
        <v>0.4358974358974359</v>
      </c>
      <c r="H136" s="35">
        <f t="shared" si="28"/>
        <v>0.44</v>
      </c>
      <c r="I136" s="1"/>
      <c r="J136" s="1"/>
    </row>
    <row r="137" ht="15" customHeight="1">
      <c r="A137" s="1"/>
      <c r="B137" s="1" t="s">
        <v>104</v>
      </c>
      <c r="C137" s="51">
        <f>(C136-Inputs!C170/Inputs!C153)*10000</f>
        <v>-494.0711462450592</v>
      </c>
      <c r="D137" s="51">
        <f>(D136-Inputs!D170/Inputs!D153)*10000</f>
        <v>-520.0481740008695</v>
      </c>
      <c r="E137" s="51">
        <f>(E136-Inputs!E170/Inputs!E153)*10000</f>
        <v>-168.80633706637505</v>
      </c>
      <c r="F137" s="51">
        <f>(F136-Inputs!F170/Inputs!F153)*10000</f>
        <v>-132.71335851981036</v>
      </c>
      <c r="G137" s="51">
        <f>(G136-Inputs!G170/Inputs!G153)*10000</f>
        <v>-454.93357442427</v>
      </c>
      <c r="H137" s="48">
        <f t="shared" si="9"/>
        <v>-105.92885375494076</v>
      </c>
      <c r="I137" s="1"/>
      <c r="J137" s="1"/>
    </row>
    <row r="138" ht="15" customHeight="1">
      <c r="A138" s="1"/>
      <c r="B138" s="1" t="s">
        <v>189</v>
      </c>
      <c r="C138" s="15">
        <f t="shared" si="29" ref="C138:H138">C133+C107</f>
        <v>742</v>
      </c>
      <c r="D138" s="15">
        <f t="shared" si="29"/>
        <v>651</v>
      </c>
      <c r="E138" s="15">
        <f t="shared" si="29"/>
        <v>667</v>
      </c>
      <c r="F138" s="15">
        <f t="shared" si="29"/>
        <v>827</v>
      </c>
      <c r="G138" s="15">
        <f t="shared" si="29"/>
        <v>2672</v>
      </c>
      <c r="H138" s="41">
        <f t="shared" si="29"/>
        <v>883.6730191137161</v>
      </c>
      <c r="I138" s="1"/>
      <c r="J138" s="1"/>
    </row>
    <row r="139" ht="15" customHeight="1">
      <c r="A139" s="1"/>
      <c r="B139" s="4" t="s">
        <v>190</v>
      </c>
      <c r="C139" s="36">
        <f t="shared" si="30" ref="C139:H139">C138/C43</f>
        <v>0.5865612648221344</v>
      </c>
      <c r="D139" s="36">
        <f t="shared" si="30"/>
        <v>0.5502958579881657</v>
      </c>
      <c r="E139" s="36">
        <f t="shared" si="30"/>
        <v>0.5605042016806723</v>
      </c>
      <c r="F139" s="36">
        <f t="shared" si="30"/>
        <v>0.5779175401816912</v>
      </c>
      <c r="G139" s="36">
        <f t="shared" si="30"/>
        <v>0.5757379875026933</v>
      </c>
      <c r="H139" s="35">
        <f t="shared" si="30"/>
        <v>0.5740000000000001</v>
      </c>
      <c r="I139" s="1"/>
      <c r="J139" s="1"/>
    </row>
    <row r="140" ht="15" customHeight="1">
      <c r="A140" s="1"/>
      <c r="B140" s="1" t="s">
        <v>104</v>
      </c>
      <c r="C140" s="51">
        <f>(C139-(Inputs!C170+Inputs!C165)/Inputs!C153)*10000</f>
        <v>-296.3591827645706</v>
      </c>
      <c r="D140" s="51">
        <f>(D139-(Inputs!D170+Inputs!D165)/Inputs!D153)*10000</f>
        <v>-378.85120774530543</v>
      </c>
      <c r="E140" s="51">
        <f>(E139-(Inputs!E170+Inputs!E165)/Inputs!E153)*10000</f>
        <v>-131.09565049729267</v>
      </c>
      <c r="F140" s="51">
        <f>(F139-(Inputs!F170+Inputs!F165)/Inputs!F153)*10000</f>
        <v>-140.61535668352442</v>
      </c>
      <c r="G140" s="51">
        <f>(G139-(Inputs!G170+Inputs!G165)/Inputs!G153)*10000</f>
        <v>-275.9208105754174</v>
      </c>
      <c r="H140" s="48">
        <f t="shared" si="9"/>
        <v>-125.61264822134378</v>
      </c>
      <c r="I140" s="1"/>
      <c r="J140" s="1"/>
    </row>
    <row r="141" ht="15" customHeight="1">
      <c r="A141" s="1"/>
      <c r="B141" s="1"/>
      <c r="C141" s="1"/>
      <c r="D141" s="1"/>
      <c r="E141" s="1"/>
      <c r="F141" s="1"/>
      <c r="G141" s="1"/>
      <c r="H141" s="32"/>
      <c r="I141" s="1"/>
      <c r="J141" s="1"/>
    </row>
    <row r="142" ht="15" customHeight="1">
      <c r="A142" s="1"/>
      <c r="B142" s="31" t="s">
        <v>191</v>
      </c>
      <c r="C142" s="1"/>
      <c r="D142" s="1"/>
      <c r="E142" s="1"/>
      <c r="F142" s="1"/>
      <c r="G142" s="1"/>
      <c r="H142" s="32"/>
      <c r="I142" s="1"/>
      <c r="J142" s="1"/>
    </row>
    <row r="143" ht="15" customHeight="1">
      <c r="A143" s="1"/>
      <c r="B143" s="1" t="s">
        <v>192</v>
      </c>
      <c r="C143" s="42">
        <v>7918</v>
      </c>
      <c r="D143" s="42">
        <v>8079</v>
      </c>
      <c r="E143" s="42">
        <v>8477</v>
      </c>
      <c r="F143" s="42">
        <v>9034</v>
      </c>
      <c r="G143" s="15">
        <f t="shared" si="31"/>
        <v>8079</v>
      </c>
      <c r="H143" s="33">
        <f>'Balance Sheet'!H22*H145</f>
        <v>9274.022077358028</v>
      </c>
      <c r="I143" s="1"/>
      <c r="J143" s="1"/>
    </row>
    <row r="144" ht="15" customHeight="1">
      <c r="A144" s="1"/>
      <c r="B144" s="1" t="s">
        <v>79</v>
      </c>
      <c r="C144" s="15" t="s">
        <v>33</v>
      </c>
      <c r="D144" s="15">
        <f t="shared" si="32" ref="D144:F144">D143-C143</f>
        <v>161</v>
      </c>
      <c r="E144" s="15">
        <f t="shared" si="32"/>
        <v>398</v>
      </c>
      <c r="F144" s="15">
        <f t="shared" si="32"/>
        <v>557</v>
      </c>
      <c r="G144" s="15"/>
      <c r="H144" s="41">
        <f>H143-F143</f>
        <v>240.02207735802767</v>
      </c>
      <c r="I144" s="1"/>
      <c r="J144" s="1"/>
    </row>
    <row r="145" ht="15" customHeight="1">
      <c r="A145" s="1"/>
      <c r="B145" s="4" t="s">
        <v>193</v>
      </c>
      <c r="C145" s="34">
        <f>C143/'Balance Sheet'!C22</f>
        <v>0.2633627141194079</v>
      </c>
      <c r="D145" s="34">
        <f>D143/'Balance Sheet'!D22</f>
        <v>0.27050827027389</v>
      </c>
      <c r="E145" s="34">
        <f>E143/'Balance Sheet'!E22</f>
        <v>0.28362553533190576</v>
      </c>
      <c r="F145" s="34">
        <f>F143/'Balance Sheet'!F22</f>
        <v>0.28849715782078306</v>
      </c>
      <c r="G145" s="34">
        <f>G143/'Balance Sheet'!G22</f>
        <v>0.27050827027389</v>
      </c>
      <c r="H145" s="35">
        <f>F145</f>
        <v>0.28849715782078306</v>
      </c>
      <c r="I145" s="1"/>
      <c r="J145" s="1"/>
    </row>
    <row r="146" ht="15" customHeight="1">
      <c r="A146" s="1"/>
      <c r="B146" s="4" t="s">
        <v>194</v>
      </c>
      <c r="C146" s="36">
        <f t="shared" si="33" ref="C146:H146">C133*365/C8/C143</f>
        <v>0.285604072174572</v>
      </c>
      <c r="D146" s="36">
        <f t="shared" si="33"/>
        <v>0.23424256122959686</v>
      </c>
      <c r="E146" s="36">
        <f t="shared" si="33"/>
        <v>0.23586043280510663</v>
      </c>
      <c r="F146" s="36">
        <f t="shared" si="33"/>
        <v>0.28237646789783166</v>
      </c>
      <c r="G146" s="36">
        <f t="shared" si="33"/>
        <v>0.25040227750959276</v>
      </c>
      <c r="H146" s="35">
        <f t="shared" si="33"/>
        <v>0.2897805889883614</v>
      </c>
      <c r="I146" s="1"/>
      <c r="J146" s="1"/>
    </row>
    <row r="147" ht="15" customHeight="1">
      <c r="A147" s="1"/>
      <c r="B147" s="1" t="s">
        <v>212</v>
      </c>
      <c r="C147" s="47" t="s">
        <v>33</v>
      </c>
      <c r="D147" s="47" t="s">
        <v>33</v>
      </c>
      <c r="E147" s="52">
        <v>17</v>
      </c>
      <c r="F147" s="52">
        <v>11</v>
      </c>
      <c r="G147" s="47" t="s">
        <v>33</v>
      </c>
      <c r="H147" s="48" t="s">
        <v>33</v>
      </c>
      <c r="I147" s="1"/>
      <c r="J147" s="1" t="s">
        <v>213</v>
      </c>
    </row>
    <row r="148" ht="1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ht="1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E0915EE-0F95-0698-3267-1F3CC5195F2B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214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47</v>
      </c>
      <c r="D6" s="6" t="s">
        <v>48</v>
      </c>
      <c r="E6" s="6" t="s">
        <v>49</v>
      </c>
      <c r="F6" s="6" t="s">
        <v>50</v>
      </c>
      <c r="G6" s="6" t="s">
        <v>51</v>
      </c>
      <c r="H6" s="28" t="s">
        <v>4</v>
      </c>
      <c r="I6" s="1"/>
      <c r="J6" s="1"/>
    </row>
    <row r="7" ht="15" customHeight="1">
      <c r="A7" s="1"/>
      <c r="B7" s="7" t="s">
        <v>5</v>
      </c>
      <c r="C7" s="8">
        <v>45930</v>
      </c>
      <c r="D7" s="8">
        <v>46022</v>
      </c>
      <c r="E7" s="8">
        <v>46112</v>
      </c>
      <c r="F7" s="8">
        <v>46203</v>
      </c>
      <c r="G7" s="8">
        <v>46022</v>
      </c>
      <c r="H7" s="29">
        <v>46295</v>
      </c>
      <c r="I7" s="1"/>
      <c r="J7" s="1"/>
    </row>
    <row r="8" ht="15" customHeight="1">
      <c r="A8" s="1"/>
      <c r="B8" s="9" t="s">
        <v>6</v>
      </c>
      <c r="C8" s="10">
        <f t="shared" si="0" ref="C8:H8">C7-EOMONTH(C7,-3)</f>
        <v>92</v>
      </c>
      <c r="D8" s="10">
        <f t="shared" si="0"/>
        <v>92</v>
      </c>
      <c r="E8" s="10">
        <f t="shared" si="0"/>
        <v>90</v>
      </c>
      <c r="F8" s="10">
        <f t="shared" si="0"/>
        <v>91</v>
      </c>
      <c r="G8" s="10">
        <f>G7-EOMONTH(G7,-12)</f>
        <v>365</v>
      </c>
      <c r="H8" s="30">
        <f t="shared" si="0"/>
        <v>92</v>
      </c>
      <c r="I8" s="1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3" t="s">
        <v>52</v>
      </c>
    </row>
    <row r="10" ht="15" customHeight="1">
      <c r="A10" s="1"/>
      <c r="B10" s="31" t="s">
        <v>215</v>
      </c>
      <c r="C10" s="1"/>
      <c r="D10" s="1"/>
      <c r="E10" s="1"/>
      <c r="F10" s="1"/>
      <c r="G10" s="1"/>
      <c r="H10" s="32"/>
      <c r="I10" s="1"/>
      <c r="J10" s="1"/>
    </row>
    <row r="11" ht="15" customHeight="1">
      <c r="A11" s="1"/>
      <c r="B11" s="1" t="s">
        <v>216</v>
      </c>
      <c r="C11" s="12">
        <f>'Revenue summary'!C36</f>
        <v>3665</v>
      </c>
      <c r="D11" s="12">
        <f>'Revenue summary'!D36</f>
        <v>3581</v>
      </c>
      <c r="E11" s="12">
        <f>'Revenue summary'!E36</f>
        <v>3419</v>
      </c>
      <c r="F11" s="12">
        <f>'Revenue summary'!F36</f>
        <v>3849</v>
      </c>
      <c r="G11" s="12">
        <f>'Revenue summary'!G36</f>
        <v>13806</v>
      </c>
      <c r="H11" s="33">
        <f>'Revenue summary'!H36</f>
        <v>4090.2125005703465</v>
      </c>
      <c r="I11" s="1"/>
      <c r="J11" s="1"/>
    </row>
    <row r="12" ht="15" customHeight="1">
      <c r="A12" s="1"/>
      <c r="B12" s="1" t="s">
        <v>217</v>
      </c>
      <c r="C12" s="12">
        <f>'Revenue summary'!C44</f>
        <v>333</v>
      </c>
      <c r="D12" s="12">
        <f>'Revenue summary'!D44</f>
        <v>386</v>
      </c>
      <c r="E12" s="12">
        <f>'Revenue summary'!E44</f>
        <v>350</v>
      </c>
      <c r="F12" s="12">
        <f>'Revenue summary'!F44</f>
        <v>330</v>
      </c>
      <c r="G12" s="12">
        <f>'Revenue summary'!G44</f>
        <v>1413</v>
      </c>
      <c r="H12" s="33">
        <f>'Revenue summary'!H44</f>
        <v>357.75</v>
      </c>
      <c r="I12" s="1"/>
      <c r="J12" s="1"/>
    </row>
    <row r="13" ht="15" customHeight="1">
      <c r="A13" s="1"/>
      <c r="B13" s="1" t="s">
        <v>218</v>
      </c>
      <c r="C13" s="12">
        <f>'Revenue summary'!C52</f>
        <v>95</v>
      </c>
      <c r="D13" s="12">
        <f>'Revenue summary'!D52</f>
        <v>108</v>
      </c>
      <c r="E13" s="12">
        <f>'Revenue summary'!E52</f>
        <v>84</v>
      </c>
      <c r="F13" s="12">
        <f>'Revenue summary'!F52</f>
        <v>86</v>
      </c>
      <c r="G13" s="12">
        <f>'Revenue summary'!G52</f>
        <v>348</v>
      </c>
      <c r="H13" s="33">
        <f>'Revenue summary'!H52</f>
        <v>105</v>
      </c>
      <c r="I13" s="1"/>
      <c r="J13" s="1"/>
    </row>
    <row r="14" ht="15" customHeight="1">
      <c r="A14" s="1"/>
      <c r="B14" s="1" t="s">
        <v>219</v>
      </c>
      <c r="C14" s="12">
        <f>'Revenue summary'!C60</f>
        <v>43</v>
      </c>
      <c r="D14" s="12">
        <f>'Revenue summary'!D60</f>
        <v>43</v>
      </c>
      <c r="E14" s="12">
        <f>'Revenue summary'!E60</f>
        <v>40</v>
      </c>
      <c r="F14" s="12">
        <f>'Revenue summary'!F60</f>
        <v>44</v>
      </c>
      <c r="G14" s="12">
        <f>'Revenue summary'!G60</f>
        <v>163</v>
      </c>
      <c r="H14" s="33">
        <f>'Revenue summary'!H60</f>
        <v>45.84</v>
      </c>
      <c r="I14" s="1"/>
      <c r="J14" s="1"/>
    </row>
    <row r="15" ht="15" customHeight="1">
      <c r="A15" s="1"/>
      <c r="B15" s="1" t="s">
        <v>220</v>
      </c>
      <c r="C15" s="12">
        <f>'Revenue summary'!C68</f>
        <v>93</v>
      </c>
      <c r="D15" s="12">
        <f>'Revenue summary'!D68</f>
        <v>90</v>
      </c>
      <c r="E15" s="12">
        <f>'Revenue summary'!E68</f>
        <v>92</v>
      </c>
      <c r="F15" s="12">
        <f>'Revenue summary'!F68</f>
        <v>101</v>
      </c>
      <c r="G15" s="12">
        <f>'Revenue summary'!G68</f>
        <v>369</v>
      </c>
      <c r="H15" s="33">
        <f>'Revenue summary'!H68</f>
        <v>100.29</v>
      </c>
      <c r="I15" s="1"/>
      <c r="J15" s="1"/>
    </row>
    <row r="16" ht="15" customHeight="1">
      <c r="A16" s="1"/>
      <c r="B16" s="3" t="s">
        <v>66</v>
      </c>
      <c r="C16" s="37">
        <f t="shared" si="1" ref="C16:H104">C11+C12+C13+C14+C15</f>
        <v>4229</v>
      </c>
      <c r="D16" s="37">
        <f t="shared" si="1"/>
        <v>4208</v>
      </c>
      <c r="E16" s="37">
        <f t="shared" si="1"/>
        <v>3985</v>
      </c>
      <c r="F16" s="37">
        <f t="shared" si="1"/>
        <v>4410</v>
      </c>
      <c r="G16" s="37">
        <f t="shared" si="1"/>
        <v>16099</v>
      </c>
      <c r="H16" s="38">
        <f t="shared" si="1"/>
        <v>4699.092500570347</v>
      </c>
      <c r="I16" s="1"/>
      <c r="J16" s="1"/>
    </row>
    <row r="17" ht="15" customHeight="1">
      <c r="A17" s="1"/>
      <c r="B17" s="4" t="s">
        <v>56</v>
      </c>
      <c r="C17" s="34">
        <f>C16/Inputs!C182-1</f>
        <v>0.05936873747494986</v>
      </c>
      <c r="D17" s="34">
        <f>D16/Inputs!D182-1</f>
        <v>0.027594627594627497</v>
      </c>
      <c r="E17" s="34">
        <f>E16/Inputs!E182-1</f>
        <v>0.07152460338800748</v>
      </c>
      <c r="F17" s="34">
        <f>F16/Inputs!F182-1</f>
        <v>0.1184377377631245</v>
      </c>
      <c r="G17" s="34">
        <f>G16/Inputs!G182-1</f>
        <v>0.04913652655588141</v>
      </c>
      <c r="H17" s="35">
        <f t="shared" si="5" ref="H17:H109">H16/C16-1</f>
        <v>0.11115925764255064</v>
      </c>
      <c r="I17" s="1"/>
      <c r="J17" s="1"/>
    </row>
    <row r="18" ht="15" customHeight="1">
      <c r="A18" s="1"/>
      <c r="B18" s="4" t="s">
        <v>57</v>
      </c>
      <c r="C18" s="34">
        <f>C16/Inputs!F182-1</f>
        <v>0.07253360385493268</v>
      </c>
      <c r="D18" s="36">
        <f t="shared" si="2" ref="D18:F18">D16/C16-1</f>
        <v>-0.004965712934499877</v>
      </c>
      <c r="E18" s="36">
        <f t="shared" si="2"/>
        <v>-0.05299429657794674</v>
      </c>
      <c r="F18" s="36">
        <f t="shared" si="2"/>
        <v>0.1066499372647427</v>
      </c>
      <c r="G18" s="36"/>
      <c r="H18" s="35">
        <f>H16/F16-1</f>
        <v>0.06555385500461375</v>
      </c>
      <c r="I18" s="1"/>
      <c r="J18" s="1"/>
    </row>
    <row r="19" ht="15" customHeight="1">
      <c r="A19" s="1"/>
      <c r="B19" s="31" t="s">
        <v>221</v>
      </c>
      <c r="C19" s="1"/>
      <c r="D19" s="1"/>
      <c r="E19" s="1"/>
      <c r="F19" s="1"/>
      <c r="G19" s="1"/>
      <c r="H19" s="32"/>
      <c r="I19" s="1"/>
      <c r="J19" s="1"/>
    </row>
    <row r="20" ht="15" customHeight="1">
      <c r="A20" s="1"/>
      <c r="B20" s="1" t="s">
        <v>222</v>
      </c>
      <c r="C20" s="12">
        <f>'Segment - General Rentals'!C128+'Segment - Specialty'!C132</f>
        <v>1530</v>
      </c>
      <c r="D20" s="12">
        <f>'Segment - General Rentals'!D128+'Segment - Specialty'!D132</f>
        <v>1537</v>
      </c>
      <c r="E20" s="12">
        <f>'Segment - General Rentals'!E128+'Segment - Specialty'!E132</f>
        <v>1492</v>
      </c>
      <c r="F20" s="12">
        <f>'Segment - General Rentals'!F128+'Segment - Specialty'!F132</f>
        <v>1644</v>
      </c>
      <c r="G20" s="12">
        <f>'Segment - General Rentals'!G128+'Segment - Specialty'!G132</f>
        <v>5888</v>
      </c>
      <c r="H20" s="33">
        <f>'Segment - General Rentals'!H128+'Segment - Specialty'!H132</f>
        <v>1722.0248255047982</v>
      </c>
      <c r="I20" s="1"/>
      <c r="J20" s="1"/>
    </row>
    <row r="21" ht="15" customHeight="1">
      <c r="A21" s="1"/>
      <c r="B21" s="1" t="s">
        <v>175</v>
      </c>
      <c r="C21" s="12">
        <f>'Segment - General Rentals'!C103+'Segment - Specialty'!C107</f>
        <v>684</v>
      </c>
      <c r="D21" s="12">
        <f>'Segment - General Rentals'!D103+'Segment - Specialty'!D107</f>
        <v>698</v>
      </c>
      <c r="E21" s="12">
        <f>'Segment - General Rentals'!E103+'Segment - Specialty'!E107</f>
        <v>681</v>
      </c>
      <c r="F21" s="12">
        <f>'Segment - General Rentals'!F103+'Segment - Specialty'!F107</f>
        <v>704</v>
      </c>
      <c r="G21" s="12">
        <f>'Segment - General Rentals'!G103+'Segment - Specialty'!G107</f>
        <v>2670</v>
      </c>
      <c r="H21" s="33">
        <f>'Segment - General Rentals'!H103+'Segment - Specialty'!H107</f>
        <v>736.8411976544944</v>
      </c>
      <c r="I21" s="1"/>
      <c r="J21" s="1"/>
    </row>
    <row r="22" ht="15" customHeight="1">
      <c r="A22" s="1"/>
      <c r="B22" s="1" t="s">
        <v>223</v>
      </c>
      <c r="C22" s="42">
        <v>186</v>
      </c>
      <c r="D22" s="42">
        <v>211</v>
      </c>
      <c r="E22" s="42">
        <v>190</v>
      </c>
      <c r="F22" s="42">
        <v>176</v>
      </c>
      <c r="G22" s="12">
        <f>Inputs!E194+Inputs!F194+C22+D22</f>
        <v>778</v>
      </c>
      <c r="H22" s="41">
        <f>H12*(1-H34)</f>
        <v>193.185</v>
      </c>
      <c r="I22" s="1"/>
      <c r="J22" s="1"/>
    </row>
    <row r="23" ht="15" customHeight="1">
      <c r="A23" s="1"/>
      <c r="B23" s="1" t="s">
        <v>224</v>
      </c>
      <c r="C23" s="42">
        <v>75</v>
      </c>
      <c r="D23" s="42">
        <v>86</v>
      </c>
      <c r="E23" s="42">
        <v>70</v>
      </c>
      <c r="F23" s="42">
        <v>68</v>
      </c>
      <c r="G23" s="12">
        <f>Inputs!E195+Inputs!F195+C23+D23</f>
        <v>278</v>
      </c>
      <c r="H23" s="41">
        <f>H13*(1-H36)</f>
        <v>83.47500000000001</v>
      </c>
      <c r="I23" s="1"/>
      <c r="J23" s="1"/>
    </row>
    <row r="24" ht="15" customHeight="1">
      <c r="A24" s="1"/>
      <c r="B24" s="1" t="s">
        <v>225</v>
      </c>
      <c r="C24" s="42">
        <v>32</v>
      </c>
      <c r="D24" s="42">
        <v>27</v>
      </c>
      <c r="E24" s="42">
        <v>28</v>
      </c>
      <c r="F24" s="42">
        <v>30</v>
      </c>
      <c r="G24" s="12">
        <f>Inputs!E196+Inputs!F196+C24+D24</f>
        <v>113</v>
      </c>
      <c r="H24" s="41">
        <f>H14*(1-H38)</f>
        <v>33.0048</v>
      </c>
      <c r="I24" s="1"/>
      <c r="J24" s="1"/>
    </row>
    <row r="25" ht="15" customHeight="1">
      <c r="A25" s="1"/>
      <c r="B25" s="1" t="s">
        <v>226</v>
      </c>
      <c r="C25" s="42">
        <v>57</v>
      </c>
      <c r="D25" s="42">
        <v>59</v>
      </c>
      <c r="E25" s="42">
        <v>55</v>
      </c>
      <c r="F25" s="42">
        <v>56</v>
      </c>
      <c r="G25" s="12">
        <f>Inputs!E197+Inputs!F197+C25+D25</f>
        <v>228</v>
      </c>
      <c r="H25" s="41">
        <f>H15*(1-H40)</f>
        <v>59.17110000000001</v>
      </c>
      <c r="I25" s="1"/>
      <c r="J25" s="1"/>
    </row>
    <row r="26" ht="15" customHeight="1">
      <c r="A26" s="1"/>
      <c r="B26" s="3" t="s">
        <v>227</v>
      </c>
      <c r="C26" s="37">
        <f t="shared" si="3" ref="C26:H26">C20+C21+C22+C23+C24+C25</f>
        <v>2564</v>
      </c>
      <c r="D26" s="37">
        <f t="shared" si="3"/>
        <v>2618</v>
      </c>
      <c r="E26" s="37">
        <f t="shared" si="3"/>
        <v>2516</v>
      </c>
      <c r="F26" s="37">
        <f t="shared" si="3"/>
        <v>2678</v>
      </c>
      <c r="G26" s="37">
        <f t="shared" si="3"/>
        <v>9955</v>
      </c>
      <c r="H26" s="38">
        <f t="shared" si="3"/>
        <v>2827.7019231592926</v>
      </c>
      <c r="I26" s="1"/>
      <c r="J26" s="1"/>
    </row>
    <row r="27" ht="15" customHeight="1">
      <c r="A27" s="1"/>
      <c r="B27" s="3" t="s">
        <v>228</v>
      </c>
      <c r="C27" s="37">
        <f t="shared" si="4" ref="C27:H27">C16-C26</f>
        <v>1665</v>
      </c>
      <c r="D27" s="37">
        <f t="shared" si="4"/>
        <v>1590</v>
      </c>
      <c r="E27" s="37">
        <f t="shared" si="4"/>
        <v>1469</v>
      </c>
      <c r="F27" s="37">
        <f t="shared" si="4"/>
        <v>1732</v>
      </c>
      <c r="G27" s="37">
        <f t="shared" si="4"/>
        <v>6144</v>
      </c>
      <c r="H27" s="38">
        <f t="shared" si="4"/>
        <v>1871.390577411054</v>
      </c>
      <c r="I27" s="1"/>
      <c r="J27" s="1"/>
    </row>
    <row r="28" ht="15" customHeight="1">
      <c r="A28" s="1"/>
      <c r="B28" s="4" t="s">
        <v>56</v>
      </c>
      <c r="C28" s="34">
        <f>C27/Inputs!C183-1</f>
        <v>0.010315533980582492</v>
      </c>
      <c r="D28" s="34">
        <f>D27/Inputs!D183-1</f>
        <v>-0.02930402930402931</v>
      </c>
      <c r="E28" s="34">
        <f>E27/Inputs!E183-1</f>
        <v>0.08333333333333326</v>
      </c>
      <c r="F28" s="34">
        <f>F27/Inputs!F183-1</f>
        <v>0.12981082844096536</v>
      </c>
      <c r="G28" s="34">
        <f>G27/Inputs!G183-1</f>
        <v>-0.0009756097560975618</v>
      </c>
      <c r="H28" s="35">
        <f t="shared" si="5"/>
        <v>0.1239583047513837</v>
      </c>
      <c r="I28" s="1"/>
      <c r="J28" s="1"/>
    </row>
    <row r="29" ht="15" customHeight="1">
      <c r="A29" s="1"/>
      <c r="B29" s="4" t="s">
        <v>229</v>
      </c>
      <c r="C29" s="36">
        <f t="shared" si="6" ref="C29:H29">C27/C16</f>
        <v>0.3937100969496335</v>
      </c>
      <c r="D29" s="36">
        <f t="shared" si="6"/>
        <v>0.37785171102661597</v>
      </c>
      <c r="E29" s="36">
        <f t="shared" si="6"/>
        <v>0.3686323713927227</v>
      </c>
      <c r="F29" s="36">
        <f t="shared" si="6"/>
        <v>0.3927437641723356</v>
      </c>
      <c r="G29" s="36">
        <f t="shared" si="6"/>
        <v>0.38163861109385677</v>
      </c>
      <c r="H29" s="35">
        <f t="shared" si="6"/>
        <v>0.39824510310957195</v>
      </c>
      <c r="I29" s="1"/>
      <c r="J29" s="1"/>
    </row>
    <row r="30" ht="15" customHeight="1">
      <c r="A30" s="1"/>
      <c r="B30" s="1" t="s">
        <v>104</v>
      </c>
      <c r="C30" s="51">
        <f>(C29-Inputs!C183/Inputs!C182)*10000</f>
        <v>-191.15554352971742</v>
      </c>
      <c r="D30" s="51">
        <f>(D29-Inputs!D183/Inputs!D182)*10000</f>
        <v>-221.48288973384055</v>
      </c>
      <c r="E30" s="51">
        <f>(E29-Inputs!E183/Inputs!E182)*10000</f>
        <v>40.18227805736962</v>
      </c>
      <c r="F30" s="51">
        <f>(F29-Inputs!F183/Inputs!F182)*10000</f>
        <v>39.53502949916088</v>
      </c>
      <c r="G30" s="51">
        <f>(G29-Inputs!G183/Inputs!G182)*10000</f>
        <v>-191.43402591382696</v>
      </c>
      <c r="H30" s="48">
        <f t="shared" si="9" ref="H30:H111">(H29-C29)*10000</f>
        <v>45.350061599384595</v>
      </c>
      <c r="I30" s="1"/>
      <c r="J30" s="1"/>
    </row>
    <row r="31" ht="15" customHeight="1">
      <c r="A31" s="1"/>
      <c r="B31" s="1" t="s">
        <v>230</v>
      </c>
      <c r="C31" s="15">
        <f t="shared" si="7" ref="C31:H31">C11-C20-C21</f>
        <v>1451</v>
      </c>
      <c r="D31" s="15">
        <f t="shared" si="7"/>
        <v>1346</v>
      </c>
      <c r="E31" s="15">
        <f t="shared" si="7"/>
        <v>1246</v>
      </c>
      <c r="F31" s="15">
        <f t="shared" si="7"/>
        <v>1501</v>
      </c>
      <c r="G31" s="15">
        <f t="shared" si="7"/>
        <v>5248</v>
      </c>
      <c r="H31" s="41">
        <f t="shared" si="7"/>
        <v>1631.346477411054</v>
      </c>
      <c r="I31" s="1"/>
      <c r="J31" s="1"/>
    </row>
    <row r="32" ht="15" customHeight="1">
      <c r="A32" s="1"/>
      <c r="B32" s="4" t="s">
        <v>231</v>
      </c>
      <c r="C32" s="36">
        <f t="shared" si="8" ref="C32:H32">C31/C11</f>
        <v>0.3959072305593452</v>
      </c>
      <c r="D32" s="36">
        <f t="shared" si="8"/>
        <v>0.3758726612678023</v>
      </c>
      <c r="E32" s="36">
        <f t="shared" si="8"/>
        <v>0.36443404504241006</v>
      </c>
      <c r="F32" s="36">
        <f t="shared" si="8"/>
        <v>0.3899714211483502</v>
      </c>
      <c r="G32" s="36">
        <f t="shared" si="8"/>
        <v>0.380124583514414</v>
      </c>
      <c r="H32" s="35">
        <f t="shared" si="8"/>
        <v>0.398841497155362</v>
      </c>
      <c r="I32" s="1"/>
      <c r="J32" s="1"/>
    </row>
    <row r="33" ht="15" customHeight="1">
      <c r="A33" s="1"/>
      <c r="B33" s="1" t="s">
        <v>104</v>
      </c>
      <c r="C33" s="51">
        <f>(C32-(Inputs!C177-Inputs!C192-Inputs!C193)/Inputs!C177)*10000</f>
        <v>-204.94733056017233</v>
      </c>
      <c r="D33" s="51">
        <f>(D32-(Inputs!D177-Inputs!D192-Inputs!D193)/Inputs!D177)*10000</f>
        <v>-238.93557317820168</v>
      </c>
      <c r="E33" s="51">
        <f>(E32-(Inputs!E177-Inputs!E192-Inputs!E193)/Inputs!E177)*10000</f>
        <v>51.335680948743075</v>
      </c>
      <c r="F33" s="51">
        <f>(F32-(Inputs!F177-Inputs!F192-Inputs!F193)/Inputs!F177)*10000</f>
        <v>31.485807383941356</v>
      </c>
      <c r="G33" s="51">
        <f>(G32-(Inputs!G177-Inputs!G192-Inputs!G193)/Inputs!G177)*10000</f>
        <v>-188.31591172822127</v>
      </c>
      <c r="H33" s="48">
        <f t="shared" si="9"/>
        <v>29.3426659601681</v>
      </c>
      <c r="I33" s="1"/>
      <c r="J33" s="1"/>
    </row>
    <row r="34" ht="15" customHeight="1">
      <c r="A34" s="1"/>
      <c r="B34" s="4" t="s">
        <v>232</v>
      </c>
      <c r="C34" s="36">
        <f t="shared" si="10" ref="C34:G34">1-C22/C12</f>
        <v>0.4414414414414415</v>
      </c>
      <c r="D34" s="36">
        <f t="shared" si="10"/>
        <v>0.45336787564766834</v>
      </c>
      <c r="E34" s="36">
        <f t="shared" si="10"/>
        <v>0.4571428571428572</v>
      </c>
      <c r="F34" s="36">
        <f t="shared" si="10"/>
        <v>0.4666666666666667</v>
      </c>
      <c r="G34" s="36">
        <f t="shared" si="10"/>
        <v>0.4493984430290163</v>
      </c>
      <c r="H34" s="50">
        <v>0.46</v>
      </c>
      <c r="I34" s="1"/>
      <c r="J34" s="1" t="s">
        <v>233</v>
      </c>
    </row>
    <row r="35" ht="15" customHeight="1">
      <c r="A35" s="1"/>
      <c r="B35" s="1" t="s">
        <v>104</v>
      </c>
      <c r="C35" s="51">
        <f>(C34-(1-Inputs!C194/Inputs!C178))*10000</f>
        <v>-102.7195419718785</v>
      </c>
      <c r="D35" s="51">
        <f>(D34-(1-Inputs!D194/Inputs!D178))*10000</f>
        <v>-1.7194736118120169</v>
      </c>
      <c r="E35" s="51">
        <f>(E34-(1-Inputs!E194/Inputs!E178))*10000</f>
        <v>141.72034861690054</v>
      </c>
      <c r="F35" s="51">
        <f>(F34-(1-Inputs!F194/Inputs!F178))*10000</f>
        <v>60.9884332281807</v>
      </c>
      <c r="G35" s="51">
        <f>(G34-(1-Inputs!G194/Inputs!G178))*10000</f>
        <v>-173.99716076835102</v>
      </c>
      <c r="H35" s="48">
        <f t="shared" si="9"/>
        <v>185.58558558558536</v>
      </c>
      <c r="I35" s="1"/>
      <c r="J35" s="1"/>
    </row>
    <row r="36" ht="15" customHeight="1">
      <c r="A36" s="1"/>
      <c r="B36" s="4" t="s">
        <v>234</v>
      </c>
      <c r="C36" s="36">
        <f t="shared" si="11" ref="C36:G36">1-C23/C13</f>
        <v>0.21052631578947367</v>
      </c>
      <c r="D36" s="36">
        <f t="shared" si="11"/>
        <v>0.20370370370370372</v>
      </c>
      <c r="E36" s="36">
        <f t="shared" si="11"/>
        <v>0.16666666666666663</v>
      </c>
      <c r="F36" s="36">
        <f t="shared" si="11"/>
        <v>0.2093023255813954</v>
      </c>
      <c r="G36" s="36">
        <f t="shared" si="11"/>
        <v>0.20114942528735635</v>
      </c>
      <c r="H36" s="50">
        <v>0.205</v>
      </c>
      <c r="I36" s="1"/>
      <c r="J36" s="1" t="s">
        <v>235</v>
      </c>
    </row>
    <row r="37" ht="15" customHeight="1">
      <c r="A37" s="1"/>
      <c r="B37" s="1" t="s">
        <v>104</v>
      </c>
      <c r="C37" s="51">
        <f>(C36-(1-Inputs!C195/Inputs!C179))*10000</f>
        <v>546.8215994531778</v>
      </c>
      <c r="D37" s="51">
        <f>(D36-(1-Inputs!D195/Inputs!D179))*10000</f>
        <v>57.87037037037091</v>
      </c>
      <c r="E37" s="51">
        <f>(E36-(1-Inputs!E195/Inputs!E179))*10000</f>
        <v>-333.33333333333326</v>
      </c>
      <c r="F37" s="51">
        <f>(F36-(1-Inputs!F195/Inputs!F179))*10000</f>
        <v>226.3565891472874</v>
      </c>
      <c r="G37" s="51">
        <f>(G36-(1-Inputs!G195/Inputs!G179))*10000</f>
        <v>132.0616287600884</v>
      </c>
      <c r="H37" s="48">
        <f t="shared" si="9"/>
        <v>-55.26315789473685</v>
      </c>
      <c r="I37" s="1"/>
      <c r="J37" s="1"/>
    </row>
    <row r="38" ht="15" customHeight="1">
      <c r="A38" s="1"/>
      <c r="B38" s="4" t="s">
        <v>236</v>
      </c>
      <c r="C38" s="36">
        <f t="shared" si="12" ref="C38:G38">1-C24/C14</f>
        <v>0.2558139534883721</v>
      </c>
      <c r="D38" s="36">
        <f t="shared" si="12"/>
        <v>0.37209302325581395</v>
      </c>
      <c r="E38" s="36">
        <f t="shared" si="12"/>
        <v>0.30000000000000004</v>
      </c>
      <c r="F38" s="36">
        <f t="shared" si="12"/>
        <v>0.31818181818181823</v>
      </c>
      <c r="G38" s="36">
        <f t="shared" si="12"/>
        <v>0.3067484662576687</v>
      </c>
      <c r="H38" s="50">
        <v>0.28</v>
      </c>
      <c r="I38" s="1"/>
      <c r="J38" s="1" t="s">
        <v>237</v>
      </c>
    </row>
    <row r="39" ht="15" customHeight="1">
      <c r="A39" s="1"/>
      <c r="B39" s="1" t="s">
        <v>104</v>
      </c>
      <c r="C39" s="51">
        <f>(C38-(1-Inputs!C196/Inputs!C180))*10000</f>
        <v>-599.7552019583841</v>
      </c>
      <c r="D39" s="51">
        <f>(D38-(1-Inputs!D196/Inputs!D180))*10000</f>
        <v>-381.63387000596293</v>
      </c>
      <c r="E39" s="51">
        <f>(E38-(1-Inputs!E196/Inputs!E180))*10000</f>
        <v>222.22222222222254</v>
      </c>
      <c r="F39" s="51">
        <f>(F38-(1-Inputs!F196/Inputs!F180))*10000</f>
        <v>11.086474501109667</v>
      </c>
      <c r="G39" s="51">
        <f>(G38-(1-Inputs!G196/Inputs!G180))*10000</f>
        <v>-287.35404710073186</v>
      </c>
      <c r="H39" s="48">
        <f t="shared" si="9"/>
        <v>241.86046511627924</v>
      </c>
      <c r="I39" s="1"/>
      <c r="J39" s="1"/>
    </row>
    <row r="40" ht="15" customHeight="1">
      <c r="A40" s="1"/>
      <c r="B40" s="4" t="s">
        <v>238</v>
      </c>
      <c r="C40" s="36">
        <f t="shared" si="13" ref="C40:G40">1-C25/C15</f>
        <v>0.3870967741935484</v>
      </c>
      <c r="D40" s="36">
        <f t="shared" si="13"/>
        <v>0.34444444444444444</v>
      </c>
      <c r="E40" s="36">
        <f t="shared" si="13"/>
        <v>0.40217391304347827</v>
      </c>
      <c r="F40" s="36">
        <f t="shared" si="13"/>
        <v>0.4455445544554455</v>
      </c>
      <c r="G40" s="36">
        <f t="shared" si="13"/>
        <v>0.38211382113821135</v>
      </c>
      <c r="H40" s="50">
        <v>0.41</v>
      </c>
      <c r="I40" s="1"/>
      <c r="J40" s="1" t="s">
        <v>239</v>
      </c>
    </row>
    <row r="41" ht="15" customHeight="1">
      <c r="A41" s="1"/>
      <c r="B41" s="1" t="s">
        <v>104</v>
      </c>
      <c r="C41" s="51">
        <f>(C40-(1-Inputs!C197/Inputs!C181))*10000</f>
        <v>-107.52688172043001</v>
      </c>
      <c r="D41" s="51">
        <f>(D40-(1-Inputs!D197/Inputs!D181))*10000</f>
        <v>-43.92764857881093</v>
      </c>
      <c r="E41" s="51">
        <f>(E40-(1-Inputs!E197/Inputs!E181))*10000</f>
        <v>175.5852842809369</v>
      </c>
      <c r="F41" s="51">
        <f>(F40-(1-Inputs!F197/Inputs!F181))*10000</f>
        <v>350.18238665971757</v>
      </c>
      <c r="G41" s="51">
        <f>(G40-(1-Inputs!G197/Inputs!G181))*10000</f>
        <v>-5.6774310759866164</v>
      </c>
      <c r="H41" s="48">
        <f t="shared" si="9"/>
        <v>229.032258064516</v>
      </c>
      <c r="I41" s="1"/>
      <c r="J41" s="1"/>
    </row>
    <row r="42" ht="15" customHeight="1">
      <c r="A42" s="1"/>
      <c r="B42" s="31" t="s">
        <v>240</v>
      </c>
      <c r="C42" s="1"/>
      <c r="D42" s="1"/>
      <c r="E42" s="1"/>
      <c r="F42" s="1"/>
      <c r="G42" s="1"/>
      <c r="H42" s="32"/>
      <c r="I42" s="1"/>
      <c r="J42" s="1"/>
    </row>
    <row r="43" ht="15" customHeight="1">
      <c r="A43" s="1"/>
      <c r="B43" s="1" t="s">
        <v>241</v>
      </c>
      <c r="C43" s="42">
        <v>442</v>
      </c>
      <c r="D43" s="42">
        <v>431</v>
      </c>
      <c r="E43" s="42">
        <v>441</v>
      </c>
      <c r="F43" s="42">
        <v>472</v>
      </c>
      <c r="G43" s="12">
        <f>Inputs!E198+Inputs!F198+C43+D43</f>
        <v>1732</v>
      </c>
      <c r="H43" s="41">
        <f>H16*H44</f>
        <v>476.9578888078902</v>
      </c>
      <c r="I43" s="1"/>
      <c r="J43" s="1"/>
    </row>
    <row r="44" ht="15" customHeight="1">
      <c r="A44" s="1"/>
      <c r="B44" s="4" t="s">
        <v>242</v>
      </c>
      <c r="C44" s="36">
        <f t="shared" si="14" ref="C44:G44">C43/C16</f>
        <v>0.10451643414518799</v>
      </c>
      <c r="D44" s="36">
        <f t="shared" si="14"/>
        <v>0.10242395437262357</v>
      </c>
      <c r="E44" s="36">
        <f t="shared" si="14"/>
        <v>0.11066499372647427</v>
      </c>
      <c r="F44" s="36">
        <f t="shared" si="14"/>
        <v>0.10702947845804989</v>
      </c>
      <c r="G44" s="36">
        <f t="shared" si="14"/>
        <v>0.10758432200757811</v>
      </c>
      <c r="H44" s="50">
        <v>0.1015</v>
      </c>
      <c r="I44" s="1"/>
      <c r="J44" s="1" t="s">
        <v>243</v>
      </c>
    </row>
    <row r="45" ht="15" customHeight="1">
      <c r="A45" s="1"/>
      <c r="B45" s="1" t="s">
        <v>104</v>
      </c>
      <c r="C45" s="51">
        <f>(C44-Inputs!C198/Inputs!C182)*10000</f>
        <v>3.0801731152066414</v>
      </c>
      <c r="D45" s="51">
        <f>(D44-Inputs!D198/Inputs!D182)*10000</f>
        <v>-40.473520986828994</v>
      </c>
      <c r="E45" s="51">
        <f>(E44-Inputs!E198/Inputs!E182)*10000</f>
        <v>-68.3971183953809</v>
      </c>
      <c r="F45" s="51">
        <f>(F44-Inputs!F198/Inputs!F182)*10000</f>
        <v>0.04370672100101336</v>
      </c>
      <c r="G45" s="51">
        <f>(G44-Inputs!G198/Inputs!G182)*10000</f>
        <v>3.8327932266446485</v>
      </c>
      <c r="H45" s="48">
        <f t="shared" si="9"/>
        <v>-30.16434145187985</v>
      </c>
      <c r="I45" s="1"/>
      <c r="J45" s="1"/>
    </row>
    <row r="46" ht="15" customHeight="1">
      <c r="A46" s="1"/>
      <c r="B46" s="1" t="s">
        <v>244</v>
      </c>
      <c r="C46" s="42">
        <v>0</v>
      </c>
      <c r="D46" s="42">
        <v>0</v>
      </c>
      <c r="E46" s="42">
        <v>45</v>
      </c>
      <c r="F46" s="42">
        <v>6</v>
      </c>
      <c r="G46" s="12">
        <f>Inputs!E199+Inputs!F199+C46+D46</f>
        <v>1</v>
      </c>
      <c r="H46" s="43">
        <v>5</v>
      </c>
      <c r="I46" s="1"/>
      <c r="J46" s="1" t="s">
        <v>245</v>
      </c>
    </row>
    <row r="47" ht="15" customHeight="1">
      <c r="A47" s="1"/>
      <c r="B47" s="1" t="s">
        <v>246</v>
      </c>
      <c r="C47" s="42">
        <v>109</v>
      </c>
      <c r="D47" s="42">
        <v>107</v>
      </c>
      <c r="E47" s="42">
        <v>114</v>
      </c>
      <c r="F47" s="42">
        <v>116</v>
      </c>
      <c r="G47" s="12">
        <f>Inputs!E200+Inputs!F200+C47+D47</f>
        <v>438</v>
      </c>
      <c r="H47" s="43">
        <v>117</v>
      </c>
      <c r="I47" s="1"/>
      <c r="J47" s="1" t="s">
        <v>247</v>
      </c>
    </row>
    <row r="48" ht="15" customHeight="1">
      <c r="A48" s="1"/>
      <c r="B48" s="3" t="s">
        <v>248</v>
      </c>
      <c r="C48" s="37">
        <f t="shared" si="15" ref="C48:H48">C27-C43-C46-C47</f>
        <v>1114</v>
      </c>
      <c r="D48" s="37">
        <f t="shared" si="15"/>
        <v>1052</v>
      </c>
      <c r="E48" s="37">
        <f t="shared" si="15"/>
        <v>869</v>
      </c>
      <c r="F48" s="37">
        <f t="shared" si="15"/>
        <v>1138</v>
      </c>
      <c r="G48" s="37">
        <f t="shared" si="15"/>
        <v>3973</v>
      </c>
      <c r="H48" s="38">
        <f t="shared" si="15"/>
        <v>1272.4326886031638</v>
      </c>
      <c r="I48" s="1"/>
      <c r="J48" s="1"/>
    </row>
    <row r="49" ht="15" customHeight="1">
      <c r="A49" s="1"/>
      <c r="B49" s="4" t="s">
        <v>56</v>
      </c>
      <c r="C49" s="34">
        <f>C48/Inputs!C184-1</f>
        <v>-0.007130124777183555</v>
      </c>
      <c r="D49" s="34">
        <f>D48/Inputs!D184-1</f>
        <v>-0.03219871205151792</v>
      </c>
      <c r="E49" s="34">
        <f>E48/Inputs!E184-1</f>
        <v>0.08084577114427871</v>
      </c>
      <c r="F49" s="34">
        <f>F48/Inputs!F184-1</f>
        <v>0.13459621136590227</v>
      </c>
      <c r="G49" s="34">
        <f>G48/Inputs!G184-1</f>
        <v>-0.02263222632226325</v>
      </c>
      <c r="H49" s="35">
        <f t="shared" si="5"/>
        <v>0.14221964865634096</v>
      </c>
      <c r="I49" s="1"/>
      <c r="J49" s="1"/>
    </row>
    <row r="50" ht="15" customHeight="1">
      <c r="A50" s="1"/>
      <c r="B50" s="4" t="s">
        <v>249</v>
      </c>
      <c r="C50" s="36">
        <f t="shared" si="16" ref="C50:H50">C48/C16</f>
        <v>0.2634192480491842</v>
      </c>
      <c r="D50" s="36">
        <f t="shared" si="16"/>
        <v>0.25</v>
      </c>
      <c r="E50" s="36">
        <f t="shared" si="16"/>
        <v>0.21806775407779172</v>
      </c>
      <c r="F50" s="36">
        <f t="shared" si="16"/>
        <v>0.25804988662131517</v>
      </c>
      <c r="G50" s="36">
        <f t="shared" si="16"/>
        <v>0.24678551462823778</v>
      </c>
      <c r="H50" s="35">
        <f t="shared" si="16"/>
        <v>0.27078264333990526</v>
      </c>
      <c r="I50" s="1"/>
      <c r="J50" s="1"/>
    </row>
    <row r="51" ht="15" customHeight="1">
      <c r="A51" s="1"/>
      <c r="B51" s="1" t="s">
        <v>104</v>
      </c>
      <c r="C51" s="51">
        <f>(C50-Inputs!C184/Inputs!C182)*10000</f>
        <v>-176.42876199312764</v>
      </c>
      <c r="D51" s="51">
        <f>(D50-Inputs!D184/Inputs!D182)*10000</f>
        <v>-154.45665445665446</v>
      </c>
      <c r="E51" s="51">
        <f>(E50-Inputs!E184/Inputs!E182)*10000</f>
        <v>18.80606995242645</v>
      </c>
      <c r="F51" s="51">
        <f>(F50-Inputs!F184/Inputs!F182)*10000</f>
        <v>36.75045130064836</v>
      </c>
      <c r="G51" s="51">
        <f>(G50-Inputs!G184/Inputs!G182)*10000</f>
        <v>-181.21621246640018</v>
      </c>
      <c r="H51" s="48">
        <f t="shared" si="9"/>
        <v>73.63395290721053</v>
      </c>
      <c r="I51" s="1"/>
      <c r="J51" s="1"/>
    </row>
    <row r="52" ht="15" customHeight="1">
      <c r="A52" s="1"/>
      <c r="B52" s="1" t="s">
        <v>250</v>
      </c>
      <c r="C52" s="42">
        <v>178</v>
      </c>
      <c r="D52" s="42">
        <v>183</v>
      </c>
      <c r="E52" s="42">
        <v>176</v>
      </c>
      <c r="F52" s="42">
        <v>178</v>
      </c>
      <c r="G52" s="12">
        <f>Inputs!E201+Inputs!F201+C52+D52</f>
        <v>716</v>
      </c>
      <c r="H52" s="43">
        <v>180</v>
      </c>
      <c r="I52" s="1"/>
      <c r="J52" s="1" t="s">
        <v>251</v>
      </c>
    </row>
    <row r="53" ht="15" customHeight="1">
      <c r="A53" s="1"/>
      <c r="B53" s="1" t="s">
        <v>252</v>
      </c>
      <c r="C53" s="42">
        <v>-1</v>
      </c>
      <c r="D53" s="42">
        <v>-5</v>
      </c>
      <c r="E53" s="42">
        <v>-8</v>
      </c>
      <c r="F53" s="42">
        <v>-47</v>
      </c>
      <c r="G53" s="12">
        <f>Inputs!E202+Inputs!F202+C53+D53</f>
        <v>-81</v>
      </c>
      <c r="H53" s="43">
        <v>-3</v>
      </c>
      <c r="I53" s="1"/>
      <c r="J53" s="1" t="s">
        <v>253</v>
      </c>
    </row>
    <row r="54" ht="15" customHeight="1">
      <c r="A54" s="1"/>
      <c r="B54" s="3" t="s">
        <v>254</v>
      </c>
      <c r="C54" s="37">
        <f t="shared" si="17" ref="C54:H54">C48-C52-C53</f>
        <v>937</v>
      </c>
      <c r="D54" s="37">
        <f t="shared" si="17"/>
        <v>874</v>
      </c>
      <c r="E54" s="37">
        <f t="shared" si="17"/>
        <v>701</v>
      </c>
      <c r="F54" s="37">
        <f t="shared" si="17"/>
        <v>1007</v>
      </c>
      <c r="G54" s="37">
        <f t="shared" si="17"/>
        <v>3338</v>
      </c>
      <c r="H54" s="38">
        <f t="shared" si="17"/>
        <v>1095.4326886031638</v>
      </c>
      <c r="I54" s="1"/>
      <c r="J54" s="1"/>
    </row>
    <row r="55" ht="15" customHeight="1">
      <c r="A55" s="1"/>
      <c r="B55" s="4" t="s">
        <v>255</v>
      </c>
      <c r="C55" s="36">
        <f t="shared" si="18" ref="C55:H55">C54/C16</f>
        <v>0.22156538188697092</v>
      </c>
      <c r="D55" s="36">
        <f t="shared" si="18"/>
        <v>0.20769961977186313</v>
      </c>
      <c r="E55" s="36">
        <f t="shared" si="18"/>
        <v>0.17590966122961105</v>
      </c>
      <c r="F55" s="36">
        <f t="shared" si="18"/>
        <v>0.22834467120181406</v>
      </c>
      <c r="G55" s="36">
        <f t="shared" si="18"/>
        <v>0.20734207093608298</v>
      </c>
      <c r="H55" s="35">
        <f t="shared" si="18"/>
        <v>0.23311579596915935</v>
      </c>
      <c r="I55" s="1"/>
      <c r="J55" s="1"/>
    </row>
    <row r="56" ht="15" customHeight="1">
      <c r="A56" s="1"/>
      <c r="B56" s="1" t="s">
        <v>104</v>
      </c>
      <c r="C56" s="51">
        <f>(C55-Inputs!C185/Inputs!C182)*10000</f>
        <v>-161.6006901483269</v>
      </c>
      <c r="D56" s="51">
        <f>(D55-Inputs!D185/Inputs!D182)*10000</f>
        <v>-142.78402206158836</v>
      </c>
      <c r="E56" s="51">
        <f>(E55-Inputs!E185/Inputs!E182)*10000</f>
        <v>-90.86305428092633</v>
      </c>
      <c r="F56" s="51">
        <f>(F55-Inputs!F185/Inputs!F182)*10000</f>
        <v>155.62525627378366</v>
      </c>
      <c r="G56" s="51">
        <f>(G55-Inputs!G185/Inputs!G182)*10000</f>
        <v>-134.4645952986684</v>
      </c>
      <c r="H56" s="48">
        <f t="shared" si="9"/>
        <v>115.50414082188432</v>
      </c>
      <c r="I56" s="1"/>
      <c r="J56" s="1"/>
    </row>
    <row r="57" ht="15" customHeight="1">
      <c r="A57" s="1"/>
      <c r="B57" s="1" t="s">
        <v>256</v>
      </c>
      <c r="C57" s="42">
        <v>236</v>
      </c>
      <c r="D57" s="42">
        <v>221</v>
      </c>
      <c r="E57" s="42">
        <v>170</v>
      </c>
      <c r="F57" s="42">
        <v>254</v>
      </c>
      <c r="G57" s="12">
        <f>Inputs!E203+Inputs!F203+C57+D57</f>
        <v>844</v>
      </c>
      <c r="H57" s="41">
        <f>H54*H58</f>
        <v>273.85817215079095</v>
      </c>
      <c r="I57" s="1"/>
      <c r="J57" s="1"/>
    </row>
    <row r="58" ht="15" customHeight="1">
      <c r="A58" s="1"/>
      <c r="B58" s="4" t="s">
        <v>257</v>
      </c>
      <c r="C58" s="36">
        <f t="shared" si="19" ref="C58:G58">C57/C54</f>
        <v>0.2518676627534685</v>
      </c>
      <c r="D58" s="36">
        <f t="shared" si="19"/>
        <v>0.2528604118993135</v>
      </c>
      <c r="E58" s="36">
        <f t="shared" si="19"/>
        <v>0.24251069900142652</v>
      </c>
      <c r="F58" s="36">
        <f t="shared" si="19"/>
        <v>0.2522343594836147</v>
      </c>
      <c r="G58" s="36">
        <f t="shared" si="19"/>
        <v>0.25284601557819053</v>
      </c>
      <c r="H58" s="50">
        <v>0.25</v>
      </c>
      <c r="I58" s="1"/>
      <c r="J58" s="1" t="s">
        <v>258</v>
      </c>
    </row>
    <row r="59" ht="15" customHeight="1">
      <c r="A59" s="1"/>
      <c r="B59" s="1" t="s">
        <v>104</v>
      </c>
      <c r="C59" s="51">
        <f>(C58-Inputs!C203/Inputs!C185)*10000</f>
        <v>-20.83865170662169</v>
      </c>
      <c r="D59" s="51">
        <f>(D58-Inputs!D203/Inputs!D185)*10000</f>
        <v>108.3620947907149</v>
      </c>
      <c r="E59" s="51">
        <f>(E58-Inputs!E203/Inputs!E185)*10000</f>
        <v>-45.823242543874265</v>
      </c>
      <c r="F59" s="51">
        <f>(F58-Inputs!F203/Inputs!F185)*10000</f>
        <v>-64.06880087303057</v>
      </c>
      <c r="G59" s="51">
        <f>(G58-Inputs!G203/Inputs!G185)*10000</f>
        <v>128.81434704518745</v>
      </c>
      <c r="H59" s="48">
        <f t="shared" si="9"/>
        <v>-18.676627534685018</v>
      </c>
      <c r="I59" s="1"/>
      <c r="J59" s="1"/>
    </row>
    <row r="60" ht="15" customHeight="1">
      <c r="A60" s="1"/>
      <c r="B60" s="3" t="s">
        <v>259</v>
      </c>
      <c r="C60" s="37">
        <f t="shared" si="20" ref="C60:H60">C54-C57</f>
        <v>701</v>
      </c>
      <c r="D60" s="37">
        <f t="shared" si="20"/>
        <v>653</v>
      </c>
      <c r="E60" s="37">
        <f t="shared" si="20"/>
        <v>531</v>
      </c>
      <c r="F60" s="37">
        <f t="shared" si="20"/>
        <v>753</v>
      </c>
      <c r="G60" s="37">
        <f t="shared" si="20"/>
        <v>2494</v>
      </c>
      <c r="H60" s="38">
        <f t="shared" si="20"/>
        <v>821.5745164523728</v>
      </c>
      <c r="I60" s="1"/>
      <c r="J60" s="1"/>
    </row>
    <row r="61" ht="15" customHeight="1">
      <c r="A61" s="1"/>
      <c r="B61" s="4" t="s">
        <v>56</v>
      </c>
      <c r="C61" s="34">
        <f>C60/Inputs!C186-1</f>
        <v>-0.009887005649717562</v>
      </c>
      <c r="D61" s="34">
        <f>D60/Inputs!D186-1</f>
        <v>-0.05224963715529751</v>
      </c>
      <c r="E61" s="34">
        <f>E60/Inputs!E186-1</f>
        <v>0.025096525096525157</v>
      </c>
      <c r="F61" s="34">
        <f>F60/Inputs!F186-1</f>
        <v>0.21061093247588425</v>
      </c>
      <c r="G61" s="34">
        <f>G60/Inputs!G186-1</f>
        <v>-0.03145631067961163</v>
      </c>
      <c r="H61" s="35">
        <f t="shared" si="5"/>
        <v>0.17200358980367025</v>
      </c>
      <c r="I61" s="1"/>
      <c r="J61" s="1"/>
    </row>
    <row r="62" ht="15" customHeight="1">
      <c r="A62" s="1"/>
      <c r="B62" s="4" t="s">
        <v>260</v>
      </c>
      <c r="C62" s="36">
        <f t="shared" si="21" ref="C62:H62">C60/C16</f>
        <v>0.16576022700401985</v>
      </c>
      <c r="D62" s="36">
        <f t="shared" si="21"/>
        <v>0.155180608365019</v>
      </c>
      <c r="E62" s="36">
        <f t="shared" si="21"/>
        <v>0.13324968632371392</v>
      </c>
      <c r="F62" s="36">
        <f t="shared" si="21"/>
        <v>0.1707482993197279</v>
      </c>
      <c r="G62" s="36">
        <f t="shared" si="21"/>
        <v>0.15491645443816385</v>
      </c>
      <c r="H62" s="35">
        <f t="shared" si="21"/>
        <v>0.17483684697686952</v>
      </c>
      <c r="I62" s="1"/>
      <c r="J62" s="1"/>
    </row>
    <row r="63" ht="15" customHeight="1">
      <c r="A63" s="1"/>
      <c r="B63" s="1" t="s">
        <v>104</v>
      </c>
      <c r="C63" s="51">
        <f>(C62-Inputs!C186/Inputs!C182)*10000</f>
        <v>-115.94482414817836</v>
      </c>
      <c r="D63" s="51">
        <f>(D62-Inputs!D186/Inputs!D182)*10000</f>
        <v>-130.73359888949255</v>
      </c>
      <c r="E63" s="51">
        <f>(E62-Inputs!E186/Inputs!E182)*10000</f>
        <v>-60.35067642405995</v>
      </c>
      <c r="F63" s="51">
        <f>(F62-Inputs!F186/Inputs!F182)*10000</f>
        <v>130.00391635223707</v>
      </c>
      <c r="G63" s="51">
        <f>(G62-Inputs!G186/Inputs!G182)*10000</f>
        <v>-128.9064885281041</v>
      </c>
      <c r="H63" s="48">
        <f t="shared" si="9"/>
        <v>90.7661997284967</v>
      </c>
      <c r="I63" s="1"/>
      <c r="J63" s="1"/>
    </row>
    <row r="64" ht="15" customHeight="1">
      <c r="A64" s="1"/>
      <c r="B64" s="31" t="s">
        <v>261</v>
      </c>
      <c r="C64" s="1"/>
      <c r="D64" s="1"/>
      <c r="E64" s="1"/>
      <c r="F64" s="1"/>
      <c r="G64" s="1"/>
      <c r="H64" s="32"/>
      <c r="I64" s="1"/>
      <c r="J64" s="1"/>
    </row>
    <row r="65" ht="15" customHeight="1">
      <c r="A65" s="1"/>
      <c r="B65" s="1" t="s">
        <v>262</v>
      </c>
      <c r="C65" s="12">
        <f>'Share Count'!C11</f>
        <v>64.2</v>
      </c>
      <c r="D65" s="12">
        <f>'Share Count'!D11</f>
        <v>63.4</v>
      </c>
      <c r="E65" s="12">
        <f>'Share Count'!E11</f>
        <v>62.9</v>
      </c>
      <c r="F65" s="12">
        <f>'Share Count'!F11</f>
        <v>62.6</v>
      </c>
      <c r="G65" s="12">
        <f>'Share Count'!G11</f>
        <v>64.4</v>
      </c>
      <c r="H65" s="33">
        <f>'Share Count'!H11</f>
        <v>62.06391757142857</v>
      </c>
      <c r="I65" s="1"/>
      <c r="J65" s="1"/>
    </row>
    <row r="66" ht="15" customHeight="1">
      <c r="A66" s="1"/>
      <c r="B66" s="1" t="s">
        <v>263</v>
      </c>
      <c r="C66" s="12">
        <f>'Share Count'!C15</f>
        <v>64.3</v>
      </c>
      <c r="D66" s="12">
        <f>'Share Count'!D15</f>
        <v>63.6</v>
      </c>
      <c r="E66" s="12">
        <f>'Share Count'!E15</f>
        <v>63</v>
      </c>
      <c r="F66" s="12">
        <f>'Share Count'!F15</f>
        <v>62.6</v>
      </c>
      <c r="G66" s="12">
        <f>'Share Count'!G15</f>
        <v>64.6</v>
      </c>
      <c r="H66" s="33">
        <f>'Share Count'!H15</f>
        <v>62.113917571428566</v>
      </c>
      <c r="I66" s="1"/>
      <c r="J66" s="1"/>
    </row>
    <row r="67" ht="15" customHeight="1">
      <c r="A67" s="1"/>
      <c r="B67" s="3" t="s">
        <v>264</v>
      </c>
      <c r="C67" s="58">
        <v>10.91</v>
      </c>
      <c r="D67" s="58">
        <v>10.27</v>
      </c>
      <c r="E67" s="58">
        <v>8.43</v>
      </c>
      <c r="F67" s="58">
        <v>12.03</v>
      </c>
      <c r="G67" s="58">
        <v>38.61</v>
      </c>
      <c r="H67" s="59">
        <f>H60/H66</f>
        <v>13.226899036075038</v>
      </c>
      <c r="I67" s="1"/>
      <c r="J67" s="1"/>
    </row>
    <row r="68" ht="15" customHeight="1">
      <c r="A68" s="1"/>
      <c r="B68" s="4" t="s">
        <v>56</v>
      </c>
      <c r="C68" s="34">
        <f>C67/Inputs!C187-1</f>
        <v>0.01962616822429908</v>
      </c>
      <c r="D68" s="34">
        <f>D67/Inputs!D187-1</f>
        <v>-0.0191021967526267</v>
      </c>
      <c r="E68" s="34">
        <f>E67/Inputs!E187-1</f>
        <v>0.06573957016434884</v>
      </c>
      <c r="F68" s="34">
        <f>F67/Inputs!F187-1</f>
        <v>0.25443169968717405</v>
      </c>
      <c r="G68" s="34">
        <f>G67/Inputs!G187-1</f>
        <v>-0.002067717756526144</v>
      </c>
      <c r="H68" s="35">
        <f t="shared" si="5"/>
        <v>0.2123647145806633</v>
      </c>
      <c r="I68" s="1"/>
      <c r="J68" s="1"/>
    </row>
    <row r="69" ht="15" customHeight="1">
      <c r="A69" s="1"/>
      <c r="B69" s="4" t="s">
        <v>265</v>
      </c>
      <c r="C69" s="60">
        <f t="shared" si="22" ref="C69:H69">C60/C66</f>
        <v>10.902021772939348</v>
      </c>
      <c r="D69" s="60">
        <f t="shared" si="22"/>
        <v>10.267295597484276</v>
      </c>
      <c r="E69" s="60">
        <f t="shared" si="22"/>
        <v>8.428571428571429</v>
      </c>
      <c r="F69" s="60">
        <f t="shared" si="22"/>
        <v>12.028753993610223</v>
      </c>
      <c r="G69" s="60">
        <f t="shared" si="22"/>
        <v>38.60681114551084</v>
      </c>
      <c r="H69" s="61">
        <f t="shared" si="22"/>
        <v>13.226899036075038</v>
      </c>
      <c r="I69" s="1"/>
      <c r="J69" s="1"/>
    </row>
    <row r="70" ht="15" customHeight="1">
      <c r="A70" s="1"/>
      <c r="B70" s="1" t="s">
        <v>266</v>
      </c>
      <c r="C70" s="27" t="b">
        <f t="shared" si="23" ref="C70:H70">ABS(C67-C69)&lt;0.03</f>
        <v>1</v>
      </c>
      <c r="D70" s="27" t="b">
        <f t="shared" si="23"/>
        <v>1</v>
      </c>
      <c r="E70" s="27" t="b">
        <f t="shared" si="23"/>
        <v>1</v>
      </c>
      <c r="F70" s="27" t="b">
        <f t="shared" si="23"/>
        <v>1</v>
      </c>
      <c r="G70" s="27" t="b">
        <f t="shared" si="23"/>
        <v>1</v>
      </c>
      <c r="H70" s="39" t="b">
        <f t="shared" si="23"/>
        <v>1</v>
      </c>
      <c r="I70" s="1"/>
      <c r="J70" s="1"/>
    </row>
    <row r="71" ht="15" customHeight="1">
      <c r="A71" s="1"/>
      <c r="B71" s="1" t="s">
        <v>267</v>
      </c>
      <c r="C71" s="17">
        <f>'Share Count'!C34</f>
        <v>1.79</v>
      </c>
      <c r="D71" s="17">
        <f>'Share Count'!D34</f>
        <v>1.79</v>
      </c>
      <c r="E71" s="17">
        <f>'Share Count'!E34</f>
        <v>1.97</v>
      </c>
      <c r="F71" s="17">
        <f>'Share Count'!F34</f>
        <v>1.97</v>
      </c>
      <c r="G71" s="17">
        <f>'Share Count'!G34</f>
        <v>7.16</v>
      </c>
      <c r="H71" s="62">
        <f>'Share Count'!H34</f>
        <v>1.97</v>
      </c>
      <c r="I71" s="1"/>
      <c r="J71" s="1"/>
    </row>
    <row r="72" ht="15" customHeight="1">
      <c r="A72" s="1"/>
      <c r="B72" s="1"/>
      <c r="C72" s="1"/>
      <c r="D72" s="1"/>
      <c r="E72" s="1"/>
      <c r="F72" s="1"/>
      <c r="G72" s="1"/>
      <c r="H72" s="32"/>
      <c r="I72" s="1"/>
      <c r="J72" s="1"/>
    </row>
    <row r="73" ht="15" customHeight="1">
      <c r="A73" s="1"/>
      <c r="B73" s="31" t="s">
        <v>268</v>
      </c>
      <c r="C73" s="1"/>
      <c r="D73" s="1"/>
      <c r="E73" s="1"/>
      <c r="F73" s="1"/>
      <c r="G73" s="1"/>
      <c r="H73" s="32"/>
      <c r="I73" s="1"/>
      <c r="J73" s="1"/>
    </row>
    <row r="74" ht="15" customHeight="1">
      <c r="A74" s="1"/>
      <c r="B74" s="1" t="s">
        <v>264</v>
      </c>
      <c r="C74" s="18">
        <f t="shared" si="24" ref="C74:H74">C67</f>
        <v>10.91</v>
      </c>
      <c r="D74" s="18">
        <f t="shared" si="24"/>
        <v>10.27</v>
      </c>
      <c r="E74" s="18">
        <f t="shared" si="24"/>
        <v>8.43</v>
      </c>
      <c r="F74" s="18">
        <f t="shared" si="24"/>
        <v>12.03</v>
      </c>
      <c r="G74" s="18">
        <f t="shared" si="24"/>
        <v>38.61</v>
      </c>
      <c r="H74" s="63">
        <f t="shared" si="24"/>
        <v>13.226899036075038</v>
      </c>
      <c r="I74" s="1"/>
      <c r="J74" s="1"/>
    </row>
    <row r="75" ht="15" customHeight="1">
      <c r="A75" s="1"/>
      <c r="B75" s="1" t="s">
        <v>269</v>
      </c>
      <c r="C75" s="64">
        <v>0.45</v>
      </c>
      <c r="D75" s="64">
        <v>0.44</v>
      </c>
      <c r="E75" s="64">
        <v>0.43</v>
      </c>
      <c r="F75" s="64">
        <v>0.39</v>
      </c>
      <c r="G75" s="64">
        <v>1.89</v>
      </c>
      <c r="H75" s="63">
        <f>H87*(1-H93)/H66</f>
        <v>0.3858716522337806</v>
      </c>
      <c r="I75" s="1"/>
      <c r="J75" s="1"/>
    </row>
    <row r="76" ht="15" customHeight="1">
      <c r="A76" s="1"/>
      <c r="B76" s="1" t="s">
        <v>270</v>
      </c>
      <c r="C76" s="64">
        <v>0.27</v>
      </c>
      <c r="D76" s="64">
        <v>0.26</v>
      </c>
      <c r="E76" s="64">
        <v>0.25</v>
      </c>
      <c r="F76" s="64">
        <v>0.22</v>
      </c>
      <c r="G76" s="64">
        <v>1.11</v>
      </c>
      <c r="H76" s="63">
        <f>H88*(1-H93)/H66</f>
        <v>0.20499431524919598</v>
      </c>
      <c r="I76" s="1"/>
      <c r="J76" s="1"/>
    </row>
    <row r="77" ht="15" customHeight="1">
      <c r="A77" s="1"/>
      <c r="B77" s="1" t="s">
        <v>271</v>
      </c>
      <c r="C77" s="64">
        <v>0.07</v>
      </c>
      <c r="D77" s="64">
        <v>0.09</v>
      </c>
      <c r="E77" s="64">
        <v>0.07</v>
      </c>
      <c r="F77" s="64">
        <v>0.03</v>
      </c>
      <c r="G77" s="64">
        <v>0.36</v>
      </c>
      <c r="H77" s="63">
        <f>H89*(1-H93)/H66</f>
        <v>0.03617546739691693</v>
      </c>
      <c r="I77" s="1"/>
      <c r="J77" s="1"/>
    </row>
    <row r="78" ht="15" customHeight="1">
      <c r="A78" s="1"/>
      <c r="B78" s="1" t="s">
        <v>272</v>
      </c>
      <c r="C78" s="64">
        <v>-0.01</v>
      </c>
      <c r="D78" s="64">
        <v>0</v>
      </c>
      <c r="E78" s="64">
        <v>0.53</v>
      </c>
      <c r="F78" s="64">
        <v>0.07</v>
      </c>
      <c r="G78" s="64">
        <v>0.01</v>
      </c>
      <c r="H78" s="63">
        <f>H90*(1-H93)/H66</f>
        <v>0.06029244566152823</v>
      </c>
      <c r="I78" s="1"/>
      <c r="J78" s="1"/>
    </row>
    <row r="79" ht="15" customHeight="1">
      <c r="A79" s="1"/>
      <c r="B79" s="1" t="s">
        <v>273</v>
      </c>
      <c r="C79" s="64">
        <v>0</v>
      </c>
      <c r="D79" s="64">
        <v>0.02</v>
      </c>
      <c r="E79" s="64">
        <v>0</v>
      </c>
      <c r="F79" s="64">
        <v>0.02</v>
      </c>
      <c r="G79" s="64">
        <v>0.06</v>
      </c>
      <c r="H79" s="63">
        <f>H91*(1-H93)/H66</f>
        <v>0.012058489132305644</v>
      </c>
      <c r="I79" s="1"/>
      <c r="J79" s="1"/>
    </row>
    <row r="80" ht="15" customHeight="1">
      <c r="A80" s="1"/>
      <c r="B80" s="1" t="s">
        <v>274</v>
      </c>
      <c r="C80" s="64">
        <v>0.01</v>
      </c>
      <c r="D80" s="64">
        <v>0.01</v>
      </c>
      <c r="E80" s="64">
        <v>0</v>
      </c>
      <c r="F80" s="64">
        <v>0</v>
      </c>
      <c r="G80" s="64">
        <v>0.02</v>
      </c>
      <c r="H80" s="63">
        <f>H92*(1-H93)/H66</f>
        <v>0</v>
      </c>
      <c r="I80" s="1"/>
      <c r="J80" s="1"/>
    </row>
    <row r="81" ht="15" customHeight="1">
      <c r="A81" s="1"/>
      <c r="B81" s="3" t="s">
        <v>275</v>
      </c>
      <c r="C81" s="65">
        <f t="shared" si="25" ref="C81:H81">C74+C75+C76+C77+C78+C79+C80</f>
        <v>11.7</v>
      </c>
      <c r="D81" s="65">
        <f t="shared" si="25"/>
        <v>11.089999999999998</v>
      </c>
      <c r="E81" s="65">
        <f t="shared" si="25"/>
        <v>9.709999999999999</v>
      </c>
      <c r="F81" s="65">
        <f t="shared" si="25"/>
        <v>12.76</v>
      </c>
      <c r="G81" s="65">
        <f t="shared" si="25"/>
        <v>42.06</v>
      </c>
      <c r="H81" s="59">
        <f t="shared" si="25"/>
        <v>13.926291405748765</v>
      </c>
      <c r="I81" s="1"/>
      <c r="J81" s="1"/>
    </row>
    <row r="82" ht="15" customHeight="1">
      <c r="A82" s="1"/>
      <c r="B82" s="4" t="s">
        <v>56</v>
      </c>
      <c r="C82" s="34">
        <f>C81/Inputs!C188-1</f>
        <v>-0.008474576271186529</v>
      </c>
      <c r="D82" s="34">
        <f>D81/Inputs!D188-1</f>
        <v>-0.04314063848144967</v>
      </c>
      <c r="E82" s="34">
        <f>E81/Inputs!E188-1</f>
        <v>0.09593679458239279</v>
      </c>
      <c r="F82" s="34">
        <f>F81/Inputs!F188-1</f>
        <v>0.21872015281757395</v>
      </c>
      <c r="G82" s="34">
        <f>G81/Inputs!G188-1</f>
        <v>-0.025712300208478145</v>
      </c>
      <c r="H82" s="35">
        <f t="shared" si="5"/>
        <v>0.19028131673066384</v>
      </c>
      <c r="I82" s="1"/>
      <c r="J82" s="1"/>
    </row>
    <row r="83" ht="15" customHeight="1">
      <c r="A83" s="1"/>
      <c r="B83" s="1" t="s">
        <v>276</v>
      </c>
      <c r="C83" s="64">
        <v>11.7</v>
      </c>
      <c r="D83" s="64">
        <v>11.09</v>
      </c>
      <c r="E83" s="64">
        <v>9.71</v>
      </c>
      <c r="F83" s="64">
        <v>12.76</v>
      </c>
      <c r="G83" s="64">
        <v>42.06</v>
      </c>
      <c r="H83" s="63" t="s">
        <v>33</v>
      </c>
      <c r="I83" s="1"/>
      <c r="J83" s="1"/>
    </row>
    <row r="84" ht="15" customHeight="1">
      <c r="A84" s="1"/>
      <c r="B84" s="1" t="s">
        <v>277</v>
      </c>
      <c r="C84" s="27" t="b">
        <f t="shared" si="26" ref="C84:G84">ABS(C81-C83)&lt;0.005</f>
        <v>1</v>
      </c>
      <c r="D84" s="27" t="b">
        <f t="shared" si="26"/>
        <v>1</v>
      </c>
      <c r="E84" s="27" t="b">
        <f t="shared" si="26"/>
        <v>1</v>
      </c>
      <c r="F84" s="27" t="b">
        <f t="shared" si="26"/>
        <v>1</v>
      </c>
      <c r="G84" s="27" t="b">
        <f t="shared" si="26"/>
        <v>1</v>
      </c>
      <c r="H84" s="39" t="b">
        <f>ABS(H81-H95/H66)&lt;0.0001</f>
        <v>1</v>
      </c>
      <c r="I84" s="1"/>
      <c r="J84" s="1" t="s">
        <v>278</v>
      </c>
    </row>
    <row r="85" ht="15" customHeight="1">
      <c r="A85" s="1"/>
      <c r="B85" s="1" t="s">
        <v>279</v>
      </c>
      <c r="C85" s="64">
        <v>0</v>
      </c>
      <c r="D85" s="64">
        <v>0</v>
      </c>
      <c r="E85" s="64">
        <v>0</v>
      </c>
      <c r="F85" s="64">
        <v>0.58</v>
      </c>
      <c r="G85" s="64">
        <v>0</v>
      </c>
      <c r="H85" s="66">
        <v>0</v>
      </c>
      <c r="I85" s="1"/>
      <c r="J85" s="1"/>
    </row>
    <row r="86" ht="15" customHeight="1">
      <c r="A86" s="1"/>
      <c r="B86" s="31" t="s">
        <v>280</v>
      </c>
      <c r="C86" s="1"/>
      <c r="D86" s="1"/>
      <c r="E86" s="1"/>
      <c r="F86" s="1"/>
      <c r="G86" s="1"/>
      <c r="H86" s="32"/>
      <c r="I86" s="1"/>
      <c r="J86" s="1"/>
    </row>
    <row r="87" ht="15" customHeight="1">
      <c r="A87" s="1"/>
      <c r="B87" s="1" t="s">
        <v>281</v>
      </c>
      <c r="C87" s="15">
        <f t="shared" si="27" ref="C87:G87">C75*C66/(1-C93)</f>
        <v>38.6831550802139</v>
      </c>
      <c r="D87" s="15">
        <f t="shared" si="27"/>
        <v>37.36181575433912</v>
      </c>
      <c r="E87" s="15">
        <f t="shared" si="27"/>
        <v>36.12</v>
      </c>
      <c r="F87" s="15">
        <f t="shared" si="27"/>
        <v>32.5954606141522</v>
      </c>
      <c r="G87" s="15">
        <f t="shared" si="27"/>
        <v>163.2272727272727</v>
      </c>
      <c r="H87" s="43">
        <v>32</v>
      </c>
      <c r="I87" s="1"/>
      <c r="J87" s="1" t="s">
        <v>282</v>
      </c>
    </row>
    <row r="88" ht="15" customHeight="1">
      <c r="A88" s="1"/>
      <c r="B88" s="1" t="s">
        <v>283</v>
      </c>
      <c r="C88" s="15">
        <f t="shared" si="28" ref="C88:G88">C76*C66/(1-C93)</f>
        <v>23.209893048128343</v>
      </c>
      <c r="D88" s="15">
        <f t="shared" si="28"/>
        <v>22.07743658210948</v>
      </c>
      <c r="E88" s="15">
        <f t="shared" si="28"/>
        <v>21</v>
      </c>
      <c r="F88" s="15">
        <f t="shared" si="28"/>
        <v>18.3871829105474</v>
      </c>
      <c r="G88" s="15">
        <f t="shared" si="28"/>
        <v>95.86363636363637</v>
      </c>
      <c r="H88" s="43">
        <v>17</v>
      </c>
      <c r="I88" s="1"/>
      <c r="J88" s="1" t="s">
        <v>284</v>
      </c>
    </row>
    <row r="89" ht="15" customHeight="1">
      <c r="A89" s="1"/>
      <c r="B89" s="1" t="s">
        <v>285</v>
      </c>
      <c r="C89" s="15">
        <f t="shared" si="29" ref="C89:G89">C77*C66/(1-C93)</f>
        <v>6.017379679144385</v>
      </c>
      <c r="D89" s="15">
        <f t="shared" si="29"/>
        <v>7.64218958611482</v>
      </c>
      <c r="E89" s="15">
        <f t="shared" si="29"/>
        <v>5.88</v>
      </c>
      <c r="F89" s="15">
        <f t="shared" si="29"/>
        <v>2.507343124165554</v>
      </c>
      <c r="G89" s="15">
        <f t="shared" si="29"/>
        <v>31.090909090909086</v>
      </c>
      <c r="H89" s="41">
        <f>H107</f>
        <v>3</v>
      </c>
      <c r="I89" s="1"/>
      <c r="J89" s="1" t="s">
        <v>286</v>
      </c>
    </row>
    <row r="90" ht="15" customHeight="1">
      <c r="A90" s="1"/>
      <c r="B90" s="1" t="s">
        <v>287</v>
      </c>
      <c r="C90" s="15">
        <f t="shared" si="30" ref="C90:G90">C78*C66/(1-C93)</f>
        <v>-0.8596256684491979</v>
      </c>
      <c r="D90" s="15">
        <f t="shared" si="30"/>
        <v>0</v>
      </c>
      <c r="E90" s="15">
        <f t="shared" si="30"/>
        <v>44.52</v>
      </c>
      <c r="F90" s="15">
        <f t="shared" si="30"/>
        <v>5.850467289719627</v>
      </c>
      <c r="G90" s="15">
        <f t="shared" si="30"/>
        <v>0.8636363636363635</v>
      </c>
      <c r="H90" s="41">
        <f>H46</f>
        <v>5</v>
      </c>
      <c r="I90" s="1"/>
      <c r="J90" s="1" t="s">
        <v>288</v>
      </c>
    </row>
    <row r="91" ht="15" customHeight="1">
      <c r="A91" s="1"/>
      <c r="B91" s="1" t="s">
        <v>289</v>
      </c>
      <c r="C91" s="15">
        <f t="shared" si="31" ref="C91:G91">C79*C66/(1-C93)</f>
        <v>0</v>
      </c>
      <c r="D91" s="15">
        <f t="shared" si="31"/>
        <v>1.6982643524699599</v>
      </c>
      <c r="E91" s="15">
        <f t="shared" si="31"/>
        <v>0</v>
      </c>
      <c r="F91" s="15">
        <f t="shared" si="31"/>
        <v>1.671562082777036</v>
      </c>
      <c r="G91" s="15">
        <f t="shared" si="31"/>
        <v>5.181818181818181</v>
      </c>
      <c r="H91" s="43">
        <v>1</v>
      </c>
      <c r="I91" s="1"/>
      <c r="J91" s="1" t="s">
        <v>290</v>
      </c>
    </row>
    <row r="92" ht="15" customHeight="1">
      <c r="A92" s="1"/>
      <c r="B92" s="1" t="s">
        <v>291</v>
      </c>
      <c r="C92" s="15">
        <f t="shared" si="32" ref="C92:G92">C80*C66/(1-C93)</f>
        <v>0.8596256684491979</v>
      </c>
      <c r="D92" s="15">
        <f t="shared" si="32"/>
        <v>0.8491321762349799</v>
      </c>
      <c r="E92" s="15">
        <f t="shared" si="32"/>
        <v>0</v>
      </c>
      <c r="F92" s="15">
        <f t="shared" si="32"/>
        <v>0</v>
      </c>
      <c r="G92" s="15">
        <f t="shared" si="32"/>
        <v>1.727272727272727</v>
      </c>
      <c r="H92" s="43">
        <v>0</v>
      </c>
      <c r="I92" s="1"/>
      <c r="J92" s="1" t="s">
        <v>292</v>
      </c>
    </row>
    <row r="93" ht="15" customHeight="1">
      <c r="A93" s="1"/>
      <c r="B93" s="4" t="s">
        <v>293</v>
      </c>
      <c r="C93" s="55">
        <v>0.252</v>
      </c>
      <c r="D93" s="55">
        <v>0.251</v>
      </c>
      <c r="E93" s="55">
        <v>0.25</v>
      </c>
      <c r="F93" s="55">
        <v>0.251</v>
      </c>
      <c r="G93" s="55">
        <v>0.252</v>
      </c>
      <c r="H93" s="50">
        <v>0.251</v>
      </c>
      <c r="I93" s="1"/>
      <c r="J93" s="1"/>
    </row>
    <row r="94" ht="15" customHeight="1">
      <c r="A94" s="1"/>
      <c r="B94" s="1" t="s">
        <v>294</v>
      </c>
      <c r="C94" s="15">
        <f t="shared" si="33" ref="C94:H94">(C87+C88+C89+C90+C91+C92)*(1-C93)</f>
        <v>50.797</v>
      </c>
      <c r="D94" s="15">
        <f t="shared" si="33"/>
        <v>52.15200000000001</v>
      </c>
      <c r="E94" s="15">
        <f t="shared" si="33"/>
        <v>80.64000000000001</v>
      </c>
      <c r="F94" s="15">
        <f t="shared" si="33"/>
        <v>45.69799999999999</v>
      </c>
      <c r="G94" s="15">
        <f t="shared" si="33"/>
        <v>222.86999999999998</v>
      </c>
      <c r="H94" s="41">
        <f t="shared" si="33"/>
        <v>43.442</v>
      </c>
      <c r="I94" s="1"/>
      <c r="J94" s="1"/>
    </row>
    <row r="95" ht="15" customHeight="1">
      <c r="A95" s="1"/>
      <c r="B95" s="3" t="s">
        <v>295</v>
      </c>
      <c r="C95" s="37">
        <f t="shared" si="34" ref="C95:H95">C60+C94</f>
        <v>751.797</v>
      </c>
      <c r="D95" s="37">
        <f t="shared" si="34"/>
        <v>705.152</v>
      </c>
      <c r="E95" s="37">
        <f t="shared" si="34"/>
        <v>611.64</v>
      </c>
      <c r="F95" s="37">
        <f t="shared" si="34"/>
        <v>798.698</v>
      </c>
      <c r="G95" s="37">
        <f t="shared" si="34"/>
        <v>2716.87</v>
      </c>
      <c r="H95" s="38">
        <f t="shared" si="34"/>
        <v>865.0165164523728</v>
      </c>
      <c r="I95" s="1"/>
      <c r="J95" s="1"/>
    </row>
    <row r="96" ht="15" customHeight="1">
      <c r="A96" s="1"/>
      <c r="B96" s="3" t="s">
        <v>296</v>
      </c>
      <c r="C96" s="20">
        <f t="shared" si="35" ref="C96:H96">C81</f>
        <v>11.7</v>
      </c>
      <c r="D96" s="20">
        <f t="shared" si="35"/>
        <v>11.089999999999998</v>
      </c>
      <c r="E96" s="20">
        <f t="shared" si="35"/>
        <v>9.709999999999999</v>
      </c>
      <c r="F96" s="20">
        <f t="shared" si="35"/>
        <v>12.76</v>
      </c>
      <c r="G96" s="20">
        <f t="shared" si="35"/>
        <v>42.06</v>
      </c>
      <c r="H96" s="67">
        <f t="shared" si="35"/>
        <v>13.926291405748765</v>
      </c>
      <c r="I96" s="1"/>
      <c r="J96" s="1"/>
    </row>
    <row r="97" ht="15" customHeight="1">
      <c r="A97" s="1"/>
      <c r="B97" s="1"/>
      <c r="C97" s="1"/>
      <c r="D97" s="1"/>
      <c r="E97" s="1"/>
      <c r="F97" s="1"/>
      <c r="G97" s="1"/>
      <c r="H97" s="32"/>
      <c r="I97" s="1"/>
      <c r="J97" s="1"/>
    </row>
    <row r="98" ht="15" customHeight="1">
      <c r="A98" s="1"/>
      <c r="B98" s="31" t="s">
        <v>297</v>
      </c>
      <c r="C98" s="1"/>
      <c r="D98" s="1"/>
      <c r="E98" s="1"/>
      <c r="F98" s="1"/>
      <c r="G98" s="1"/>
      <c r="H98" s="32"/>
      <c r="I98" s="1"/>
      <c r="J98" s="1"/>
    </row>
    <row r="99" ht="15" customHeight="1">
      <c r="A99" s="1"/>
      <c r="B99" s="1" t="s">
        <v>298</v>
      </c>
      <c r="C99" s="15">
        <f t="shared" si="36" ref="C99:H99">C60</f>
        <v>701</v>
      </c>
      <c r="D99" s="15">
        <f t="shared" si="36"/>
        <v>653</v>
      </c>
      <c r="E99" s="15">
        <f t="shared" si="36"/>
        <v>531</v>
      </c>
      <c r="F99" s="15">
        <f t="shared" si="36"/>
        <v>753</v>
      </c>
      <c r="G99" s="15">
        <f t="shared" si="36"/>
        <v>2494</v>
      </c>
      <c r="H99" s="41">
        <f t="shared" si="36"/>
        <v>821.5745164523728</v>
      </c>
      <c r="I99" s="1"/>
      <c r="J99" s="1"/>
    </row>
    <row r="100" ht="15" customHeight="1">
      <c r="A100" s="1"/>
      <c r="B100" s="1" t="s">
        <v>299</v>
      </c>
      <c r="C100" s="15">
        <f t="shared" si="37" ref="C100:H100">C57</f>
        <v>236</v>
      </c>
      <c r="D100" s="15">
        <f t="shared" si="37"/>
        <v>221</v>
      </c>
      <c r="E100" s="15">
        <f t="shared" si="37"/>
        <v>170</v>
      </c>
      <c r="F100" s="15">
        <f t="shared" si="37"/>
        <v>254</v>
      </c>
      <c r="G100" s="15">
        <f t="shared" si="37"/>
        <v>844</v>
      </c>
      <c r="H100" s="41">
        <f t="shared" si="37"/>
        <v>273.85817215079095</v>
      </c>
      <c r="I100" s="1"/>
      <c r="J100" s="1"/>
    </row>
    <row r="101" ht="15" customHeight="1">
      <c r="A101" s="1"/>
      <c r="B101" s="1" t="s">
        <v>300</v>
      </c>
      <c r="C101" s="15">
        <f t="shared" si="38" ref="C101:H101">C52</f>
        <v>178</v>
      </c>
      <c r="D101" s="15">
        <f t="shared" si="38"/>
        <v>183</v>
      </c>
      <c r="E101" s="15">
        <f t="shared" si="38"/>
        <v>176</v>
      </c>
      <c r="F101" s="15">
        <f t="shared" si="38"/>
        <v>178</v>
      </c>
      <c r="G101" s="15">
        <f t="shared" si="38"/>
        <v>716</v>
      </c>
      <c r="H101" s="41">
        <f t="shared" si="38"/>
        <v>180</v>
      </c>
      <c r="I101" s="1"/>
      <c r="J101" s="1"/>
    </row>
    <row r="102" ht="15" customHeight="1">
      <c r="A102" s="1"/>
      <c r="B102" s="1" t="s">
        <v>301</v>
      </c>
      <c r="C102" s="15">
        <f t="shared" si="39" ref="C102:H102">C21</f>
        <v>684</v>
      </c>
      <c r="D102" s="15">
        <f t="shared" si="39"/>
        <v>698</v>
      </c>
      <c r="E102" s="15">
        <f t="shared" si="39"/>
        <v>681</v>
      </c>
      <c r="F102" s="15">
        <f t="shared" si="39"/>
        <v>704</v>
      </c>
      <c r="G102" s="15">
        <f t="shared" si="39"/>
        <v>2670</v>
      </c>
      <c r="H102" s="41">
        <f t="shared" si="39"/>
        <v>736.8411976544944</v>
      </c>
      <c r="I102" s="1"/>
      <c r="J102" s="1"/>
    </row>
    <row r="103" ht="15" customHeight="1">
      <c r="A103" s="1"/>
      <c r="B103" s="1" t="s">
        <v>302</v>
      </c>
      <c r="C103" s="15">
        <f t="shared" si="40" ref="C103:H103">C47</f>
        <v>109</v>
      </c>
      <c r="D103" s="15">
        <f t="shared" si="40"/>
        <v>107</v>
      </c>
      <c r="E103" s="15">
        <f t="shared" si="40"/>
        <v>114</v>
      </c>
      <c r="F103" s="15">
        <f t="shared" si="40"/>
        <v>116</v>
      </c>
      <c r="G103" s="15">
        <f t="shared" si="40"/>
        <v>438</v>
      </c>
      <c r="H103" s="41">
        <f t="shared" si="40"/>
        <v>117</v>
      </c>
      <c r="I103" s="1"/>
      <c r="J103" s="1"/>
    </row>
    <row r="104" ht="15" customHeight="1">
      <c r="A104" s="1"/>
      <c r="B104" s="3" t="s">
        <v>303</v>
      </c>
      <c r="C104" s="37">
        <f t="shared" si="1"/>
        <v>1908</v>
      </c>
      <c r="D104" s="37">
        <f t="shared" si="1"/>
        <v>1862</v>
      </c>
      <c r="E104" s="37">
        <f t="shared" si="1"/>
        <v>1672</v>
      </c>
      <c r="F104" s="37">
        <f t="shared" si="1"/>
        <v>2005</v>
      </c>
      <c r="G104" s="37">
        <f t="shared" si="1"/>
        <v>7162</v>
      </c>
      <c r="H104" s="38">
        <f t="shared" si="1"/>
        <v>2129.273886257658</v>
      </c>
      <c r="I104" s="1"/>
      <c r="J104" s="1"/>
    </row>
    <row r="105" ht="15" customHeight="1">
      <c r="A105" s="1"/>
      <c r="B105" s="1" t="s">
        <v>272</v>
      </c>
      <c r="C105" s="15">
        <f t="shared" si="41" ref="C105:H105">C46</f>
        <v>0</v>
      </c>
      <c r="D105" s="15">
        <f t="shared" si="41"/>
        <v>0</v>
      </c>
      <c r="E105" s="15">
        <f t="shared" si="41"/>
        <v>45</v>
      </c>
      <c r="F105" s="15">
        <f t="shared" si="41"/>
        <v>6</v>
      </c>
      <c r="G105" s="15">
        <f t="shared" si="41"/>
        <v>1</v>
      </c>
      <c r="H105" s="41">
        <f t="shared" si="41"/>
        <v>5</v>
      </c>
      <c r="I105" s="1"/>
      <c r="J105" s="1"/>
    </row>
    <row r="106" ht="15" customHeight="1">
      <c r="A106" s="1"/>
      <c r="B106" s="1" t="s">
        <v>304</v>
      </c>
      <c r="C106" s="42">
        <v>32</v>
      </c>
      <c r="D106" s="42">
        <v>32</v>
      </c>
      <c r="E106" s="42">
        <v>36</v>
      </c>
      <c r="F106" s="42">
        <v>43</v>
      </c>
      <c r="G106" s="12">
        <f>Inputs!E204+Inputs!F204+C106+D106</f>
        <v>134</v>
      </c>
      <c r="H106" s="43">
        <v>38</v>
      </c>
      <c r="I106" s="1"/>
      <c r="J106" s="1" t="s">
        <v>305</v>
      </c>
    </row>
    <row r="107" ht="15" customHeight="1">
      <c r="A107" s="1"/>
      <c r="B107" s="1" t="s">
        <v>271</v>
      </c>
      <c r="C107" s="42">
        <v>6</v>
      </c>
      <c r="D107" s="42">
        <v>7</v>
      </c>
      <c r="E107" s="42">
        <v>6</v>
      </c>
      <c r="F107" s="42">
        <v>2</v>
      </c>
      <c r="G107" s="12">
        <f>Inputs!E205+Inputs!F205+C107+D107</f>
        <v>31</v>
      </c>
      <c r="H107" s="43">
        <v>3</v>
      </c>
      <c r="I107" s="1"/>
      <c r="J107" s="1"/>
    </row>
    <row r="108" ht="15" customHeight="1">
      <c r="A108" s="1"/>
      <c r="B108" s="3" t="s">
        <v>306</v>
      </c>
      <c r="C108" s="37">
        <f t="shared" si="42" ref="C108:H108">C104+C105+C106+C107</f>
        <v>1946</v>
      </c>
      <c r="D108" s="37">
        <f t="shared" si="42"/>
        <v>1901</v>
      </c>
      <c r="E108" s="37">
        <f t="shared" si="42"/>
        <v>1759</v>
      </c>
      <c r="F108" s="37">
        <f t="shared" si="42"/>
        <v>2056</v>
      </c>
      <c r="G108" s="37">
        <f t="shared" si="42"/>
        <v>7328</v>
      </c>
      <c r="H108" s="38">
        <f t="shared" si="42"/>
        <v>2175.273886257658</v>
      </c>
      <c r="I108" s="1"/>
      <c r="J108" s="1"/>
    </row>
    <row r="109" ht="15" customHeight="1">
      <c r="A109" s="1"/>
      <c r="B109" s="4" t="s">
        <v>56</v>
      </c>
      <c r="C109" s="34">
        <f>C108/Inputs!C189-1</f>
        <v>0.022058823529411686</v>
      </c>
      <c r="D109" s="34">
        <f>D108/Inputs!D189-1</f>
        <v>0.000526315789473708</v>
      </c>
      <c r="E109" s="34">
        <f>E108/Inputs!E189-1</f>
        <v>0.05266307600239384</v>
      </c>
      <c r="F109" s="34">
        <f>F108/Inputs!F189-1</f>
        <v>0.1359116022099447</v>
      </c>
      <c r="G109" s="34">
        <f>G108/Inputs!G189-1</f>
        <v>0.02346368715083802</v>
      </c>
      <c r="H109" s="35">
        <f t="shared" si="5"/>
        <v>0.11781802993713164</v>
      </c>
      <c r="I109" s="1"/>
      <c r="J109" s="1"/>
    </row>
    <row r="110" ht="15" customHeight="1">
      <c r="A110" s="1"/>
      <c r="B110" s="4" t="s">
        <v>307</v>
      </c>
      <c r="C110" s="36">
        <f t="shared" si="43" ref="C110:H110">C108/C16</f>
        <v>0.4601560652636557</v>
      </c>
      <c r="D110" s="36">
        <f t="shared" si="43"/>
        <v>0.45175855513307983</v>
      </c>
      <c r="E110" s="36">
        <f t="shared" si="43"/>
        <v>0.44140526976160604</v>
      </c>
      <c r="F110" s="36">
        <f t="shared" si="43"/>
        <v>0.4662131519274376</v>
      </c>
      <c r="G110" s="36">
        <f t="shared" si="43"/>
        <v>0.4551835517734021</v>
      </c>
      <c r="H110" s="35">
        <f t="shared" si="43"/>
        <v>0.46291361278664694</v>
      </c>
      <c r="I110" s="1"/>
      <c r="J110" s="1"/>
    </row>
    <row r="111" ht="15" customHeight="1">
      <c r="A111" s="1"/>
      <c r="B111" s="1" t="s">
        <v>104</v>
      </c>
      <c r="C111" s="51">
        <f>(C110-Inputs!C189/Inputs!C182)*10000</f>
        <v>-167.9784255197553</v>
      </c>
      <c r="D111" s="51">
        <f>(D110-Inputs!D189/Inputs!D182)*10000</f>
        <v>-122.21908847384167</v>
      </c>
      <c r="E111" s="51">
        <f>(E110-Inputs!E189/Inputs!E182)*10000</f>
        <v>-79.0906204802022</v>
      </c>
      <c r="F111" s="51">
        <f>(F110-Inputs!F189/Inputs!F182)*10000</f>
        <v>71.7181284552032</v>
      </c>
      <c r="G111" s="51">
        <f>(G110-Inputs!G189/Inputs!G182)*10000</f>
        <v>-114.17947086161284</v>
      </c>
      <c r="H111" s="48">
        <f t="shared" si="9"/>
        <v>27.57547522991233</v>
      </c>
      <c r="I111" s="1"/>
      <c r="J111" s="1"/>
    </row>
    <row r="112" ht="15" customHeight="1">
      <c r="A112" s="1"/>
      <c r="B112" s="1" t="s">
        <v>308</v>
      </c>
      <c r="C112" s="42">
        <v>1946</v>
      </c>
      <c r="D112" s="42">
        <v>1901</v>
      </c>
      <c r="E112" s="42">
        <v>1759</v>
      </c>
      <c r="F112" s="42">
        <v>2056</v>
      </c>
      <c r="G112" s="42">
        <v>7328</v>
      </c>
      <c r="H112" s="41" t="s">
        <v>33</v>
      </c>
      <c r="I112" s="1"/>
      <c r="J112" s="1"/>
    </row>
    <row r="113" ht="15" customHeight="1">
      <c r="A113" s="1"/>
      <c r="B113" s="1" t="s">
        <v>309</v>
      </c>
      <c r="C113" s="27" t="b">
        <f t="shared" si="44" ref="C113:G113">ABS(C108-C112)&lt;0.5</f>
        <v>1</v>
      </c>
      <c r="D113" s="27" t="b">
        <f t="shared" si="44"/>
        <v>1</v>
      </c>
      <c r="E113" s="27" t="b">
        <f t="shared" si="44"/>
        <v>1</v>
      </c>
      <c r="F113" s="27" t="b">
        <f t="shared" si="44"/>
        <v>1</v>
      </c>
      <c r="G113" s="27" t="b">
        <f t="shared" si="44"/>
        <v>1</v>
      </c>
      <c r="H113" s="39" t="b">
        <f>ISNUMBER(H108)</f>
        <v>1</v>
      </c>
      <c r="I113" s="1"/>
      <c r="J113" s="1" t="s">
        <v>310</v>
      </c>
    </row>
    <row r="114" ht="1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ht="1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C649F6F-65BB-2C28-7F18-294ACB0CF001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311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47</v>
      </c>
      <c r="D6" s="6" t="s">
        <v>48</v>
      </c>
      <c r="E6" s="6" t="s">
        <v>49</v>
      </c>
      <c r="F6" s="6" t="s">
        <v>50</v>
      </c>
      <c r="G6" s="6" t="s">
        <v>51</v>
      </c>
      <c r="H6" s="28" t="s">
        <v>4</v>
      </c>
      <c r="I6" s="1"/>
      <c r="J6" s="1"/>
    </row>
    <row r="7" ht="15" customHeight="1">
      <c r="A7" s="1"/>
      <c r="B7" s="7" t="s">
        <v>5</v>
      </c>
      <c r="C7" s="8">
        <v>45930</v>
      </c>
      <c r="D7" s="8">
        <v>46022</v>
      </c>
      <c r="E7" s="8">
        <v>46112</v>
      </c>
      <c r="F7" s="8">
        <v>46203</v>
      </c>
      <c r="G7" s="8">
        <v>46022</v>
      </c>
      <c r="H7" s="29">
        <v>46295</v>
      </c>
      <c r="I7" s="1"/>
      <c r="J7" s="1"/>
    </row>
    <row r="8" ht="15" customHeight="1">
      <c r="A8" s="1"/>
      <c r="B8" s="9" t="s">
        <v>6</v>
      </c>
      <c r="C8" s="10">
        <f t="shared" si="0" ref="C8:H8">C7-EOMONTH(C7,-3)</f>
        <v>92</v>
      </c>
      <c r="D8" s="10">
        <f t="shared" si="0"/>
        <v>92</v>
      </c>
      <c r="E8" s="10">
        <f t="shared" si="0"/>
        <v>90</v>
      </c>
      <c r="F8" s="10">
        <f t="shared" si="0"/>
        <v>91</v>
      </c>
      <c r="G8" s="10">
        <f>G7-EOMONTH(G7,-12)</f>
        <v>365</v>
      </c>
      <c r="H8" s="30">
        <f t="shared" si="0"/>
        <v>92</v>
      </c>
      <c r="I8" s="1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3" t="s">
        <v>52</v>
      </c>
    </row>
    <row r="10" ht="15" customHeight="1">
      <c r="A10" s="1"/>
      <c r="B10" s="31" t="s">
        <v>312</v>
      </c>
      <c r="C10" s="1"/>
      <c r="D10" s="1"/>
      <c r="E10" s="1"/>
      <c r="F10" s="1"/>
      <c r="G10" s="1"/>
      <c r="H10" s="32"/>
      <c r="I10" s="1"/>
      <c r="J10" s="1"/>
    </row>
    <row r="11" ht="15" customHeight="1">
      <c r="A11" s="1"/>
      <c r="B11" s="1" t="s">
        <v>313</v>
      </c>
      <c r="C11" s="42">
        <v>512</v>
      </c>
      <c r="D11" s="42">
        <v>459</v>
      </c>
      <c r="E11" s="42">
        <v>156</v>
      </c>
      <c r="F11" s="42">
        <v>112</v>
      </c>
      <c r="G11" s="15">
        <f t="shared" si="1" ref="G11:G42">D11</f>
        <v>459</v>
      </c>
      <c r="H11" s="33">
        <f>'Cash Flow Statement'!H51</f>
        <v>109.99999999999993</v>
      </c>
      <c r="I11" s="1"/>
      <c r="J11" s="1"/>
    </row>
    <row r="12" ht="15" customHeight="1">
      <c r="A12" s="1"/>
      <c r="B12" s="1" t="s">
        <v>314</v>
      </c>
      <c r="C12" s="42">
        <v>2579</v>
      </c>
      <c r="D12" s="42">
        <v>2510</v>
      </c>
      <c r="E12" s="42">
        <v>2561</v>
      </c>
      <c r="F12" s="42">
        <v>2797</v>
      </c>
      <c r="G12" s="15">
        <f t="shared" si="1"/>
        <v>2510</v>
      </c>
      <c r="H12" s="33">
        <f>F12-'Cash Flow Statement'!H22</f>
        <v>2957</v>
      </c>
      <c r="I12" s="1"/>
      <c r="J12" s="1"/>
    </row>
    <row r="13" ht="15" customHeight="1">
      <c r="A13" s="1"/>
      <c r="B13" s="1" t="s">
        <v>315</v>
      </c>
      <c r="C13" s="42">
        <v>234</v>
      </c>
      <c r="D13" s="42">
        <v>240</v>
      </c>
      <c r="E13" s="42">
        <v>256</v>
      </c>
      <c r="F13" s="42">
        <v>294</v>
      </c>
      <c r="G13" s="15">
        <f t="shared" si="1"/>
        <v>240</v>
      </c>
      <c r="H13" s="33">
        <f>F13-'Cash Flow Statement'!H23</f>
        <v>299</v>
      </c>
      <c r="I13" s="1"/>
      <c r="J13" s="1"/>
    </row>
    <row r="14" ht="15" customHeight="1">
      <c r="A14" s="1"/>
      <c r="B14" s="1" t="s">
        <v>316</v>
      </c>
      <c r="C14" s="42">
        <v>458</v>
      </c>
      <c r="D14" s="42">
        <v>399</v>
      </c>
      <c r="E14" s="42">
        <v>338</v>
      </c>
      <c r="F14" s="42">
        <v>390</v>
      </c>
      <c r="G14" s="15">
        <f t="shared" si="1"/>
        <v>399</v>
      </c>
      <c r="H14" s="33">
        <f>F14-'Cash Flow Statement'!H24</f>
        <v>430</v>
      </c>
      <c r="I14" s="1"/>
      <c r="J14" s="1"/>
    </row>
    <row r="15" ht="15" customHeight="1">
      <c r="A15" s="1"/>
      <c r="B15" s="3" t="s">
        <v>317</v>
      </c>
      <c r="C15" s="37">
        <f t="shared" si="2" ref="C15:H15">C11+C12+C13+C14</f>
        <v>3783</v>
      </c>
      <c r="D15" s="37">
        <f t="shared" si="2"/>
        <v>3608</v>
      </c>
      <c r="E15" s="37">
        <f t="shared" si="2"/>
        <v>3311</v>
      </c>
      <c r="F15" s="37">
        <f t="shared" si="2"/>
        <v>3593</v>
      </c>
      <c r="G15" s="37">
        <f t="shared" si="2"/>
        <v>3608</v>
      </c>
      <c r="H15" s="38">
        <f t="shared" si="2"/>
        <v>3796</v>
      </c>
      <c r="I15" s="1"/>
      <c r="J15" s="1"/>
    </row>
    <row r="16" ht="15" customHeight="1">
      <c r="A16" s="1"/>
      <c r="B16" s="1" t="s">
        <v>318</v>
      </c>
      <c r="C16" s="42">
        <v>16405</v>
      </c>
      <c r="D16" s="42">
        <v>16069</v>
      </c>
      <c r="E16" s="42">
        <v>16164</v>
      </c>
      <c r="F16" s="42">
        <v>17350</v>
      </c>
      <c r="G16" s="15">
        <f t="shared" si="1"/>
        <v>16069</v>
      </c>
      <c r="H16" s="33">
        <f>F16+'Revenue summary'!H84-'Income Statement'!H21-'Income Statement'!H22</f>
        <v>18009.973802345503</v>
      </c>
      <c r="I16" s="1"/>
      <c r="J16" s="1" t="s">
        <v>319</v>
      </c>
    </row>
    <row r="17" ht="15" customHeight="1">
      <c r="A17" s="1"/>
      <c r="B17" s="1" t="s">
        <v>320</v>
      </c>
      <c r="C17" s="42">
        <v>1075</v>
      </c>
      <c r="D17" s="42">
        <v>1134</v>
      </c>
      <c r="E17" s="42">
        <v>1126</v>
      </c>
      <c r="F17" s="42">
        <v>1134</v>
      </c>
      <c r="G17" s="15">
        <f t="shared" si="1"/>
        <v>1134</v>
      </c>
      <c r="H17" s="33">
        <f>F17-'Cash Flow Statement'!H31-('Income Statement'!H47-H45)-('Cash Flow Statement'!H33+'Cash Flow Statement'!H15)</f>
        <v>1143</v>
      </c>
      <c r="I17" s="1"/>
      <c r="J17" s="1"/>
    </row>
    <row r="18" ht="15" customHeight="1">
      <c r="A18" s="1"/>
      <c r="B18" s="1" t="s">
        <v>321</v>
      </c>
      <c r="C18" s="42">
        <v>6884</v>
      </c>
      <c r="D18" s="42">
        <v>7119</v>
      </c>
      <c r="E18" s="42">
        <v>7285</v>
      </c>
      <c r="F18" s="42">
        <v>7201</v>
      </c>
      <c r="G18" s="15">
        <f t="shared" si="1"/>
        <v>7119</v>
      </c>
      <c r="H18" s="41">
        <f t="shared" si="3" ref="H18:H34">F18</f>
        <v>7201</v>
      </c>
      <c r="I18" s="1"/>
      <c r="J18" s="1"/>
    </row>
    <row r="19" ht="15" customHeight="1">
      <c r="A19" s="1"/>
      <c r="B19" s="1" t="s">
        <v>322</v>
      </c>
      <c r="C19" s="42">
        <v>531</v>
      </c>
      <c r="D19" s="42">
        <v>477</v>
      </c>
      <c r="E19" s="42">
        <v>547</v>
      </c>
      <c r="F19" s="42">
        <v>561</v>
      </c>
      <c r="G19" s="15">
        <f t="shared" si="1"/>
        <v>477</v>
      </c>
      <c r="H19" s="41">
        <f>F19-H45</f>
        <v>521</v>
      </c>
      <c r="I19" s="1"/>
      <c r="J19" s="1"/>
    </row>
    <row r="20" ht="15" customHeight="1">
      <c r="A20" s="1"/>
      <c r="B20" s="1" t="s">
        <v>323</v>
      </c>
      <c r="C20" s="42">
        <v>1326</v>
      </c>
      <c r="D20" s="42">
        <v>1395</v>
      </c>
      <c r="E20" s="42">
        <v>1389</v>
      </c>
      <c r="F20" s="42">
        <v>1412</v>
      </c>
      <c r="G20" s="15">
        <f t="shared" si="1"/>
        <v>1395</v>
      </c>
      <c r="H20" s="41">
        <f t="shared" si="3"/>
        <v>1412</v>
      </c>
      <c r="I20" s="1"/>
      <c r="J20" s="1"/>
    </row>
    <row r="21" ht="15" customHeight="1">
      <c r="A21" s="1"/>
      <c r="B21" s="1" t="s">
        <v>324</v>
      </c>
      <c r="C21" s="42">
        <v>61</v>
      </c>
      <c r="D21" s="42">
        <v>64</v>
      </c>
      <c r="E21" s="42">
        <v>66</v>
      </c>
      <c r="F21" s="42">
        <v>63</v>
      </c>
      <c r="G21" s="15">
        <f t="shared" si="1"/>
        <v>64</v>
      </c>
      <c r="H21" s="41">
        <f t="shared" si="3"/>
        <v>63</v>
      </c>
      <c r="I21" s="1"/>
      <c r="J21" s="1"/>
    </row>
    <row r="22" ht="15" customHeight="1">
      <c r="A22" s="1"/>
      <c r="B22" s="3" t="s">
        <v>325</v>
      </c>
      <c r="C22" s="37">
        <f t="shared" si="4" ref="C22:H22">C15+C16+C17+C18+C19+C20+C21</f>
        <v>30065</v>
      </c>
      <c r="D22" s="37">
        <f t="shared" si="4"/>
        <v>29866</v>
      </c>
      <c r="E22" s="37">
        <f t="shared" si="4"/>
        <v>29888</v>
      </c>
      <c r="F22" s="37">
        <f t="shared" si="4"/>
        <v>31314</v>
      </c>
      <c r="G22" s="37">
        <f t="shared" si="4"/>
        <v>29866</v>
      </c>
      <c r="H22" s="38">
        <f t="shared" si="4"/>
        <v>32145.973802345503</v>
      </c>
      <c r="I22" s="1"/>
      <c r="J22" s="1"/>
    </row>
    <row r="23" ht="15" customHeight="1">
      <c r="A23" s="1"/>
      <c r="B23" s="31" t="s">
        <v>326</v>
      </c>
      <c r="C23" s="1"/>
      <c r="D23" s="1"/>
      <c r="E23" s="1"/>
      <c r="F23" s="1"/>
      <c r="G23" s="1"/>
      <c r="H23" s="32"/>
      <c r="I23" s="1"/>
      <c r="J23" s="1"/>
    </row>
    <row r="24" ht="15" customHeight="1">
      <c r="A24" s="1"/>
      <c r="B24" s="1" t="s">
        <v>327</v>
      </c>
      <c r="C24" s="42">
        <v>1548</v>
      </c>
      <c r="D24" s="42">
        <v>1577</v>
      </c>
      <c r="E24" s="42">
        <v>1623</v>
      </c>
      <c r="F24" s="42">
        <v>1541</v>
      </c>
      <c r="G24" s="15">
        <f t="shared" si="1"/>
        <v>1577</v>
      </c>
      <c r="H24" s="41">
        <f t="shared" si="3"/>
        <v>1541</v>
      </c>
      <c r="I24" s="1"/>
      <c r="J24" s="1"/>
    </row>
    <row r="25" ht="15" customHeight="1">
      <c r="A25" s="1"/>
      <c r="B25" s="1" t="s">
        <v>328</v>
      </c>
      <c r="C25" s="42">
        <v>1276</v>
      </c>
      <c r="D25" s="42">
        <v>776</v>
      </c>
      <c r="E25" s="42">
        <v>1085</v>
      </c>
      <c r="F25" s="42">
        <v>1610</v>
      </c>
      <c r="G25" s="15">
        <f t="shared" si="1"/>
        <v>776</v>
      </c>
      <c r="H25" s="33">
        <f>F25+'Cash Flow Statement'!H25-'Cash Flow Statement'!H57</f>
        <v>1360</v>
      </c>
      <c r="I25" s="1"/>
      <c r="J25" s="1" t="s">
        <v>329</v>
      </c>
    </row>
    <row r="26" ht="15" customHeight="1">
      <c r="A26" s="1"/>
      <c r="B26" s="1" t="s">
        <v>330</v>
      </c>
      <c r="C26" s="42">
        <v>1387</v>
      </c>
      <c r="D26" s="42">
        <v>1466</v>
      </c>
      <c r="E26" s="42">
        <v>1419</v>
      </c>
      <c r="F26" s="42">
        <v>1552</v>
      </c>
      <c r="G26" s="15">
        <f t="shared" si="1"/>
        <v>1466</v>
      </c>
      <c r="H26" s="33">
        <f>F26+'Cash Flow Statement'!H26+'Cash Flow Statement'!H19</f>
        <v>1597</v>
      </c>
      <c r="I26" s="1"/>
      <c r="J26" s="1"/>
    </row>
    <row r="27" ht="15" customHeight="1">
      <c r="A27" s="1"/>
      <c r="B27" s="3" t="s">
        <v>331</v>
      </c>
      <c r="C27" s="37">
        <f t="shared" si="5" ref="C27:H27">C24+C25+C26</f>
        <v>4211</v>
      </c>
      <c r="D27" s="37">
        <f t="shared" si="5"/>
        <v>3819</v>
      </c>
      <c r="E27" s="37">
        <f t="shared" si="5"/>
        <v>4127</v>
      </c>
      <c r="F27" s="37">
        <f t="shared" si="5"/>
        <v>4703</v>
      </c>
      <c r="G27" s="37">
        <f t="shared" si="5"/>
        <v>3819</v>
      </c>
      <c r="H27" s="38">
        <f t="shared" si="5"/>
        <v>4498</v>
      </c>
      <c r="I27" s="1"/>
      <c r="J27" s="1"/>
    </row>
    <row r="28" ht="15" customHeight="1">
      <c r="A28" s="1"/>
      <c r="B28" s="1" t="s">
        <v>332</v>
      </c>
      <c r="C28" s="42">
        <v>12600</v>
      </c>
      <c r="D28" s="42">
        <v>12652</v>
      </c>
      <c r="E28" s="42">
        <v>12263</v>
      </c>
      <c r="F28" s="42">
        <v>12689</v>
      </c>
      <c r="G28" s="15">
        <f t="shared" si="1"/>
        <v>12652</v>
      </c>
      <c r="H28" s="33">
        <f>F28+'Cash Flow Statement'!H41+'Cash Flow Statement'!H42+'Cash Flow Statement'!H13+'Cash Flow Statement'!H44</f>
        <v>13246.665203508846</v>
      </c>
      <c r="I28" s="1"/>
      <c r="J28" s="1"/>
    </row>
    <row r="29" ht="15" customHeight="1">
      <c r="A29" s="1"/>
      <c r="B29" s="1" t="s">
        <v>333</v>
      </c>
      <c r="C29" s="42">
        <v>2971</v>
      </c>
      <c r="D29" s="42">
        <v>3115</v>
      </c>
      <c r="E29" s="42">
        <v>3199</v>
      </c>
      <c r="F29" s="42">
        <v>3333</v>
      </c>
      <c r="G29" s="15">
        <f t="shared" si="1"/>
        <v>3115</v>
      </c>
      <c r="H29" s="33">
        <f>F29+'Cash Flow Statement'!H21</f>
        <v>3453</v>
      </c>
      <c r="I29" s="1"/>
      <c r="J29" s="1"/>
    </row>
    <row r="30" ht="15" customHeight="1">
      <c r="A30" s="1"/>
      <c r="B30" s="1" t="s">
        <v>334</v>
      </c>
      <c r="C30" s="42">
        <v>1064</v>
      </c>
      <c r="D30" s="42">
        <v>1124</v>
      </c>
      <c r="E30" s="42">
        <v>1133</v>
      </c>
      <c r="F30" s="42">
        <v>1155</v>
      </c>
      <c r="G30" s="15">
        <f t="shared" si="1"/>
        <v>1124</v>
      </c>
      <c r="H30" s="41">
        <f t="shared" si="3"/>
        <v>1155</v>
      </c>
      <c r="I30" s="1"/>
      <c r="J30" s="1"/>
    </row>
    <row r="31" ht="15" customHeight="1">
      <c r="A31" s="1"/>
      <c r="B31" s="1" t="s">
        <v>335</v>
      </c>
      <c r="C31" s="42">
        <v>219</v>
      </c>
      <c r="D31" s="42">
        <v>188</v>
      </c>
      <c r="E31" s="42">
        <v>198</v>
      </c>
      <c r="F31" s="42">
        <v>210</v>
      </c>
      <c r="G31" s="15">
        <f t="shared" si="1"/>
        <v>188</v>
      </c>
      <c r="H31" s="41">
        <f t="shared" si="3"/>
        <v>210</v>
      </c>
      <c r="I31" s="1"/>
      <c r="J31" s="1"/>
    </row>
    <row r="32" ht="15" customHeight="1">
      <c r="A32" s="1"/>
      <c r="B32" s="3" t="s">
        <v>336</v>
      </c>
      <c r="C32" s="37">
        <f t="shared" si="6" ref="C32:H39">C27+C28+C29+C30+C31</f>
        <v>21065</v>
      </c>
      <c r="D32" s="37">
        <f t="shared" si="6"/>
        <v>20898</v>
      </c>
      <c r="E32" s="37">
        <f t="shared" si="6"/>
        <v>20920</v>
      </c>
      <c r="F32" s="37">
        <f t="shared" si="6"/>
        <v>22090</v>
      </c>
      <c r="G32" s="37">
        <f t="shared" si="6"/>
        <v>20898</v>
      </c>
      <c r="H32" s="38">
        <f t="shared" si="6"/>
        <v>22562.66520350885</v>
      </c>
      <c r="I32" s="1"/>
      <c r="J32" s="1"/>
    </row>
    <row r="33" ht="15" customHeight="1">
      <c r="A33" s="1"/>
      <c r="B33" s="31" t="s">
        <v>337</v>
      </c>
      <c r="C33" s="1"/>
      <c r="D33" s="1"/>
      <c r="E33" s="1"/>
      <c r="F33" s="1"/>
      <c r="G33" s="1"/>
      <c r="H33" s="32"/>
      <c r="I33" s="1"/>
      <c r="J33" s="1"/>
    </row>
    <row r="34" ht="15" customHeight="1">
      <c r="A34" s="1"/>
      <c r="B34" s="1" t="s">
        <v>338</v>
      </c>
      <c r="C34" s="42">
        <v>1</v>
      </c>
      <c r="D34" s="42">
        <v>1</v>
      </c>
      <c r="E34" s="42">
        <v>1</v>
      </c>
      <c r="F34" s="42">
        <v>1</v>
      </c>
      <c r="G34" s="15">
        <f t="shared" si="1"/>
        <v>1</v>
      </c>
      <c r="H34" s="41">
        <f t="shared" si="3"/>
        <v>1</v>
      </c>
      <c r="I34" s="1"/>
      <c r="J34" s="1"/>
    </row>
    <row r="35" ht="15" customHeight="1">
      <c r="A35" s="1"/>
      <c r="B35" s="1" t="s">
        <v>339</v>
      </c>
      <c r="C35" s="42">
        <v>2751</v>
      </c>
      <c r="D35" s="42">
        <v>2769</v>
      </c>
      <c r="E35" s="42">
        <v>2762</v>
      </c>
      <c r="F35" s="42">
        <v>2803</v>
      </c>
      <c r="G35" s="15">
        <f t="shared" si="1"/>
        <v>2769</v>
      </c>
      <c r="H35" s="33">
        <f>F35+'Cash Flow Statement'!H18</f>
        <v>2841</v>
      </c>
      <c r="I35" s="1"/>
      <c r="J35" s="1"/>
    </row>
    <row r="36" ht="15" customHeight="1">
      <c r="A36" s="1"/>
      <c r="B36" s="1" t="s">
        <v>340</v>
      </c>
      <c r="C36" s="42">
        <v>15304</v>
      </c>
      <c r="D36" s="42">
        <v>15843</v>
      </c>
      <c r="E36" s="42">
        <v>16250</v>
      </c>
      <c r="F36" s="42">
        <v>16879</v>
      </c>
      <c r="G36" s="15">
        <f t="shared" si="1"/>
        <v>15843</v>
      </c>
      <c r="H36" s="33">
        <f>F36+'Income Statement'!H60+'Cash Flow Statement'!H46</f>
        <v>17578.30859883666</v>
      </c>
      <c r="I36" s="1"/>
      <c r="J36" s="1"/>
    </row>
    <row r="37" ht="15" customHeight="1">
      <c r="A37" s="1"/>
      <c r="B37" s="1" t="s">
        <v>341</v>
      </c>
      <c r="C37" s="42">
        <v>-8773</v>
      </c>
      <c r="D37" s="42">
        <v>-9396</v>
      </c>
      <c r="E37" s="42">
        <v>-9773</v>
      </c>
      <c r="F37" s="42">
        <v>-10152</v>
      </c>
      <c r="G37" s="15">
        <f t="shared" si="1"/>
        <v>-9396</v>
      </c>
      <c r="H37" s="33">
        <f>F37+'Cash Flow Statement'!H45</f>
        <v>-10530</v>
      </c>
      <c r="I37" s="1"/>
      <c r="J37" s="1"/>
    </row>
    <row r="38" ht="15" customHeight="1">
      <c r="A38" s="1"/>
      <c r="B38" s="1" t="s">
        <v>342</v>
      </c>
      <c r="C38" s="42">
        <v>-283</v>
      </c>
      <c r="D38" s="42">
        <v>-249</v>
      </c>
      <c r="E38" s="42">
        <v>-272</v>
      </c>
      <c r="F38" s="42">
        <v>-307</v>
      </c>
      <c r="G38" s="15">
        <f t="shared" si="1"/>
        <v>-249</v>
      </c>
      <c r="H38" s="33">
        <f>F38+'Cash Flow Statement'!H48</f>
        <v>-307</v>
      </c>
      <c r="I38" s="1"/>
      <c r="J38" s="1"/>
    </row>
    <row r="39" ht="15" customHeight="1">
      <c r="A39" s="1"/>
      <c r="B39" s="3" t="s">
        <v>343</v>
      </c>
      <c r="C39" s="37">
        <f t="shared" si="6"/>
        <v>9000</v>
      </c>
      <c r="D39" s="37">
        <f t="shared" si="6"/>
        <v>8968</v>
      </c>
      <c r="E39" s="37">
        <f t="shared" si="6"/>
        <v>8968</v>
      </c>
      <c r="F39" s="37">
        <f t="shared" si="6"/>
        <v>9224</v>
      </c>
      <c r="G39" s="37">
        <f t="shared" si="6"/>
        <v>8968</v>
      </c>
      <c r="H39" s="38">
        <f t="shared" si="6"/>
        <v>9583.308598836658</v>
      </c>
      <c r="I39" s="1"/>
      <c r="J39" s="1"/>
    </row>
    <row r="40" ht="15" customHeight="1">
      <c r="A40" s="1"/>
      <c r="B40" s="3" t="s">
        <v>344</v>
      </c>
      <c r="C40" s="37">
        <f t="shared" si="7" ref="C40:H40">C32+C39</f>
        <v>30065</v>
      </c>
      <c r="D40" s="37">
        <f t="shared" si="7"/>
        <v>29866</v>
      </c>
      <c r="E40" s="37">
        <f t="shared" si="7"/>
        <v>29888</v>
      </c>
      <c r="F40" s="37">
        <f t="shared" si="7"/>
        <v>31314</v>
      </c>
      <c r="G40" s="37">
        <f t="shared" si="7"/>
        <v>29866</v>
      </c>
      <c r="H40" s="38">
        <f t="shared" si="7"/>
        <v>32145.973802345507</v>
      </c>
      <c r="I40" s="1"/>
      <c r="J40" s="1"/>
    </row>
    <row r="41" ht="15" customHeight="1">
      <c r="A41" s="1"/>
      <c r="B41" s="1" t="s">
        <v>345</v>
      </c>
      <c r="C41" s="15">
        <f t="shared" si="8" ref="C41:H41">C22-C32-C39</f>
        <v>0</v>
      </c>
      <c r="D41" s="15">
        <f t="shared" si="8"/>
        <v>0</v>
      </c>
      <c r="E41" s="15">
        <f t="shared" si="8"/>
        <v>0</v>
      </c>
      <c r="F41" s="15">
        <f t="shared" si="8"/>
        <v>0</v>
      </c>
      <c r="G41" s="15">
        <f t="shared" si="8"/>
        <v>0</v>
      </c>
      <c r="H41" s="41">
        <f t="shared" si="8"/>
        <v>0</v>
      </c>
      <c r="I41" s="1"/>
      <c r="J41" s="1"/>
    </row>
    <row r="42" ht="15" customHeight="1">
      <c r="A42" s="1"/>
      <c r="B42" s="1" t="s">
        <v>346</v>
      </c>
      <c r="C42" s="42">
        <v>30065</v>
      </c>
      <c r="D42" s="42">
        <v>29866</v>
      </c>
      <c r="E42" s="42">
        <v>29888</v>
      </c>
      <c r="F42" s="42">
        <v>31314</v>
      </c>
      <c r="G42" s="15">
        <f t="shared" si="1"/>
        <v>29866</v>
      </c>
      <c r="H42" s="41" t="s">
        <v>33</v>
      </c>
      <c r="I42" s="1"/>
      <c r="J42" s="1"/>
    </row>
    <row r="43" ht="15" customHeight="1">
      <c r="A43" s="1"/>
      <c r="B43" s="1" t="s">
        <v>347</v>
      </c>
      <c r="C43" s="15">
        <f t="shared" si="9" ref="C43:G43">C22-C42</f>
        <v>0</v>
      </c>
      <c r="D43" s="15">
        <f t="shared" si="9"/>
        <v>0</v>
      </c>
      <c r="E43" s="15">
        <f t="shared" si="9"/>
        <v>0</v>
      </c>
      <c r="F43" s="15">
        <f t="shared" si="9"/>
        <v>0</v>
      </c>
      <c r="G43" s="15">
        <f t="shared" si="9"/>
        <v>0</v>
      </c>
      <c r="H43" s="41"/>
      <c r="I43" s="1"/>
      <c r="J43" s="1"/>
    </row>
    <row r="44" ht="15" customHeight="1">
      <c r="A44" s="1"/>
      <c r="B44" s="31" t="s">
        <v>348</v>
      </c>
      <c r="C44" s="1"/>
      <c r="D44" s="1"/>
      <c r="E44" s="1"/>
      <c r="F44" s="1"/>
      <c r="G44" s="1"/>
      <c r="H44" s="32"/>
      <c r="I44" s="1"/>
      <c r="J44" s="1"/>
    </row>
    <row r="45" ht="15" customHeight="1">
      <c r="A45" s="1"/>
      <c r="B45" s="1" t="s">
        <v>349</v>
      </c>
      <c r="C45" s="15" t="s">
        <v>33</v>
      </c>
      <c r="D45" s="15" t="s">
        <v>33</v>
      </c>
      <c r="E45" s="15" t="s">
        <v>33</v>
      </c>
      <c r="F45" s="15" t="s">
        <v>33</v>
      </c>
      <c r="G45" s="15" t="s">
        <v>33</v>
      </c>
      <c r="H45" s="43">
        <v>40</v>
      </c>
      <c r="I45" s="1"/>
      <c r="J45" s="1" t="s">
        <v>350</v>
      </c>
    </row>
    <row r="46" ht="15" customHeight="1">
      <c r="A46" s="1"/>
      <c r="B46" s="1" t="s">
        <v>351</v>
      </c>
      <c r="C46" s="15">
        <f t="shared" si="10" ref="C46:H46">C24+C28</f>
        <v>14148</v>
      </c>
      <c r="D46" s="15">
        <f t="shared" si="10"/>
        <v>14229</v>
      </c>
      <c r="E46" s="15">
        <f t="shared" si="10"/>
        <v>13886</v>
      </c>
      <c r="F46" s="15">
        <f t="shared" si="10"/>
        <v>14230</v>
      </c>
      <c r="G46" s="15">
        <f t="shared" si="10"/>
        <v>14229</v>
      </c>
      <c r="H46" s="41">
        <f t="shared" si="10"/>
        <v>14787.665203508846</v>
      </c>
      <c r="I46" s="1"/>
      <c r="J46" s="1"/>
    </row>
    <row r="47" ht="15" customHeight="1">
      <c r="A47" s="1"/>
      <c r="B47" s="1" t="s">
        <v>352</v>
      </c>
      <c r="C47" s="15">
        <f t="shared" si="11" ref="C47:H47">C46-C11</f>
        <v>13636</v>
      </c>
      <c r="D47" s="15">
        <f t="shared" si="11"/>
        <v>13770</v>
      </c>
      <c r="E47" s="15">
        <f t="shared" si="11"/>
        <v>13730</v>
      </c>
      <c r="F47" s="15">
        <f t="shared" si="11"/>
        <v>14118</v>
      </c>
      <c r="G47" s="15">
        <f t="shared" si="11"/>
        <v>13770</v>
      </c>
      <c r="H47" s="41">
        <f t="shared" si="11"/>
        <v>14677.665203508846</v>
      </c>
      <c r="I47" s="1"/>
      <c r="J47" s="1"/>
    </row>
    <row r="48" ht="15" customHeight="1">
      <c r="A48" s="1"/>
      <c r="B48" s="1" t="s">
        <v>353</v>
      </c>
      <c r="C48" s="68">
        <f>C47/(Inputs!D189+Inputs!E189+Inputs!F189+'Income Statement'!C108)</f>
        <v>1.8610618261225604</v>
      </c>
      <c r="D48" s="68">
        <f>D47/'Income Statement'!G108</f>
        <v>1.8790938864628821</v>
      </c>
      <c r="E48" s="68">
        <f>E47/('Income Statement'!G108-Inputs!E189+'Income Statement'!E108)</f>
        <v>1.8514023732470335</v>
      </c>
      <c r="F48" s="68">
        <f>F47/('Income Statement'!G108-Inputs!E189-Inputs!F189+'Income Statement'!E108+'Income Statement'!F108)</f>
        <v>1.8425998433829287</v>
      </c>
      <c r="G48" s="68">
        <f>G47/'Income Statement'!G108</f>
        <v>1.8790938864628821</v>
      </c>
      <c r="H48" s="69">
        <f>H47/('Income Statement'!D108+'Income Statement'!E108+'Income Statement'!F108+'Income Statement'!H108)</f>
        <v>1.8599867923820792</v>
      </c>
      <c r="I48" s="1"/>
      <c r="J48" s="1"/>
    </row>
    <row r="49" ht="15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B4C234F-A2AD-22F8-9F98-AF71F3F6B543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354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47</v>
      </c>
      <c r="D6" s="6" t="s">
        <v>48</v>
      </c>
      <c r="E6" s="6" t="s">
        <v>49</v>
      </c>
      <c r="F6" s="6" t="s">
        <v>50</v>
      </c>
      <c r="G6" s="6" t="s">
        <v>51</v>
      </c>
      <c r="H6" s="28" t="s">
        <v>4</v>
      </c>
      <c r="I6" s="1"/>
      <c r="J6" s="1"/>
    </row>
    <row r="7" ht="15" customHeight="1">
      <c r="A7" s="1"/>
      <c r="B7" s="7" t="s">
        <v>5</v>
      </c>
      <c r="C7" s="8">
        <v>45930</v>
      </c>
      <c r="D7" s="8">
        <v>46022</v>
      </c>
      <c r="E7" s="8">
        <v>46112</v>
      </c>
      <c r="F7" s="8">
        <v>46203</v>
      </c>
      <c r="G7" s="8">
        <v>46022</v>
      </c>
      <c r="H7" s="29">
        <v>46295</v>
      </c>
      <c r="I7" s="1"/>
      <c r="J7" s="1"/>
    </row>
    <row r="8" ht="15" customHeight="1">
      <c r="A8" s="1"/>
      <c r="B8" s="9" t="s">
        <v>6</v>
      </c>
      <c r="C8" s="10">
        <f t="shared" si="0" ref="C8:H8">C7-EOMONTH(C7,-3)</f>
        <v>92</v>
      </c>
      <c r="D8" s="10">
        <f t="shared" si="0"/>
        <v>92</v>
      </c>
      <c r="E8" s="10">
        <f t="shared" si="0"/>
        <v>90</v>
      </c>
      <c r="F8" s="10">
        <f t="shared" si="0"/>
        <v>91</v>
      </c>
      <c r="G8" s="10">
        <f>G7-EOMONTH(G7,-12)</f>
        <v>365</v>
      </c>
      <c r="H8" s="30">
        <f t="shared" si="0"/>
        <v>92</v>
      </c>
      <c r="I8" s="1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3" t="s">
        <v>52</v>
      </c>
    </row>
    <row r="10" ht="15" customHeight="1">
      <c r="A10" s="1"/>
      <c r="B10" s="31" t="s">
        <v>355</v>
      </c>
      <c r="C10" s="1"/>
      <c r="D10" s="1"/>
      <c r="E10" s="1"/>
      <c r="F10" s="1"/>
      <c r="G10" s="1"/>
      <c r="H10" s="32"/>
      <c r="I10" s="1"/>
      <c r="J10" s="1"/>
    </row>
    <row r="11" ht="15" customHeight="1">
      <c r="A11" s="1"/>
      <c r="B11" s="1" t="s">
        <v>298</v>
      </c>
      <c r="C11" s="42">
        <v>701</v>
      </c>
      <c r="D11" s="42">
        <v>653</v>
      </c>
      <c r="E11" s="42">
        <v>531</v>
      </c>
      <c r="F11" s="42">
        <v>753</v>
      </c>
      <c r="G11" s="12">
        <f>Inputs!E206+Inputs!F206+C11+D11</f>
        <v>2494</v>
      </c>
      <c r="H11" s="33">
        <f>'Income Statement'!H60</f>
        <v>821.5745164523728</v>
      </c>
      <c r="I11" s="1"/>
      <c r="J11" s="1"/>
    </row>
    <row r="12" ht="15" customHeight="1">
      <c r="A12" s="1"/>
      <c r="B12" s="1" t="s">
        <v>356</v>
      </c>
      <c r="C12" s="42">
        <v>793</v>
      </c>
      <c r="D12" s="42">
        <v>805</v>
      </c>
      <c r="E12" s="42">
        <v>795</v>
      </c>
      <c r="F12" s="42">
        <v>820</v>
      </c>
      <c r="G12" s="12">
        <f>Inputs!E207+Inputs!F207+C12+D12</f>
        <v>3108</v>
      </c>
      <c r="H12" s="33">
        <f>'Income Statement'!H21+'Income Statement'!H47</f>
        <v>853.8411976544944</v>
      </c>
      <c r="I12" s="1"/>
      <c r="J12" s="1"/>
    </row>
    <row r="13" ht="15" customHeight="1">
      <c r="A13" s="1"/>
      <c r="B13" s="1" t="s">
        <v>357</v>
      </c>
      <c r="C13" s="42">
        <v>3</v>
      </c>
      <c r="D13" s="42">
        <v>4</v>
      </c>
      <c r="E13" s="42">
        <v>4</v>
      </c>
      <c r="F13" s="42">
        <v>4</v>
      </c>
      <c r="G13" s="12">
        <f>Inputs!E208+Inputs!F208+C13+D13</f>
        <v>15</v>
      </c>
      <c r="H13" s="43">
        <v>4</v>
      </c>
      <c r="I13" s="1"/>
      <c r="J13" s="1"/>
    </row>
    <row r="14" ht="15" customHeight="1">
      <c r="A14" s="1"/>
      <c r="B14" s="1" t="s">
        <v>358</v>
      </c>
      <c r="C14" s="42">
        <v>-147</v>
      </c>
      <c r="D14" s="42">
        <v>-175</v>
      </c>
      <c r="E14" s="42">
        <v>-160</v>
      </c>
      <c r="F14" s="42">
        <v>-154</v>
      </c>
      <c r="G14" s="12">
        <f>Inputs!E209+Inputs!F209+C14+D14</f>
        <v>-635</v>
      </c>
      <c r="H14" s="33">
        <f>-('Income Statement'!H12-'Income Statement'!H22)</f>
        <v>-164.565</v>
      </c>
      <c r="I14" s="1"/>
      <c r="J14" s="1"/>
    </row>
    <row r="15" ht="15" customHeight="1">
      <c r="A15" s="1"/>
      <c r="B15" s="1" t="s">
        <v>359</v>
      </c>
      <c r="C15" s="42">
        <v>-5</v>
      </c>
      <c r="D15" s="42">
        <v>-3</v>
      </c>
      <c r="E15" s="42">
        <v>-4</v>
      </c>
      <c r="F15" s="42">
        <v>-3</v>
      </c>
      <c r="G15" s="12">
        <f>Inputs!E210+Inputs!F210+C15+D15</f>
        <v>-18</v>
      </c>
      <c r="H15" s="43">
        <v>-4</v>
      </c>
      <c r="I15" s="1"/>
      <c r="J15" s="1"/>
    </row>
    <row r="16" ht="15" customHeight="1">
      <c r="A16" s="1"/>
      <c r="B16" s="1" t="s">
        <v>360</v>
      </c>
      <c r="C16" s="42">
        <v>0</v>
      </c>
      <c r="D16" s="42">
        <v>0</v>
      </c>
      <c r="E16" s="42">
        <v>0</v>
      </c>
      <c r="F16" s="42">
        <v>-49</v>
      </c>
      <c r="G16" s="12">
        <f>Inputs!E211+Inputs!F211+C16+D16</f>
        <v>0</v>
      </c>
      <c r="H16" s="43">
        <v>0</v>
      </c>
      <c r="I16" s="1"/>
      <c r="J16" s="1"/>
    </row>
    <row r="17" ht="15" customHeight="1">
      <c r="A17" s="1"/>
      <c r="B17" s="1" t="s">
        <v>361</v>
      </c>
      <c r="C17" s="42">
        <v>-13</v>
      </c>
      <c r="D17" s="42">
        <v>-14</v>
      </c>
      <c r="E17" s="42">
        <v>-10</v>
      </c>
      <c r="F17" s="42">
        <v>-13</v>
      </c>
      <c r="G17" s="12">
        <f>Inputs!E212+Inputs!F212+C17+D17</f>
        <v>-50</v>
      </c>
      <c r="H17" s="43">
        <v>-13</v>
      </c>
      <c r="I17" s="1"/>
      <c r="J17" s="1" t="s">
        <v>362</v>
      </c>
    </row>
    <row r="18" ht="15" customHeight="1">
      <c r="A18" s="1"/>
      <c r="B18" s="1" t="s">
        <v>363</v>
      </c>
      <c r="C18" s="42">
        <v>32</v>
      </c>
      <c r="D18" s="42">
        <v>32</v>
      </c>
      <c r="E18" s="42">
        <v>36</v>
      </c>
      <c r="F18" s="42">
        <v>43</v>
      </c>
      <c r="G18" s="12">
        <f>Inputs!E213+Inputs!F213+C18+D18</f>
        <v>134</v>
      </c>
      <c r="H18" s="33">
        <f>'Income Statement'!H106</f>
        <v>38</v>
      </c>
      <c r="I18" s="1"/>
      <c r="J18" s="1"/>
    </row>
    <row r="19" ht="15" customHeight="1">
      <c r="A19" s="1"/>
      <c r="B19" s="1" t="s">
        <v>244</v>
      </c>
      <c r="C19" s="42">
        <v>0</v>
      </c>
      <c r="D19" s="42">
        <v>0</v>
      </c>
      <c r="E19" s="42">
        <v>45</v>
      </c>
      <c r="F19" s="42">
        <v>6</v>
      </c>
      <c r="G19" s="12">
        <f>Inputs!E214+Inputs!F214+C19+D19</f>
        <v>1</v>
      </c>
      <c r="H19" s="33">
        <f>'Income Statement'!H46</f>
        <v>5</v>
      </c>
      <c r="I19" s="1"/>
      <c r="J19" s="1"/>
    </row>
    <row r="20" ht="15" customHeight="1">
      <c r="A20" s="1"/>
      <c r="B20" s="1" t="s">
        <v>364</v>
      </c>
      <c r="C20" s="42">
        <v>2</v>
      </c>
      <c r="D20" s="42">
        <v>0</v>
      </c>
      <c r="E20" s="42">
        <v>0</v>
      </c>
      <c r="F20" s="42">
        <v>0</v>
      </c>
      <c r="G20" s="12">
        <f>Inputs!E215+Inputs!F215+C20+D20</f>
        <v>15</v>
      </c>
      <c r="H20" s="43">
        <v>0</v>
      </c>
      <c r="I20" s="1"/>
      <c r="J20" s="1"/>
    </row>
    <row r="21" ht="15" customHeight="1">
      <c r="A21" s="1"/>
      <c r="B21" s="1" t="s">
        <v>365</v>
      </c>
      <c r="C21" s="42">
        <v>297</v>
      </c>
      <c r="D21" s="42">
        <v>146</v>
      </c>
      <c r="E21" s="42">
        <v>83</v>
      </c>
      <c r="F21" s="42">
        <v>137</v>
      </c>
      <c r="G21" s="12">
        <f>Inputs!E216+Inputs!F216+C21+D21</f>
        <v>405</v>
      </c>
      <c r="H21" s="43">
        <v>120</v>
      </c>
      <c r="I21" s="1"/>
      <c r="J21" s="1" t="s">
        <v>366</v>
      </c>
    </row>
    <row r="22" ht="15" customHeight="1">
      <c r="A22" s="1"/>
      <c r="B22" s="1" t="s">
        <v>367</v>
      </c>
      <c r="C22" s="42">
        <v>-213</v>
      </c>
      <c r="D22" s="42">
        <v>88</v>
      </c>
      <c r="E22" s="42">
        <v>-29</v>
      </c>
      <c r="F22" s="42">
        <v>-243</v>
      </c>
      <c r="G22" s="12">
        <f>Inputs!E217+Inputs!F217+C22+D22</f>
        <v>-120</v>
      </c>
      <c r="H22" s="43">
        <v>-160</v>
      </c>
      <c r="I22" s="1"/>
      <c r="J22" s="1" t="s">
        <v>368</v>
      </c>
    </row>
    <row r="23" ht="15" customHeight="1">
      <c r="A23" s="1"/>
      <c r="B23" s="1" t="s">
        <v>369</v>
      </c>
      <c r="C23" s="42">
        <v>8</v>
      </c>
      <c r="D23" s="42">
        <v>-5</v>
      </c>
      <c r="E23" s="42">
        <v>-14</v>
      </c>
      <c r="F23" s="42">
        <v>-40</v>
      </c>
      <c r="G23" s="12">
        <f>Inputs!E218+Inputs!F218+C23+D23</f>
        <v>-38</v>
      </c>
      <c r="H23" s="43">
        <v>-5</v>
      </c>
      <c r="I23" s="1"/>
      <c r="J23" s="1"/>
    </row>
    <row r="24" ht="15" customHeight="1">
      <c r="A24" s="1"/>
      <c r="B24" s="1" t="s">
        <v>370</v>
      </c>
      <c r="C24" s="42">
        <v>-88</v>
      </c>
      <c r="D24" s="42">
        <v>67</v>
      </c>
      <c r="E24" s="42">
        <v>75</v>
      </c>
      <c r="F24" s="42">
        <v>-45</v>
      </c>
      <c r="G24" s="12">
        <f>Inputs!E219+Inputs!F219+C24+D24</f>
        <v>-135</v>
      </c>
      <c r="H24" s="43">
        <v>-40</v>
      </c>
      <c r="I24" s="1"/>
      <c r="J24" s="1"/>
    </row>
    <row r="25" ht="15" customHeight="1">
      <c r="A25" s="1"/>
      <c r="B25" s="1" t="s">
        <v>371</v>
      </c>
      <c r="C25" s="42">
        <v>-191</v>
      </c>
      <c r="D25" s="42">
        <v>-360</v>
      </c>
      <c r="E25" s="42">
        <v>198</v>
      </c>
      <c r="F25" s="42">
        <v>425</v>
      </c>
      <c r="G25" s="12">
        <f>Inputs!E220+Inputs!F220+C25+D25</f>
        <v>-22</v>
      </c>
      <c r="H25" s="43">
        <v>-150</v>
      </c>
      <c r="I25" s="1"/>
      <c r="J25" s="1" t="s">
        <v>372</v>
      </c>
    </row>
    <row r="26" ht="15" customHeight="1">
      <c r="A26" s="1"/>
      <c r="B26" s="1" t="s">
        <v>373</v>
      </c>
      <c r="C26" s="42">
        <v>2</v>
      </c>
      <c r="D26" s="42">
        <v>18</v>
      </c>
      <c r="E26" s="42">
        <v>-36</v>
      </c>
      <c r="F26" s="42">
        <v>150</v>
      </c>
      <c r="G26" s="12">
        <f>Inputs!E221+Inputs!F221+C26+D26</f>
        <v>36</v>
      </c>
      <c r="H26" s="43">
        <v>40</v>
      </c>
      <c r="I26" s="1"/>
      <c r="J26" s="1"/>
    </row>
    <row r="27" ht="15" customHeight="1">
      <c r="A27" s="1"/>
      <c r="B27" s="3" t="s">
        <v>374</v>
      </c>
      <c r="C27" s="37">
        <f t="shared" si="1" ref="C27:H27">C11+C12+C13+C14+C15+C16+C17+C18+C19+C20+C21+C22+C23+C24+C25+C26</f>
        <v>1181</v>
      </c>
      <c r="D27" s="37">
        <f t="shared" si="1"/>
        <v>1256</v>
      </c>
      <c r="E27" s="37">
        <f t="shared" si="1"/>
        <v>1514</v>
      </c>
      <c r="F27" s="37">
        <f t="shared" si="1"/>
        <v>1791</v>
      </c>
      <c r="G27" s="37">
        <f t="shared" si="1"/>
        <v>5190</v>
      </c>
      <c r="H27" s="38">
        <f t="shared" si="1"/>
        <v>1345.8507141068671</v>
      </c>
      <c r="I27" s="1"/>
      <c r="J27" s="1"/>
    </row>
    <row r="28" ht="15" customHeight="1">
      <c r="A28" s="1"/>
      <c r="B28" s="4" t="s">
        <v>56</v>
      </c>
      <c r="C28" s="36" t="s">
        <v>33</v>
      </c>
      <c r="D28" s="36" t="s">
        <v>33</v>
      </c>
      <c r="E28" s="36" t="s">
        <v>33</v>
      </c>
      <c r="F28" s="36" t="s">
        <v>33</v>
      </c>
      <c r="G28" s="36" t="s">
        <v>33</v>
      </c>
      <c r="H28" s="35">
        <f>H27/C27-1</f>
        <v>0.1395857020379907</v>
      </c>
      <c r="I28" s="1"/>
      <c r="J28" s="1"/>
    </row>
    <row r="29" ht="15" customHeight="1">
      <c r="A29" s="1"/>
      <c r="B29" s="31" t="s">
        <v>375</v>
      </c>
      <c r="C29" s="1"/>
      <c r="D29" s="1"/>
      <c r="E29" s="1"/>
      <c r="F29" s="1"/>
      <c r="G29" s="1"/>
      <c r="H29" s="32"/>
      <c r="I29" s="1"/>
      <c r="J29" s="1"/>
    </row>
    <row r="30" ht="15" customHeight="1">
      <c r="A30" s="1"/>
      <c r="B30" s="1" t="s">
        <v>376</v>
      </c>
      <c r="C30" s="42">
        <v>-1455</v>
      </c>
      <c r="D30" s="42">
        <v>-573</v>
      </c>
      <c r="E30" s="42">
        <v>-767</v>
      </c>
      <c r="F30" s="42">
        <v>-1953</v>
      </c>
      <c r="G30" s="12">
        <f>Inputs!E222+Inputs!F222+C30+D30</f>
        <v>-4149</v>
      </c>
      <c r="H30" s="33">
        <f>-('Revenue summary'!H84+H57)</f>
        <v>-1690</v>
      </c>
      <c r="I30" s="1"/>
      <c r="J30" s="1"/>
    </row>
    <row r="31" ht="15" customHeight="1">
      <c r="A31" s="1"/>
      <c r="B31" s="1" t="s">
        <v>377</v>
      </c>
      <c r="C31" s="42">
        <v>-91</v>
      </c>
      <c r="D31" s="42">
        <v>-106</v>
      </c>
      <c r="E31" s="42">
        <v>-66</v>
      </c>
      <c r="F31" s="42">
        <v>-99</v>
      </c>
      <c r="G31" s="12">
        <f>Inputs!E223+Inputs!F223+C31+D31</f>
        <v>-379</v>
      </c>
      <c r="H31" s="43">
        <v>-95</v>
      </c>
      <c r="I31" s="1"/>
      <c r="J31" s="1"/>
    </row>
    <row r="32" ht="15" customHeight="1">
      <c r="A32" s="1"/>
      <c r="B32" s="1" t="s">
        <v>378</v>
      </c>
      <c r="C32" s="42">
        <v>333</v>
      </c>
      <c r="D32" s="42">
        <v>386</v>
      </c>
      <c r="E32" s="42">
        <v>350</v>
      </c>
      <c r="F32" s="42">
        <v>330</v>
      </c>
      <c r="G32" s="12">
        <f>Inputs!E224+Inputs!F224+C32+D32</f>
        <v>1413</v>
      </c>
      <c r="H32" s="33">
        <f>'Income Statement'!H12</f>
        <v>357.75</v>
      </c>
      <c r="I32" s="1"/>
      <c r="J32" s="1"/>
    </row>
    <row r="33" ht="15" customHeight="1">
      <c r="A33" s="1"/>
      <c r="B33" s="1" t="s">
        <v>379</v>
      </c>
      <c r="C33" s="42">
        <v>13</v>
      </c>
      <c r="D33" s="42">
        <v>12</v>
      </c>
      <c r="E33" s="42">
        <v>13</v>
      </c>
      <c r="F33" s="42">
        <v>13</v>
      </c>
      <c r="G33" s="12">
        <f>Inputs!E225+Inputs!F225+C33+D33</f>
        <v>56</v>
      </c>
      <c r="H33" s="43">
        <v>13</v>
      </c>
      <c r="I33" s="1"/>
      <c r="J33" s="1"/>
    </row>
    <row r="34" ht="15" customHeight="1">
      <c r="A34" s="1"/>
      <c r="B34" s="1" t="s">
        <v>380</v>
      </c>
      <c r="C34" s="42">
        <v>0</v>
      </c>
      <c r="D34" s="42">
        <v>0</v>
      </c>
      <c r="E34" s="42">
        <v>0</v>
      </c>
      <c r="F34" s="42">
        <v>82</v>
      </c>
      <c r="G34" s="12">
        <f>Inputs!E226+Inputs!F226+C34+D34</f>
        <v>0</v>
      </c>
      <c r="H34" s="43">
        <v>0</v>
      </c>
      <c r="I34" s="1"/>
      <c r="J34" s="1"/>
    </row>
    <row r="35" ht="15" customHeight="1">
      <c r="A35" s="1"/>
      <c r="B35" s="1" t="s">
        <v>361</v>
      </c>
      <c r="C35" s="42">
        <v>13</v>
      </c>
      <c r="D35" s="42">
        <v>14</v>
      </c>
      <c r="E35" s="42">
        <v>10</v>
      </c>
      <c r="F35" s="42">
        <v>13</v>
      </c>
      <c r="G35" s="12">
        <f>Inputs!E227+Inputs!F227+C35+D35</f>
        <v>50</v>
      </c>
      <c r="H35" s="41">
        <f>-H17</f>
        <v>13</v>
      </c>
      <c r="I35" s="1"/>
      <c r="J35" s="1"/>
    </row>
    <row r="36" ht="15" customHeight="1">
      <c r="A36" s="1"/>
      <c r="B36" s="1" t="s">
        <v>381</v>
      </c>
      <c r="C36" s="42">
        <v>-6</v>
      </c>
      <c r="D36" s="42">
        <v>-335</v>
      </c>
      <c r="E36" s="42">
        <v>-396</v>
      </c>
      <c r="F36" s="42">
        <v>-4</v>
      </c>
      <c r="G36" s="12">
        <f>Inputs!E228+Inputs!F228+C36+D36</f>
        <v>-357</v>
      </c>
      <c r="H36" s="43">
        <v>0</v>
      </c>
      <c r="I36" s="1"/>
      <c r="J36" s="1" t="s">
        <v>382</v>
      </c>
    </row>
    <row r="37" ht="15" customHeight="1">
      <c r="A37" s="1"/>
      <c r="B37" s="1" t="s">
        <v>383</v>
      </c>
      <c r="C37" s="42">
        <v>-1</v>
      </c>
      <c r="D37" s="42">
        <v>-1</v>
      </c>
      <c r="E37" s="42">
        <v>0</v>
      </c>
      <c r="F37" s="42">
        <v>0</v>
      </c>
      <c r="G37" s="12">
        <f>Inputs!E229+Inputs!F229+C37+D37</f>
        <v>-3</v>
      </c>
      <c r="H37" s="43">
        <v>0</v>
      </c>
      <c r="I37" s="1"/>
      <c r="J37" s="1"/>
    </row>
    <row r="38" ht="15" customHeight="1">
      <c r="A38" s="1"/>
      <c r="B38" s="1" t="s">
        <v>384</v>
      </c>
      <c r="C38" s="42">
        <v>0</v>
      </c>
      <c r="D38" s="42">
        <v>0</v>
      </c>
      <c r="E38" s="42">
        <v>3</v>
      </c>
      <c r="F38" s="42">
        <v>0</v>
      </c>
      <c r="G38" s="12">
        <f>Inputs!E230+Inputs!F230+C38+D38</f>
        <v>0</v>
      </c>
      <c r="H38" s="43">
        <v>0</v>
      </c>
      <c r="I38" s="1"/>
      <c r="J38" s="1"/>
    </row>
    <row r="39" ht="15" customHeight="1">
      <c r="A39" s="1"/>
      <c r="B39" s="3" t="s">
        <v>385</v>
      </c>
      <c r="C39" s="37">
        <f t="shared" si="2" ref="C39:H39">C30+C31+C32+C33+C34+C35+C36+C37+C38</f>
        <v>-1194</v>
      </c>
      <c r="D39" s="37">
        <f t="shared" si="2"/>
        <v>-603</v>
      </c>
      <c r="E39" s="37">
        <f t="shared" si="2"/>
        <v>-853</v>
      </c>
      <c r="F39" s="37">
        <f t="shared" si="2"/>
        <v>-1618</v>
      </c>
      <c r="G39" s="37">
        <f t="shared" si="2"/>
        <v>-3369</v>
      </c>
      <c r="H39" s="38">
        <f t="shared" si="2"/>
        <v>-1401.25</v>
      </c>
      <c r="I39" s="1"/>
      <c r="J39" s="1"/>
    </row>
    <row r="40" ht="15" customHeight="1">
      <c r="A40" s="1"/>
      <c r="B40" s="31" t="s">
        <v>386</v>
      </c>
      <c r="C40" s="1"/>
      <c r="D40" s="1"/>
      <c r="E40" s="1"/>
      <c r="F40" s="1"/>
      <c r="G40" s="1"/>
      <c r="H40" s="32"/>
      <c r="I40" s="1"/>
      <c r="J40" s="1"/>
    </row>
    <row r="41" ht="15" customHeight="1">
      <c r="A41" s="1"/>
      <c r="B41" s="1" t="s">
        <v>387</v>
      </c>
      <c r="C41" s="42">
        <v>2638</v>
      </c>
      <c r="D41" s="42">
        <v>3715</v>
      </c>
      <c r="E41" s="42">
        <v>2055</v>
      </c>
      <c r="F41" s="42">
        <v>2448</v>
      </c>
      <c r="G41" s="12">
        <f>Inputs!E231+Inputs!F231+C41+D41</f>
        <v>11182</v>
      </c>
      <c r="H41" s="41">
        <f>MAX(H59,0)</f>
        <v>553.6652035088471</v>
      </c>
      <c r="I41" s="1"/>
      <c r="J41" s="1"/>
    </row>
    <row r="42" ht="15" customHeight="1">
      <c r="A42" s="1"/>
      <c r="B42" s="1" t="s">
        <v>388</v>
      </c>
      <c r="C42" s="42">
        <v>-1910</v>
      </c>
      <c r="D42" s="42">
        <v>-3667</v>
      </c>
      <c r="E42" s="42">
        <v>-2449</v>
      </c>
      <c r="F42" s="42">
        <v>-2145</v>
      </c>
      <c r="G42" s="12">
        <f>Inputs!E232+Inputs!F232+C42+D42</f>
        <v>-10529</v>
      </c>
      <c r="H42" s="41">
        <f>MIN(H59,0)</f>
        <v>0</v>
      </c>
      <c r="I42" s="1"/>
      <c r="J42" s="1"/>
    </row>
    <row r="43" ht="15" customHeight="1">
      <c r="A43" s="1"/>
      <c r="B43" s="1" t="s">
        <v>389</v>
      </c>
      <c r="C43" s="42">
        <v>0</v>
      </c>
      <c r="D43" s="42">
        <v>0</v>
      </c>
      <c r="E43" s="42">
        <v>-18</v>
      </c>
      <c r="F43" s="42">
        <v>0</v>
      </c>
      <c r="G43" s="12">
        <f>Inputs!E233+Inputs!F233+C43+D43</f>
        <v>-23</v>
      </c>
      <c r="H43" s="43">
        <v>0</v>
      </c>
      <c r="I43" s="1"/>
      <c r="J43" s="1"/>
    </row>
    <row r="44" ht="15" customHeight="1">
      <c r="A44" s="1"/>
      <c r="B44" s="1" t="s">
        <v>390</v>
      </c>
      <c r="C44" s="42">
        <v>-9</v>
      </c>
      <c r="D44" s="42">
        <v>-15</v>
      </c>
      <c r="E44" s="42">
        <v>0</v>
      </c>
      <c r="F44" s="42">
        <v>-1</v>
      </c>
      <c r="G44" s="12">
        <f>Inputs!E234+Inputs!F234+C44+D44</f>
        <v>-38</v>
      </c>
      <c r="H44" s="43">
        <v>0</v>
      </c>
      <c r="I44" s="1"/>
      <c r="J44" s="1"/>
    </row>
    <row r="45" ht="15" customHeight="1">
      <c r="A45" s="1"/>
      <c r="B45" s="1" t="s">
        <v>391</v>
      </c>
      <c r="C45" s="42">
        <v>-618</v>
      </c>
      <c r="D45" s="42">
        <v>-631</v>
      </c>
      <c r="E45" s="42">
        <v>-421</v>
      </c>
      <c r="F45" s="42">
        <v>-395</v>
      </c>
      <c r="G45" s="12">
        <f>Inputs!E235+Inputs!F235+C45+D45</f>
        <v>-1969</v>
      </c>
      <c r="H45" s="33">
        <f>-'Share Count'!H26</f>
        <v>-378</v>
      </c>
      <c r="I45" s="1"/>
      <c r="J45" s="1"/>
    </row>
    <row r="46" ht="15" customHeight="1">
      <c r="A46" s="1"/>
      <c r="B46" s="1" t="s">
        <v>392</v>
      </c>
      <c r="C46" s="42">
        <v>-115</v>
      </c>
      <c r="D46" s="42">
        <v>-114</v>
      </c>
      <c r="E46" s="42">
        <v>-125</v>
      </c>
      <c r="F46" s="42">
        <v>-123</v>
      </c>
      <c r="G46" s="12">
        <f>Inputs!E236+Inputs!F236+C46+D46</f>
        <v>-464</v>
      </c>
      <c r="H46" s="33">
        <f>-'Share Count'!H35</f>
        <v>-122.26591761571429</v>
      </c>
      <c r="I46" s="1"/>
      <c r="J46" s="1"/>
    </row>
    <row r="47" ht="15" customHeight="1">
      <c r="A47" s="1"/>
      <c r="B47" s="3" t="s">
        <v>393</v>
      </c>
      <c r="C47" s="37">
        <f t="shared" si="3" ref="C47:H47">C41+C42+C43+C44+C45+C46</f>
        <v>-14</v>
      </c>
      <c r="D47" s="37">
        <f t="shared" si="3"/>
        <v>-712</v>
      </c>
      <c r="E47" s="37">
        <f t="shared" si="3"/>
        <v>-958</v>
      </c>
      <c r="F47" s="37">
        <f t="shared" si="3"/>
        <v>-216</v>
      </c>
      <c r="G47" s="37">
        <f t="shared" si="3"/>
        <v>-1841</v>
      </c>
      <c r="H47" s="38">
        <f t="shared" si="3"/>
        <v>53.399285893132785</v>
      </c>
      <c r="I47" s="1"/>
      <c r="J47" s="1"/>
    </row>
    <row r="48" ht="15" customHeight="1">
      <c r="A48" s="1"/>
      <c r="B48" s="1" t="s">
        <v>394</v>
      </c>
      <c r="C48" s="42">
        <v>-9</v>
      </c>
      <c r="D48" s="42">
        <v>6</v>
      </c>
      <c r="E48" s="42">
        <v>-6</v>
      </c>
      <c r="F48" s="42">
        <v>-1</v>
      </c>
      <c r="G48" s="12">
        <f>Inputs!E237+Inputs!F237+C48+D48</f>
        <v>22</v>
      </c>
      <c r="H48" s="43">
        <v>0</v>
      </c>
      <c r="I48" s="1"/>
      <c r="J48" s="1"/>
    </row>
    <row r="49" ht="15" customHeight="1">
      <c r="A49" s="1"/>
      <c r="B49" s="3" t="s">
        <v>395</v>
      </c>
      <c r="C49" s="37">
        <f t="shared" si="4" ref="C49:H49">C27+C39+C47+C48</f>
        <v>-36</v>
      </c>
      <c r="D49" s="37">
        <f t="shared" si="4"/>
        <v>-53</v>
      </c>
      <c r="E49" s="37">
        <f t="shared" si="4"/>
        <v>-303</v>
      </c>
      <c r="F49" s="37">
        <f t="shared" si="4"/>
        <v>-44</v>
      </c>
      <c r="G49" s="37">
        <f t="shared" si="4"/>
        <v>2</v>
      </c>
      <c r="H49" s="38">
        <f t="shared" si="4"/>
        <v>-2.000000000000071</v>
      </c>
      <c r="I49" s="1"/>
      <c r="J49" s="1"/>
    </row>
    <row r="50" ht="15" customHeight="1">
      <c r="A50" s="1"/>
      <c r="B50" s="1" t="s">
        <v>396</v>
      </c>
      <c r="C50" s="42">
        <v>548</v>
      </c>
      <c r="D50" s="15">
        <f t="shared" si="5" ref="D50:F50">C51</f>
        <v>512</v>
      </c>
      <c r="E50" s="15">
        <f t="shared" si="5"/>
        <v>459</v>
      </c>
      <c r="F50" s="15">
        <f t="shared" si="5"/>
        <v>156</v>
      </c>
      <c r="G50" s="12">
        <f>Inputs!E238</f>
        <v>457</v>
      </c>
      <c r="H50" s="41">
        <f>F51</f>
        <v>112</v>
      </c>
      <c r="I50" s="1"/>
      <c r="J50" s="1"/>
    </row>
    <row r="51" ht="15" customHeight="1">
      <c r="A51" s="1"/>
      <c r="B51" s="3" t="s">
        <v>397</v>
      </c>
      <c r="C51" s="37">
        <f t="shared" si="6" ref="C51:H51">C50+C49</f>
        <v>512</v>
      </c>
      <c r="D51" s="37">
        <f t="shared" si="6"/>
        <v>459</v>
      </c>
      <c r="E51" s="37">
        <f t="shared" si="6"/>
        <v>156</v>
      </c>
      <c r="F51" s="37">
        <f t="shared" si="6"/>
        <v>112</v>
      </c>
      <c r="G51" s="37">
        <f t="shared" si="6"/>
        <v>459</v>
      </c>
      <c r="H51" s="38">
        <f t="shared" si="6"/>
        <v>109.99999999999993</v>
      </c>
      <c r="I51" s="1"/>
      <c r="J51" s="1"/>
    </row>
    <row r="52" ht="15" customHeight="1">
      <c r="A52" s="1"/>
      <c r="B52" s="1" t="s">
        <v>398</v>
      </c>
      <c r="C52" s="12">
        <f>C51-'Balance Sheet'!C11</f>
        <v>0</v>
      </c>
      <c r="D52" s="12">
        <f>D51-'Balance Sheet'!D11</f>
        <v>0</v>
      </c>
      <c r="E52" s="12">
        <f>E51-'Balance Sheet'!E11</f>
        <v>0</v>
      </c>
      <c r="F52" s="12">
        <f>F51-'Balance Sheet'!F11</f>
        <v>0</v>
      </c>
      <c r="G52" s="12">
        <f>G51-'Balance Sheet'!G11</f>
        <v>0</v>
      </c>
      <c r="H52" s="33">
        <f>H51-'Balance Sheet'!H11</f>
        <v>0</v>
      </c>
      <c r="I52" s="1"/>
      <c r="J52" s="1"/>
    </row>
    <row r="53" ht="15" customHeight="1">
      <c r="A53" s="1"/>
      <c r="B53" s="1" t="s">
        <v>399</v>
      </c>
      <c r="C53" s="12">
        <f>C49-('Balance Sheet'!C11-C50)</f>
        <v>0</v>
      </c>
      <c r="D53" s="12">
        <f>D49-('Balance Sheet'!D11-'Balance Sheet'!C11)</f>
        <v>0</v>
      </c>
      <c r="E53" s="12">
        <f>E49-('Balance Sheet'!E11-'Balance Sheet'!D11)</f>
        <v>0</v>
      </c>
      <c r="F53" s="12">
        <f>F49-('Balance Sheet'!F11-'Balance Sheet'!E11)</f>
        <v>0</v>
      </c>
      <c r="G53" s="12">
        <f>G49-('Balance Sheet'!G11-G50)</f>
        <v>0</v>
      </c>
      <c r="H53" s="33">
        <f>H49-('Balance Sheet'!H11-'Balance Sheet'!F11)</f>
        <v>0</v>
      </c>
      <c r="I53" s="1"/>
      <c r="J53" s="1"/>
    </row>
    <row r="54" ht="15" customHeight="1">
      <c r="A54" s="1"/>
      <c r="B54" s="31" t="s">
        <v>400</v>
      </c>
      <c r="C54" s="1"/>
      <c r="D54" s="1"/>
      <c r="E54" s="1"/>
      <c r="F54" s="1"/>
      <c r="G54" s="1"/>
      <c r="H54" s="32"/>
      <c r="I54" s="1"/>
      <c r="J54" s="1"/>
    </row>
    <row r="55" ht="15" customHeight="1">
      <c r="A55" s="1"/>
      <c r="B55" s="3" t="s">
        <v>401</v>
      </c>
      <c r="C55" s="37">
        <f t="shared" si="7" ref="C55:H55">C27+C30+C31+C32+C33+C35</f>
        <v>-6</v>
      </c>
      <c r="D55" s="37">
        <f t="shared" si="7"/>
        <v>989</v>
      </c>
      <c r="E55" s="37">
        <f t="shared" si="7"/>
        <v>1054</v>
      </c>
      <c r="F55" s="37">
        <f t="shared" si="7"/>
        <v>95</v>
      </c>
      <c r="G55" s="37">
        <f t="shared" si="7"/>
        <v>2181</v>
      </c>
      <c r="H55" s="38">
        <f t="shared" si="7"/>
        <v>-55.399285893132856</v>
      </c>
      <c r="I55" s="1"/>
      <c r="J55" s="1"/>
    </row>
    <row r="56" ht="15" customHeight="1">
      <c r="A56" s="1"/>
      <c r="B56" s="1" t="s">
        <v>402</v>
      </c>
      <c r="C56" s="12">
        <f>'Revenue summary'!C84-C32</f>
        <v>1157</v>
      </c>
      <c r="D56" s="12">
        <f>'Revenue summary'!D84-D32</f>
        <v>43</v>
      </c>
      <c r="E56" s="12">
        <f>'Revenue summary'!E84-E32</f>
        <v>524</v>
      </c>
      <c r="F56" s="12">
        <f>'Revenue summary'!F84-F32</f>
        <v>1727</v>
      </c>
      <c r="G56" s="12">
        <f>'Revenue summary'!G84-G32</f>
        <v>2776</v>
      </c>
      <c r="H56" s="33">
        <f>'Revenue summary'!H84-H32</f>
        <v>1232.25</v>
      </c>
      <c r="I56" s="1"/>
      <c r="J56" s="1"/>
    </row>
    <row r="57" ht="15" customHeight="1">
      <c r="A57" s="1"/>
      <c r="B57" s="1" t="s">
        <v>403</v>
      </c>
      <c r="C57" s="15" t="s">
        <v>33</v>
      </c>
      <c r="D57" s="15" t="s">
        <v>33</v>
      </c>
      <c r="E57" s="15" t="s">
        <v>33</v>
      </c>
      <c r="F57" s="15" t="s">
        <v>33</v>
      </c>
      <c r="G57" s="15" t="s">
        <v>33</v>
      </c>
      <c r="H57" s="43">
        <v>100</v>
      </c>
      <c r="I57" s="1"/>
      <c r="J57" s="1" t="s">
        <v>404</v>
      </c>
    </row>
    <row r="58" ht="15" customHeight="1">
      <c r="A58" s="1"/>
      <c r="B58" s="1" t="s">
        <v>405</v>
      </c>
      <c r="C58" s="15" t="s">
        <v>33</v>
      </c>
      <c r="D58" s="15" t="s">
        <v>33</v>
      </c>
      <c r="E58" s="15" t="s">
        <v>33</v>
      </c>
      <c r="F58" s="15" t="s">
        <v>33</v>
      </c>
      <c r="G58" s="15" t="s">
        <v>33</v>
      </c>
      <c r="H58" s="43">
        <v>110</v>
      </c>
      <c r="I58" s="1"/>
      <c r="J58" s="1" t="s">
        <v>406</v>
      </c>
    </row>
    <row r="59" ht="15" customHeight="1">
      <c r="A59" s="1"/>
      <c r="B59" s="1" t="s">
        <v>407</v>
      </c>
      <c r="C59" s="15" t="s">
        <v>33</v>
      </c>
      <c r="D59" s="15" t="s">
        <v>33</v>
      </c>
      <c r="E59" s="15" t="s">
        <v>33</v>
      </c>
      <c r="F59" s="15" t="s">
        <v>33</v>
      </c>
      <c r="G59" s="15" t="s">
        <v>33</v>
      </c>
      <c r="H59" s="41">
        <f>H58-(H50+H27+H39+H43+H44+H45+H46+H48)</f>
        <v>553.6652035088471</v>
      </c>
      <c r="I59" s="1"/>
      <c r="J59" s="1" t="s">
        <v>408</v>
      </c>
    </row>
    <row r="60" ht="15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ht="15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CA3ADE3-2188-8168-B4B8-03D4732B42B6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409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47</v>
      </c>
      <c r="D6" s="6" t="s">
        <v>48</v>
      </c>
      <c r="E6" s="6" t="s">
        <v>49</v>
      </c>
      <c r="F6" s="6" t="s">
        <v>50</v>
      </c>
      <c r="G6" s="6" t="s">
        <v>51</v>
      </c>
      <c r="H6" s="28" t="s">
        <v>4</v>
      </c>
      <c r="I6" s="1"/>
      <c r="J6" s="1"/>
    </row>
    <row r="7" ht="15" customHeight="1">
      <c r="A7" s="1"/>
      <c r="B7" s="7" t="s">
        <v>5</v>
      </c>
      <c r="C7" s="8">
        <v>45930</v>
      </c>
      <c r="D7" s="8">
        <v>46022</v>
      </c>
      <c r="E7" s="8">
        <v>46112</v>
      </c>
      <c r="F7" s="8">
        <v>46203</v>
      </c>
      <c r="G7" s="8">
        <v>46022</v>
      </c>
      <c r="H7" s="29">
        <v>46295</v>
      </c>
      <c r="I7" s="1"/>
      <c r="J7" s="1"/>
    </row>
    <row r="8" ht="15" customHeight="1">
      <c r="A8" s="1"/>
      <c r="B8" s="9" t="s">
        <v>6</v>
      </c>
      <c r="C8" s="10">
        <f t="shared" si="0" ref="C8:H8">C7-EOMONTH(C7,-3)</f>
        <v>92</v>
      </c>
      <c r="D8" s="10">
        <f t="shared" si="0"/>
        <v>92</v>
      </c>
      <c r="E8" s="10">
        <f t="shared" si="0"/>
        <v>90</v>
      </c>
      <c r="F8" s="10">
        <f t="shared" si="0"/>
        <v>91</v>
      </c>
      <c r="G8" s="10">
        <f>G7-EOMONTH(G7,-12)</f>
        <v>365</v>
      </c>
      <c r="H8" s="30">
        <f t="shared" si="0"/>
        <v>92</v>
      </c>
      <c r="I8" s="1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3" t="s">
        <v>52</v>
      </c>
    </row>
    <row r="10" ht="15" customHeight="1">
      <c r="A10" s="1"/>
      <c r="B10" s="31" t="s">
        <v>410</v>
      </c>
      <c r="C10" s="1"/>
      <c r="D10" s="1"/>
      <c r="E10" s="1"/>
      <c r="F10" s="1"/>
      <c r="G10" s="1"/>
      <c r="H10" s="32"/>
      <c r="I10" s="1"/>
      <c r="J10" s="1"/>
    </row>
    <row r="11" ht="15" customHeight="1">
      <c r="A11" s="1"/>
      <c r="B11" s="1" t="s">
        <v>411</v>
      </c>
      <c r="C11" s="42">
        <v>64.2</v>
      </c>
      <c r="D11" s="42">
        <v>63.4</v>
      </c>
      <c r="E11" s="42">
        <v>62.9</v>
      </c>
      <c r="F11" s="42">
        <v>62.6</v>
      </c>
      <c r="G11" s="42">
        <v>64.4</v>
      </c>
      <c r="H11" s="41">
        <f>H31-H30*H28+H30*H29</f>
        <v>62.06391757142857</v>
      </c>
      <c r="I11" s="1"/>
      <c r="J11" s="1"/>
    </row>
    <row r="12" ht="15" customHeight="1">
      <c r="A12" s="1"/>
      <c r="B12" s="4" t="s">
        <v>56</v>
      </c>
      <c r="C12" s="34">
        <f>C11/Inputs!C190-1</f>
        <v>-0.027272727272727226</v>
      </c>
      <c r="D12" s="34">
        <f>D11/Inputs!D190-1</f>
        <v>-0.03353658536585358</v>
      </c>
      <c r="E12" s="34">
        <f>E11/Inputs!E190-1</f>
        <v>-0.03675344563552829</v>
      </c>
      <c r="F12" s="34">
        <f>F11/Inputs!F190-1</f>
        <v>-0.035439137134052445</v>
      </c>
      <c r="G12" s="34">
        <f>G11/Inputs!G190-1</f>
        <v>-0.02865761689291091</v>
      </c>
      <c r="H12" s="35">
        <f t="shared" si="2" ref="H12:H16">H11/C11-1</f>
        <v>-0.0332723119715177</v>
      </c>
      <c r="I12" s="1"/>
      <c r="J12" s="1"/>
    </row>
    <row r="13" ht="15" customHeight="1">
      <c r="A13" s="1"/>
      <c r="B13" s="1" t="s">
        <v>79</v>
      </c>
      <c r="C13" s="12">
        <f>C11-Inputs!F190</f>
        <v>-0.7000000000000028</v>
      </c>
      <c r="D13" s="15">
        <f t="shared" si="1" ref="D13:F17">D11-C11</f>
        <v>-0.8000000000000043</v>
      </c>
      <c r="E13" s="15">
        <f t="shared" si="1"/>
        <v>-0.5</v>
      </c>
      <c r="F13" s="15">
        <f t="shared" si="1"/>
        <v>-0.29999999999999716</v>
      </c>
      <c r="G13" s="15"/>
      <c r="H13" s="41">
        <f t="shared" si="3" ref="H13:H17">H11-F11</f>
        <v>-0.536082428571433</v>
      </c>
      <c r="I13" s="1"/>
      <c r="J13" s="1"/>
    </row>
    <row r="14" ht="15" customHeight="1">
      <c r="A14" s="1"/>
      <c r="B14" s="1" t="s">
        <v>412</v>
      </c>
      <c r="C14" s="42">
        <v>0.1</v>
      </c>
      <c r="D14" s="42">
        <v>0.2</v>
      </c>
      <c r="E14" s="42">
        <v>0.1</v>
      </c>
      <c r="F14" s="42">
        <v>0</v>
      </c>
      <c r="G14" s="42">
        <v>0.2</v>
      </c>
      <c r="H14" s="43">
        <v>0.05</v>
      </c>
      <c r="I14" s="1"/>
      <c r="J14" s="1"/>
    </row>
    <row r="15" ht="15" customHeight="1">
      <c r="A15" s="1"/>
      <c r="B15" s="3" t="s">
        <v>413</v>
      </c>
      <c r="C15" s="44">
        <v>64.3</v>
      </c>
      <c r="D15" s="44">
        <v>63.6</v>
      </c>
      <c r="E15" s="44">
        <v>63</v>
      </c>
      <c r="F15" s="44">
        <v>62.6</v>
      </c>
      <c r="G15" s="44">
        <v>64.6</v>
      </c>
      <c r="H15" s="38">
        <f>H11+H14</f>
        <v>62.113917571428566</v>
      </c>
      <c r="I15" s="1"/>
      <c r="J15" s="1"/>
    </row>
    <row r="16" ht="15" customHeight="1">
      <c r="A16" s="1"/>
      <c r="B16" s="4" t="s">
        <v>56</v>
      </c>
      <c r="C16" s="34">
        <f>C15/Inputs!C191-1</f>
        <v>-0.028700906344410915</v>
      </c>
      <c r="D16" s="34">
        <f>D15/Inputs!D191-1</f>
        <v>-0.03343465045592697</v>
      </c>
      <c r="E16" s="34">
        <f>E15/Inputs!E191-1</f>
        <v>-0.03669724770642213</v>
      </c>
      <c r="F16" s="34">
        <f>F15/Inputs!F191-1</f>
        <v>-0.035439137134052445</v>
      </c>
      <c r="G16" s="34">
        <f>G15/Inputs!G191-1</f>
        <v>-0.03003003003003002</v>
      </c>
      <c r="H16" s="35">
        <f t="shared" si="2"/>
        <v>-0.03399817151744067</v>
      </c>
      <c r="I16" s="1"/>
      <c r="J16" s="1"/>
    </row>
    <row r="17" ht="15" customHeight="1">
      <c r="A17" s="1"/>
      <c r="B17" s="1" t="s">
        <v>79</v>
      </c>
      <c r="C17" s="12">
        <f>C15-Inputs!F191</f>
        <v>-0.6000000000000085</v>
      </c>
      <c r="D17" s="15">
        <f t="shared" si="1"/>
        <v>-0.6999999999999957</v>
      </c>
      <c r="E17" s="15">
        <f t="shared" si="1"/>
        <v>-0.6000000000000014</v>
      </c>
      <c r="F17" s="15">
        <f t="shared" si="1"/>
        <v>-0.3999999999999986</v>
      </c>
      <c r="G17" s="15"/>
      <c r="H17" s="41">
        <f t="shared" si="3"/>
        <v>-0.4860824285714358</v>
      </c>
      <c r="I17" s="1"/>
      <c r="J17" s="1"/>
    </row>
    <row r="18" ht="15" customHeight="1">
      <c r="A18" s="1"/>
      <c r="B18" s="1" t="s">
        <v>414</v>
      </c>
      <c r="C18" s="27" t="b">
        <f t="shared" si="4" ref="C18:H18">ABS(C11+C14-C15)&lt;0.051</f>
        <v>1</v>
      </c>
      <c r="D18" s="27" t="b">
        <f t="shared" si="4"/>
        <v>1</v>
      </c>
      <c r="E18" s="27" t="b">
        <f t="shared" si="4"/>
        <v>1</v>
      </c>
      <c r="F18" s="27" t="b">
        <f t="shared" si="4"/>
        <v>1</v>
      </c>
      <c r="G18" s="27" t="b">
        <f t="shared" si="4"/>
        <v>1</v>
      </c>
      <c r="H18" s="39" t="b">
        <f t="shared" si="4"/>
        <v>1</v>
      </c>
      <c r="I18" s="1"/>
      <c r="J18" s="1"/>
    </row>
    <row r="19" ht="15" customHeight="1">
      <c r="A19" s="1"/>
      <c r="B19" s="31" t="s">
        <v>415</v>
      </c>
      <c r="C19" s="1"/>
      <c r="D19" s="1"/>
      <c r="E19" s="1"/>
      <c r="F19" s="1"/>
      <c r="G19" s="1"/>
      <c r="H19" s="32"/>
      <c r="I19" s="1"/>
      <c r="J19" s="1"/>
    </row>
    <row r="20" ht="15" customHeight="1">
      <c r="A20" s="1"/>
      <c r="B20" s="1" t="s">
        <v>416</v>
      </c>
      <c r="C20" s="42">
        <v>63.630147</v>
      </c>
      <c r="D20" s="42">
        <v>62.998147</v>
      </c>
      <c r="E20" s="42">
        <v>62.646557</v>
      </c>
      <c r="F20" s="42">
        <v>62.242489</v>
      </c>
      <c r="G20" s="15">
        <f>D20</f>
        <v>62.998147</v>
      </c>
      <c r="H20" s="41" t="s">
        <v>33</v>
      </c>
      <c r="I20" s="1"/>
      <c r="J20" s="1" t="s">
        <v>417</v>
      </c>
    </row>
    <row r="21" ht="15" customHeight="1">
      <c r="A21" s="1"/>
      <c r="B21" s="1" t="s">
        <v>418</v>
      </c>
      <c r="C21" s="12">
        <f>-'Cash Flow Statement'!C45</f>
        <v>618</v>
      </c>
      <c r="D21" s="12">
        <f>-'Cash Flow Statement'!D45</f>
        <v>631</v>
      </c>
      <c r="E21" s="12">
        <f>-'Cash Flow Statement'!E45</f>
        <v>421</v>
      </c>
      <c r="F21" s="12">
        <f>-'Cash Flow Statement'!F45</f>
        <v>395</v>
      </c>
      <c r="G21" s="12">
        <f>-'Cash Flow Statement'!G45</f>
        <v>1969</v>
      </c>
      <c r="H21" s="33">
        <f>-'Cash Flow Statement'!H45</f>
        <v>378</v>
      </c>
      <c r="I21" s="1"/>
      <c r="J21" s="1"/>
    </row>
    <row r="22" ht="15" customHeight="1">
      <c r="A22" s="1"/>
      <c r="B22" s="1" t="s">
        <v>419</v>
      </c>
      <c r="C22" s="15" t="s">
        <v>33</v>
      </c>
      <c r="D22" s="15" t="s">
        <v>33</v>
      </c>
      <c r="E22" s="15" t="s">
        <v>33</v>
      </c>
      <c r="F22" s="15" t="s">
        <v>33</v>
      </c>
      <c r="G22" s="15" t="s">
        <v>33</v>
      </c>
      <c r="H22" s="33">
        <f>Guidance!C51</f>
        <v>1500</v>
      </c>
      <c r="I22" s="1"/>
      <c r="J22" s="1"/>
    </row>
    <row r="23" ht="15" customHeight="1">
      <c r="A23" s="1"/>
      <c r="B23" s="1" t="s">
        <v>420</v>
      </c>
      <c r="C23" s="15" t="s">
        <v>33</v>
      </c>
      <c r="D23" s="15" t="s">
        <v>33</v>
      </c>
      <c r="E23" s="15" t="s">
        <v>33</v>
      </c>
      <c r="F23" s="15" t="s">
        <v>33</v>
      </c>
      <c r="G23" s="15" t="s">
        <v>33</v>
      </c>
      <c r="H23" s="43">
        <v>750</v>
      </c>
      <c r="I23" s="1"/>
      <c r="J23" s="1"/>
    </row>
    <row r="24" ht="15" customHeight="1">
      <c r="A24" s="1"/>
      <c r="B24" s="1" t="s">
        <v>421</v>
      </c>
      <c r="C24" s="15" t="s">
        <v>33</v>
      </c>
      <c r="D24" s="15" t="s">
        <v>33</v>
      </c>
      <c r="E24" s="15" t="s">
        <v>33</v>
      </c>
      <c r="F24" s="15" t="s">
        <v>33</v>
      </c>
      <c r="G24" s="15" t="s">
        <v>33</v>
      </c>
      <c r="H24" s="41">
        <f>(H22-H23)/2</f>
        <v>375</v>
      </c>
      <c r="I24" s="1"/>
      <c r="J24" s="1"/>
    </row>
    <row r="25" ht="15" customHeight="1">
      <c r="A25" s="1"/>
      <c r="B25" s="1" t="s">
        <v>422</v>
      </c>
      <c r="C25" s="15" t="s">
        <v>33</v>
      </c>
      <c r="D25" s="15" t="s">
        <v>33</v>
      </c>
      <c r="E25" s="15" t="s">
        <v>33</v>
      </c>
      <c r="F25" s="15" t="s">
        <v>33</v>
      </c>
      <c r="G25" s="15" t="s">
        <v>33</v>
      </c>
      <c r="H25" s="43">
        <v>3</v>
      </c>
      <c r="I25" s="1"/>
      <c r="J25" s="1"/>
    </row>
    <row r="26" ht="15" customHeight="1">
      <c r="A26" s="1"/>
      <c r="B26" s="3" t="s">
        <v>423</v>
      </c>
      <c r="C26" s="37">
        <f t="shared" si="5" ref="C26:G26">C21</f>
        <v>618</v>
      </c>
      <c r="D26" s="37">
        <f t="shared" si="5"/>
        <v>631</v>
      </c>
      <c r="E26" s="37">
        <f t="shared" si="5"/>
        <v>421</v>
      </c>
      <c r="F26" s="37">
        <f t="shared" si="5"/>
        <v>395</v>
      </c>
      <c r="G26" s="37">
        <f t="shared" si="5"/>
        <v>1969</v>
      </c>
      <c r="H26" s="38">
        <f>H24+H25</f>
        <v>378</v>
      </c>
      <c r="I26" s="1"/>
      <c r="J26" s="1"/>
    </row>
    <row r="27" ht="15" customHeight="1">
      <c r="A27" s="1"/>
      <c r="B27" s="1" t="s">
        <v>424</v>
      </c>
      <c r="C27" s="18" t="s">
        <v>33</v>
      </c>
      <c r="D27" s="18" t="s">
        <v>33</v>
      </c>
      <c r="E27" s="18" t="s">
        <v>33</v>
      </c>
      <c r="F27" s="18" t="s">
        <v>33</v>
      </c>
      <c r="G27" s="18" t="s">
        <v>33</v>
      </c>
      <c r="H27" s="66">
        <v>1050</v>
      </c>
      <c r="I27" s="1"/>
      <c r="J27" s="1" t="s">
        <v>425</v>
      </c>
    </row>
    <row r="28" ht="15" customHeight="1">
      <c r="A28" s="1"/>
      <c r="B28" s="1" t="s">
        <v>426</v>
      </c>
      <c r="C28" s="15" t="s">
        <v>33</v>
      </c>
      <c r="D28" s="15" t="s">
        <v>33</v>
      </c>
      <c r="E28" s="15" t="s">
        <v>33</v>
      </c>
      <c r="F28" s="15" t="s">
        <v>33</v>
      </c>
      <c r="G28" s="15" t="s">
        <v>33</v>
      </c>
      <c r="H28" s="41">
        <f>H24/H27</f>
        <v>0.35714285714285715</v>
      </c>
      <c r="I28" s="1"/>
      <c r="J28" s="1"/>
    </row>
    <row r="29" ht="15" customHeight="1">
      <c r="A29" s="1"/>
      <c r="B29" s="1" t="s">
        <v>427</v>
      </c>
      <c r="C29" s="15" t="s">
        <v>33</v>
      </c>
      <c r="D29" s="15" t="s">
        <v>33</v>
      </c>
      <c r="E29" s="15" t="s">
        <v>33</v>
      </c>
      <c r="F29" s="15" t="s">
        <v>33</v>
      </c>
      <c r="G29" s="15" t="s">
        <v>33</v>
      </c>
      <c r="H29" s="43">
        <v>0</v>
      </c>
      <c r="I29" s="1"/>
      <c r="J29" s="1"/>
    </row>
    <row r="30" ht="15" customHeight="1">
      <c r="A30" s="1"/>
      <c r="B30" s="1" t="s">
        <v>428</v>
      </c>
      <c r="C30" s="16" t="s">
        <v>33</v>
      </c>
      <c r="D30" s="16" t="s">
        <v>33</v>
      </c>
      <c r="E30" s="16" t="s">
        <v>33</v>
      </c>
      <c r="F30" s="16" t="s">
        <v>33</v>
      </c>
      <c r="G30" s="16" t="s">
        <v>33</v>
      </c>
      <c r="H30" s="49">
        <v>0.5</v>
      </c>
      <c r="I30" s="1"/>
      <c r="J30" s="1" t="s">
        <v>429</v>
      </c>
    </row>
    <row r="31" ht="15" customHeight="1">
      <c r="A31" s="1"/>
      <c r="B31" s="1" t="s">
        <v>430</v>
      </c>
      <c r="C31" s="15" t="s">
        <v>33</v>
      </c>
      <c r="D31" s="15" t="s">
        <v>33</v>
      </c>
      <c r="E31" s="15" t="s">
        <v>33</v>
      </c>
      <c r="F31" s="15" t="s">
        <v>33</v>
      </c>
      <c r="G31" s="15" t="s">
        <v>33</v>
      </c>
      <c r="H31" s="41">
        <f>F20</f>
        <v>62.242489</v>
      </c>
      <c r="I31" s="1"/>
      <c r="J31" s="1" t="s">
        <v>431</v>
      </c>
    </row>
    <row r="32" ht="15" customHeight="1">
      <c r="A32" s="1"/>
      <c r="B32" s="3" t="s">
        <v>432</v>
      </c>
      <c r="C32" s="37" t="s">
        <v>33</v>
      </c>
      <c r="D32" s="37" t="s">
        <v>33</v>
      </c>
      <c r="E32" s="37" t="s">
        <v>33</v>
      </c>
      <c r="F32" s="37" t="s">
        <v>33</v>
      </c>
      <c r="G32" s="37" t="s">
        <v>33</v>
      </c>
      <c r="H32" s="38">
        <f>H31-H28+H29</f>
        <v>61.885346142857145</v>
      </c>
      <c r="I32" s="1"/>
      <c r="J32" s="1"/>
    </row>
    <row r="33" ht="15" customHeight="1">
      <c r="A33" s="1"/>
      <c r="B33" s="31" t="s">
        <v>433</v>
      </c>
      <c r="C33" s="1"/>
      <c r="D33" s="1"/>
      <c r="E33" s="1"/>
      <c r="F33" s="1"/>
      <c r="G33" s="1"/>
      <c r="H33" s="32"/>
      <c r="I33" s="1"/>
      <c r="J33" s="1"/>
    </row>
    <row r="34" ht="15" customHeight="1">
      <c r="A34" s="1"/>
      <c r="B34" s="1" t="s">
        <v>434</v>
      </c>
      <c r="C34" s="64">
        <v>1.79</v>
      </c>
      <c r="D34" s="64">
        <v>1.79</v>
      </c>
      <c r="E34" s="64">
        <v>1.97</v>
      </c>
      <c r="F34" s="64">
        <v>1.97</v>
      </c>
      <c r="G34" s="64">
        <v>7.16</v>
      </c>
      <c r="H34" s="66">
        <v>1.97</v>
      </c>
      <c r="I34" s="1"/>
      <c r="J34" s="1" t="s">
        <v>435</v>
      </c>
    </row>
    <row r="35" ht="15" customHeight="1">
      <c r="A35" s="1"/>
      <c r="B35" s="1" t="s">
        <v>436</v>
      </c>
      <c r="C35" s="12">
        <f>-'Cash Flow Statement'!C46</f>
        <v>115</v>
      </c>
      <c r="D35" s="12">
        <f>-'Cash Flow Statement'!D46</f>
        <v>114</v>
      </c>
      <c r="E35" s="12">
        <f>-'Cash Flow Statement'!E46</f>
        <v>125</v>
      </c>
      <c r="F35" s="12">
        <f>-'Cash Flow Statement'!F46</f>
        <v>123</v>
      </c>
      <c r="G35" s="12">
        <f>-'Cash Flow Statement'!G46</f>
        <v>464</v>
      </c>
      <c r="H35" s="41">
        <f>H34*(H31+H32)/2</f>
        <v>122.26591761571429</v>
      </c>
      <c r="I35" s="1"/>
      <c r="J35" s="1"/>
    </row>
    <row r="36" ht="15" customHeight="1">
      <c r="A36" s="1"/>
      <c r="B36" s="31" t="s">
        <v>437</v>
      </c>
      <c r="C36" s="1"/>
      <c r="D36" s="1"/>
      <c r="E36" s="1"/>
      <c r="F36" s="1"/>
      <c r="G36" s="1"/>
      <c r="H36" s="32"/>
      <c r="I36" s="1"/>
      <c r="J36" s="1"/>
    </row>
    <row r="37" ht="15" customHeight="1">
      <c r="A37" s="1"/>
      <c r="B37" s="3" t="s">
        <v>438</v>
      </c>
      <c r="C37" s="70">
        <f t="shared" si="6" ref="C37:H37">C15</f>
        <v>64.3</v>
      </c>
      <c r="D37" s="70">
        <f t="shared" si="6"/>
        <v>63.6</v>
      </c>
      <c r="E37" s="70">
        <f t="shared" si="6"/>
        <v>63</v>
      </c>
      <c r="F37" s="70">
        <f t="shared" si="6"/>
        <v>62.6</v>
      </c>
      <c r="G37" s="70">
        <f t="shared" si="6"/>
        <v>64.6</v>
      </c>
      <c r="H37" s="71">
        <f t="shared" si="6"/>
        <v>62.113917571428566</v>
      </c>
      <c r="I37" s="1"/>
      <c r="J37" s="1"/>
    </row>
    <row r="38" ht="15" customHeight="1">
      <c r="A38" s="1"/>
      <c r="B38" s="1" t="s">
        <v>439</v>
      </c>
      <c r="C38" s="17">
        <f>'Income Statement'!C81</f>
        <v>11.7</v>
      </c>
      <c r="D38" s="17">
        <f>'Income Statement'!D81</f>
        <v>11.089999999999998</v>
      </c>
      <c r="E38" s="17">
        <f>'Income Statement'!E81</f>
        <v>9.709999999999999</v>
      </c>
      <c r="F38" s="17">
        <f>'Income Statement'!F81</f>
        <v>12.76</v>
      </c>
      <c r="G38" s="17">
        <f>'Income Statement'!G81</f>
        <v>42.06</v>
      </c>
      <c r="H38" s="62">
        <f>'Income Statement'!H81</f>
        <v>13.926291405748765</v>
      </c>
      <c r="I38" s="1"/>
      <c r="J38" s="1"/>
    </row>
    <row r="39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5D24619-ABEA-4FC7-1ED6-762372F56649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9" width="12.00390625" customWidth="1"/>
    <col min="10" max="10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440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4</v>
      </c>
      <c r="D6" s="6"/>
      <c r="E6" s="6"/>
      <c r="F6" s="6"/>
      <c r="G6" s="6"/>
      <c r="H6" s="6"/>
      <c r="I6" s="6"/>
      <c r="J6" s="1"/>
    </row>
    <row r="7" ht="15" customHeight="1">
      <c r="A7" s="1"/>
      <c r="B7" s="7" t="s">
        <v>5</v>
      </c>
      <c r="C7" s="8">
        <v>46295</v>
      </c>
      <c r="D7" s="8"/>
      <c r="E7" s="8"/>
      <c r="F7" s="8"/>
      <c r="G7" s="8"/>
      <c r="H7" s="8"/>
      <c r="I7" s="8"/>
      <c r="J7" s="1"/>
    </row>
    <row r="8" ht="15" customHeight="1">
      <c r="A8" s="1"/>
      <c r="B8" s="9" t="s">
        <v>6</v>
      </c>
      <c r="C8" s="10">
        <f>C7-EOMONTH(C7,-3)</f>
        <v>92</v>
      </c>
      <c r="D8" s="10"/>
      <c r="E8" s="10"/>
      <c r="F8" s="10"/>
      <c r="G8" s="10"/>
      <c r="H8" s="10"/>
      <c r="I8" s="10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3" t="s">
        <v>52</v>
      </c>
    </row>
    <row r="10" ht="15" customHeight="1">
      <c r="A10" s="1"/>
      <c r="B10" s="13" t="s">
        <v>441</v>
      </c>
      <c r="C10" s="14" t="s">
        <v>442</v>
      </c>
      <c r="D10" s="14" t="s">
        <v>3</v>
      </c>
      <c r="E10" s="14" t="s">
        <v>443</v>
      </c>
      <c r="F10" s="14" t="s">
        <v>444</v>
      </c>
      <c r="G10" s="14" t="s">
        <v>445</v>
      </c>
      <c r="H10" s="14" t="s">
        <v>446</v>
      </c>
      <c r="I10" s="14" t="s">
        <v>447</v>
      </c>
      <c r="J10" s="1"/>
    </row>
    <row r="11" ht="15" customHeight="1">
      <c r="A11" s="1"/>
      <c r="B11" s="31" t="s">
        <v>448</v>
      </c>
      <c r="C11" s="1"/>
      <c r="D11" s="1"/>
      <c r="E11" s="1"/>
      <c r="F11" s="1"/>
      <c r="G11" s="1"/>
      <c r="H11" s="1"/>
      <c r="I11" s="1"/>
      <c r="J11" s="1"/>
    </row>
    <row r="12" ht="15" customHeight="1">
      <c r="A12" s="1"/>
      <c r="B12" s="1" t="s">
        <v>30</v>
      </c>
      <c r="C12" s="72">
        <v>45861</v>
      </c>
      <c r="D12" s="27" t="s">
        <v>449</v>
      </c>
      <c r="E12" s="42">
        <v>15800</v>
      </c>
      <c r="F12" s="42">
        <v>16100</v>
      </c>
      <c r="G12" s="15">
        <f t="shared" si="0" ref="G12:G45">(E12+F12)/2</f>
        <v>15950</v>
      </c>
      <c r="H12" s="12">
        <f>'Income Statement'!G16</f>
        <v>16099</v>
      </c>
      <c r="I12" s="15" t="str">
        <f t="shared" si="1" ref="I12:I45">IF(ISNUMBER(H12),IF(H12&gt;G12,"Beat",IF(H12&lt;G12,"Miss","In line")),"Pending")</f>
        <v>Beat</v>
      </c>
      <c r="J12" s="1"/>
    </row>
    <row r="13" ht="15" customHeight="1">
      <c r="A13" s="1"/>
      <c r="B13" s="1" t="s">
        <v>31</v>
      </c>
      <c r="C13" s="72">
        <v>45861</v>
      </c>
      <c r="D13" s="27" t="s">
        <v>449</v>
      </c>
      <c r="E13" s="42">
        <v>7300</v>
      </c>
      <c r="F13" s="42">
        <v>7450</v>
      </c>
      <c r="G13" s="15">
        <f t="shared" si="0"/>
        <v>7375</v>
      </c>
      <c r="H13" s="12">
        <f>'Income Statement'!G108</f>
        <v>7328</v>
      </c>
      <c r="I13" s="15" t="str">
        <f t="shared" si="1"/>
        <v>Miss</v>
      </c>
      <c r="J13" s="1"/>
    </row>
    <row r="14" ht="15" customHeight="1">
      <c r="A14" s="1"/>
      <c r="B14" s="1" t="s">
        <v>452</v>
      </c>
      <c r="C14" s="72">
        <v>45861</v>
      </c>
      <c r="D14" s="27" t="s">
        <v>449</v>
      </c>
      <c r="E14" s="42">
        <v>3650</v>
      </c>
      <c r="F14" s="42">
        <v>3950</v>
      </c>
      <c r="G14" s="15">
        <f t="shared" si="0"/>
        <v>3800</v>
      </c>
      <c r="H14" s="12">
        <f>'Revenue summary'!G84</f>
        <v>4189</v>
      </c>
      <c r="I14" s="15" t="str">
        <f t="shared" si="2" ref="I14:I41">IF(ISNUMBER(H14),IF(H14&gt;G14,"Above",IF(H14&lt;G14,"Below","In line")),"Pending")</f>
        <v>Above</v>
      </c>
      <c r="J14" s="1"/>
    </row>
    <row r="15" ht="15" customHeight="1">
      <c r="A15" s="1"/>
      <c r="B15" s="1" t="s">
        <v>454</v>
      </c>
      <c r="C15" s="72">
        <v>45861</v>
      </c>
      <c r="D15" s="27" t="s">
        <v>449</v>
      </c>
      <c r="E15" s="42">
        <v>4900</v>
      </c>
      <c r="F15" s="42">
        <v>5500</v>
      </c>
      <c r="G15" s="15">
        <f t="shared" si="0"/>
        <v>5200</v>
      </c>
      <c r="H15" s="12">
        <f>'Cash Flow Statement'!G27</f>
        <v>5190</v>
      </c>
      <c r="I15" s="15" t="str">
        <f t="shared" si="1"/>
        <v>Miss</v>
      </c>
      <c r="J15" s="1"/>
    </row>
    <row r="16" ht="15" customHeight="1">
      <c r="A16" s="1"/>
      <c r="B16" s="31" t="s">
        <v>455</v>
      </c>
      <c r="C16" s="1"/>
      <c r="D16" s="1"/>
      <c r="E16" s="1"/>
      <c r="F16" s="1"/>
      <c r="G16" s="1"/>
      <c r="H16" s="1"/>
      <c r="I16" s="1"/>
      <c r="J16" s="1"/>
    </row>
    <row r="17" ht="15" customHeight="1">
      <c r="A17" s="1"/>
      <c r="B17" s="1" t="s">
        <v>30</v>
      </c>
      <c r="C17" s="72">
        <v>45952</v>
      </c>
      <c r="D17" s="27" t="s">
        <v>449</v>
      </c>
      <c r="E17" s="42">
        <v>16000</v>
      </c>
      <c r="F17" s="42">
        <v>16200</v>
      </c>
      <c r="G17" s="15">
        <f t="shared" si="0"/>
        <v>16100</v>
      </c>
      <c r="H17" s="12">
        <f>'Income Statement'!G16</f>
        <v>16099</v>
      </c>
      <c r="I17" s="15" t="str">
        <f t="shared" si="1"/>
        <v>Miss</v>
      </c>
      <c r="J17" s="1"/>
    </row>
    <row r="18" ht="15" customHeight="1">
      <c r="A18" s="1"/>
      <c r="B18" s="1" t="s">
        <v>31</v>
      </c>
      <c r="C18" s="72">
        <v>45952</v>
      </c>
      <c r="D18" s="27" t="s">
        <v>449</v>
      </c>
      <c r="E18" s="42">
        <v>7325</v>
      </c>
      <c r="F18" s="42">
        <v>7425</v>
      </c>
      <c r="G18" s="15">
        <f t="shared" si="0"/>
        <v>7375</v>
      </c>
      <c r="H18" s="12">
        <f>'Income Statement'!G108</f>
        <v>7328</v>
      </c>
      <c r="I18" s="15" t="str">
        <f t="shared" si="1"/>
        <v>Miss</v>
      </c>
      <c r="J18" s="1"/>
    </row>
    <row r="19" ht="15" customHeight="1">
      <c r="A19" s="1"/>
      <c r="B19" s="1" t="s">
        <v>452</v>
      </c>
      <c r="C19" s="72">
        <v>45952</v>
      </c>
      <c r="D19" s="27" t="s">
        <v>449</v>
      </c>
      <c r="E19" s="42">
        <v>4000</v>
      </c>
      <c r="F19" s="42">
        <v>4200</v>
      </c>
      <c r="G19" s="15">
        <f t="shared" si="0"/>
        <v>4100</v>
      </c>
      <c r="H19" s="12">
        <f>'Revenue summary'!G84</f>
        <v>4189</v>
      </c>
      <c r="I19" s="15" t="str">
        <f t="shared" si="2"/>
        <v>Above</v>
      </c>
      <c r="J19" s="1"/>
    </row>
    <row r="20" ht="15" customHeight="1">
      <c r="A20" s="1"/>
      <c r="B20" s="1" t="s">
        <v>456</v>
      </c>
      <c r="C20" s="72">
        <v>45952</v>
      </c>
      <c r="D20" s="27" t="s">
        <v>449</v>
      </c>
      <c r="E20" s="42">
        <v>2550</v>
      </c>
      <c r="F20" s="42">
        <v>2750</v>
      </c>
      <c r="G20" s="15">
        <f t="shared" si="0"/>
        <v>2650</v>
      </c>
      <c r="H20" s="12">
        <f>'Cash Flow Statement'!G56</f>
        <v>2776</v>
      </c>
      <c r="I20" s="15" t="str">
        <f t="shared" si="2"/>
        <v>Above</v>
      </c>
      <c r="J20" s="1"/>
    </row>
    <row r="21" ht="15" customHeight="1">
      <c r="A21" s="1"/>
      <c r="B21" s="1" t="s">
        <v>454</v>
      </c>
      <c r="C21" s="72">
        <v>45952</v>
      </c>
      <c r="D21" s="27" t="s">
        <v>449</v>
      </c>
      <c r="E21" s="42">
        <v>5000</v>
      </c>
      <c r="F21" s="42">
        <v>5400</v>
      </c>
      <c r="G21" s="15">
        <f t="shared" si="0"/>
        <v>5200</v>
      </c>
      <c r="H21" s="12">
        <f>'Cash Flow Statement'!G27</f>
        <v>5190</v>
      </c>
      <c r="I21" s="15" t="str">
        <f t="shared" si="1"/>
        <v>Miss</v>
      </c>
      <c r="J21" s="1"/>
    </row>
    <row r="22" ht="15" customHeight="1">
      <c r="A22" s="1"/>
      <c r="B22" s="1" t="s">
        <v>457</v>
      </c>
      <c r="C22" s="72">
        <v>45952</v>
      </c>
      <c r="D22" s="27" t="s">
        <v>449</v>
      </c>
      <c r="E22" s="42">
        <v>2100</v>
      </c>
      <c r="F22" s="42">
        <v>2300</v>
      </c>
      <c r="G22" s="15">
        <f t="shared" si="0"/>
        <v>2200</v>
      </c>
      <c r="H22" s="42">
        <v>2186</v>
      </c>
      <c r="I22" s="27" t="str">
        <f t="shared" si="1"/>
        <v>Miss</v>
      </c>
      <c r="J22" s="1"/>
    </row>
    <row r="23" ht="15" customHeight="1">
      <c r="A23" s="1"/>
      <c r="B23" s="31" t="s">
        <v>458</v>
      </c>
      <c r="C23" s="1"/>
      <c r="D23" s="1"/>
      <c r="E23" s="1"/>
      <c r="F23" s="1"/>
      <c r="G23" s="1"/>
      <c r="H23" s="1"/>
      <c r="I23" s="1"/>
      <c r="J23" s="1"/>
    </row>
    <row r="24" ht="15" customHeight="1">
      <c r="A24" s="1"/>
      <c r="B24" s="1" t="s">
        <v>30</v>
      </c>
      <c r="C24" s="72">
        <v>46050</v>
      </c>
      <c r="D24" s="27" t="s">
        <v>459</v>
      </c>
      <c r="E24" s="42">
        <v>16800</v>
      </c>
      <c r="F24" s="42">
        <v>17300</v>
      </c>
      <c r="G24" s="15">
        <f t="shared" si="0"/>
        <v>17050</v>
      </c>
      <c r="H24" s="15" t="s">
        <v>33</v>
      </c>
      <c r="I24" s="27" t="str">
        <f t="shared" si="1"/>
        <v>Pending</v>
      </c>
      <c r="J24" s="1"/>
    </row>
    <row r="25" ht="15" customHeight="1">
      <c r="A25" s="1"/>
      <c r="B25" s="1" t="s">
        <v>31</v>
      </c>
      <c r="C25" s="72">
        <v>46050</v>
      </c>
      <c r="D25" s="27" t="s">
        <v>459</v>
      </c>
      <c r="E25" s="42">
        <v>7575</v>
      </c>
      <c r="F25" s="42">
        <v>7825</v>
      </c>
      <c r="G25" s="15">
        <f t="shared" si="0"/>
        <v>7700</v>
      </c>
      <c r="H25" s="15" t="s">
        <v>33</v>
      </c>
      <c r="I25" s="27" t="str">
        <f t="shared" si="1"/>
        <v>Pending</v>
      </c>
      <c r="J25" s="1"/>
    </row>
    <row r="26" ht="15" customHeight="1">
      <c r="A26" s="1"/>
      <c r="B26" s="1" t="s">
        <v>452</v>
      </c>
      <c r="C26" s="72">
        <v>46050</v>
      </c>
      <c r="D26" s="27" t="s">
        <v>459</v>
      </c>
      <c r="E26" s="42">
        <v>4300</v>
      </c>
      <c r="F26" s="42">
        <v>4700</v>
      </c>
      <c r="G26" s="15">
        <f t="shared" si="0"/>
        <v>4500</v>
      </c>
      <c r="H26" s="15" t="s">
        <v>33</v>
      </c>
      <c r="I26" s="15" t="str">
        <f t="shared" si="2"/>
        <v>Pending</v>
      </c>
      <c r="J26" s="1"/>
    </row>
    <row r="27" ht="15" customHeight="1">
      <c r="A27" s="1"/>
      <c r="B27" s="1" t="s">
        <v>456</v>
      </c>
      <c r="C27" s="72">
        <v>46050</v>
      </c>
      <c r="D27" s="27" t="s">
        <v>459</v>
      </c>
      <c r="E27" s="42">
        <v>2850</v>
      </c>
      <c r="F27" s="42">
        <v>3250</v>
      </c>
      <c r="G27" s="15">
        <f t="shared" si="0"/>
        <v>3050</v>
      </c>
      <c r="H27" s="15" t="s">
        <v>33</v>
      </c>
      <c r="I27" s="15" t="str">
        <f t="shared" si="2"/>
        <v>Pending</v>
      </c>
      <c r="J27" s="1"/>
    </row>
    <row r="28" ht="15" customHeight="1">
      <c r="A28" s="1"/>
      <c r="B28" s="1" t="s">
        <v>454</v>
      </c>
      <c r="C28" s="72">
        <v>46050</v>
      </c>
      <c r="D28" s="27" t="s">
        <v>459</v>
      </c>
      <c r="E28" s="42">
        <v>5300</v>
      </c>
      <c r="F28" s="42">
        <v>6100</v>
      </c>
      <c r="G28" s="15">
        <f t="shared" si="0"/>
        <v>5700</v>
      </c>
      <c r="H28" s="15" t="s">
        <v>33</v>
      </c>
      <c r="I28" s="27" t="str">
        <f t="shared" si="1"/>
        <v>Pending</v>
      </c>
      <c r="J28" s="1"/>
    </row>
    <row r="29" ht="15" customHeight="1">
      <c r="A29" s="1"/>
      <c r="B29" s="1" t="s">
        <v>461</v>
      </c>
      <c r="C29" s="72">
        <v>46050</v>
      </c>
      <c r="D29" s="27" t="s">
        <v>459</v>
      </c>
      <c r="E29" s="42">
        <v>2150</v>
      </c>
      <c r="F29" s="42">
        <v>2450</v>
      </c>
      <c r="G29" s="15">
        <f t="shared" si="0"/>
        <v>2300</v>
      </c>
      <c r="H29" s="15" t="s">
        <v>33</v>
      </c>
      <c r="I29" s="27" t="str">
        <f t="shared" si="1"/>
        <v>Pending</v>
      </c>
      <c r="J29" s="1"/>
    </row>
    <row r="30" ht="15" customHeight="1">
      <c r="A30" s="1"/>
      <c r="B30" s="31" t="s">
        <v>462</v>
      </c>
      <c r="C30" s="1"/>
      <c r="D30" s="1"/>
      <c r="E30" s="1"/>
      <c r="F30" s="1"/>
      <c r="G30" s="1"/>
      <c r="H30" s="1"/>
      <c r="I30" s="1"/>
      <c r="J30" s="1"/>
    </row>
    <row r="31" ht="15" customHeight="1">
      <c r="A31" s="1"/>
      <c r="B31" s="1" t="s">
        <v>30</v>
      </c>
      <c r="C31" s="72">
        <v>46134</v>
      </c>
      <c r="D31" s="27" t="s">
        <v>459</v>
      </c>
      <c r="E31" s="42">
        <v>16900</v>
      </c>
      <c r="F31" s="42">
        <v>17400</v>
      </c>
      <c r="G31" s="15">
        <f t="shared" si="0"/>
        <v>17150</v>
      </c>
      <c r="H31" s="15" t="s">
        <v>33</v>
      </c>
      <c r="I31" s="27" t="str">
        <f t="shared" si="1"/>
        <v>Pending</v>
      </c>
      <c r="J31" s="1"/>
    </row>
    <row r="32" ht="15" customHeight="1">
      <c r="A32" s="1"/>
      <c r="B32" s="1" t="s">
        <v>31</v>
      </c>
      <c r="C32" s="72">
        <v>46134</v>
      </c>
      <c r="D32" s="27" t="s">
        <v>459</v>
      </c>
      <c r="E32" s="42">
        <v>7625</v>
      </c>
      <c r="F32" s="42">
        <v>7875</v>
      </c>
      <c r="G32" s="15">
        <f t="shared" si="0"/>
        <v>7750</v>
      </c>
      <c r="H32" s="15" t="s">
        <v>33</v>
      </c>
      <c r="I32" s="27" t="str">
        <f t="shared" si="1"/>
        <v>Pending</v>
      </c>
      <c r="J32" s="1"/>
    </row>
    <row r="33" ht="15" customHeight="1">
      <c r="A33" s="1"/>
      <c r="B33" s="1" t="s">
        <v>452</v>
      </c>
      <c r="C33" s="72">
        <v>46134</v>
      </c>
      <c r="D33" s="27" t="s">
        <v>459</v>
      </c>
      <c r="E33" s="42">
        <v>4400</v>
      </c>
      <c r="F33" s="42">
        <v>4800</v>
      </c>
      <c r="G33" s="15">
        <f t="shared" si="0"/>
        <v>4600</v>
      </c>
      <c r="H33" s="15" t="s">
        <v>33</v>
      </c>
      <c r="I33" s="15" t="str">
        <f t="shared" si="2"/>
        <v>Pending</v>
      </c>
      <c r="J33" s="1"/>
    </row>
    <row r="34" ht="15" customHeight="1">
      <c r="A34" s="1"/>
      <c r="B34" s="1" t="s">
        <v>456</v>
      </c>
      <c r="C34" s="72">
        <v>46134</v>
      </c>
      <c r="D34" s="27" t="s">
        <v>459</v>
      </c>
      <c r="E34" s="42">
        <v>2950</v>
      </c>
      <c r="F34" s="42">
        <v>3350</v>
      </c>
      <c r="G34" s="15">
        <f t="shared" si="0"/>
        <v>3150</v>
      </c>
      <c r="H34" s="15" t="s">
        <v>33</v>
      </c>
      <c r="I34" s="15" t="str">
        <f t="shared" si="2"/>
        <v>Pending</v>
      </c>
      <c r="J34" s="1"/>
    </row>
    <row r="35" ht="15" customHeight="1">
      <c r="A35" s="1"/>
      <c r="B35" s="1" t="s">
        <v>454</v>
      </c>
      <c r="C35" s="72">
        <v>46134</v>
      </c>
      <c r="D35" s="27" t="s">
        <v>459</v>
      </c>
      <c r="E35" s="42">
        <v>5400</v>
      </c>
      <c r="F35" s="42">
        <v>6200</v>
      </c>
      <c r="G35" s="15">
        <f t="shared" si="0"/>
        <v>5800</v>
      </c>
      <c r="H35" s="15" t="s">
        <v>33</v>
      </c>
      <c r="I35" s="27" t="str">
        <f t="shared" si="1"/>
        <v>Pending</v>
      </c>
      <c r="J35" s="1"/>
    </row>
    <row r="36" ht="15" customHeight="1">
      <c r="A36" s="1"/>
      <c r="B36" s="1" t="s">
        <v>461</v>
      </c>
      <c r="C36" s="72">
        <v>46134</v>
      </c>
      <c r="D36" s="27" t="s">
        <v>459</v>
      </c>
      <c r="E36" s="42">
        <v>2150</v>
      </c>
      <c r="F36" s="42">
        <v>2450</v>
      </c>
      <c r="G36" s="15">
        <f t="shared" si="0"/>
        <v>2300</v>
      </c>
      <c r="H36" s="15" t="s">
        <v>33</v>
      </c>
      <c r="I36" s="27" t="str">
        <f t="shared" si="1"/>
        <v>Pending</v>
      </c>
      <c r="J36" s="1"/>
    </row>
    <row r="37" ht="15" customHeight="1">
      <c r="A37" s="1"/>
      <c r="B37" s="31" t="s">
        <v>463</v>
      </c>
      <c r="C37" s="1"/>
      <c r="D37" s="1"/>
      <c r="E37" s="1"/>
      <c r="F37" s="1"/>
      <c r="G37" s="1"/>
      <c r="H37" s="1"/>
      <c r="I37" s="1"/>
      <c r="J37" s="1"/>
    </row>
    <row r="38" ht="15" customHeight="1">
      <c r="A38" s="1"/>
      <c r="B38" s="1" t="s">
        <v>30</v>
      </c>
      <c r="C38" s="72">
        <v>46225</v>
      </c>
      <c r="D38" s="27" t="s">
        <v>459</v>
      </c>
      <c r="E38" s="42">
        <v>17500</v>
      </c>
      <c r="F38" s="42">
        <v>17800</v>
      </c>
      <c r="G38" s="15">
        <f t="shared" si="0"/>
        <v>17650</v>
      </c>
      <c r="H38" s="15" t="s">
        <v>33</v>
      </c>
      <c r="I38" s="27" t="str">
        <f t="shared" si="1"/>
        <v>Pending</v>
      </c>
      <c r="J38" s="1"/>
    </row>
    <row r="39" ht="15" customHeight="1">
      <c r="A39" s="1"/>
      <c r="B39" s="1" t="s">
        <v>31</v>
      </c>
      <c r="C39" s="72">
        <v>46225</v>
      </c>
      <c r="D39" s="27" t="s">
        <v>459</v>
      </c>
      <c r="E39" s="42">
        <v>7975</v>
      </c>
      <c r="F39" s="42">
        <v>8125</v>
      </c>
      <c r="G39" s="15">
        <f t="shared" si="0"/>
        <v>8050</v>
      </c>
      <c r="H39" s="15" t="s">
        <v>33</v>
      </c>
      <c r="I39" s="27" t="str">
        <f t="shared" si="1"/>
        <v>Pending</v>
      </c>
      <c r="J39" s="1"/>
    </row>
    <row r="40" ht="15" customHeight="1">
      <c r="A40" s="1"/>
      <c r="B40" s="1" t="s">
        <v>452</v>
      </c>
      <c r="C40" s="72">
        <v>46225</v>
      </c>
      <c r="D40" s="27" t="s">
        <v>459</v>
      </c>
      <c r="E40" s="42">
        <v>4850</v>
      </c>
      <c r="F40" s="42">
        <v>5250</v>
      </c>
      <c r="G40" s="15">
        <f t="shared" si="0"/>
        <v>5050</v>
      </c>
      <c r="H40" s="15" t="s">
        <v>33</v>
      </c>
      <c r="I40" s="15" t="str">
        <f t="shared" si="2"/>
        <v>Pending</v>
      </c>
      <c r="J40" s="1"/>
    </row>
    <row r="41" ht="15" customHeight="1">
      <c r="A41" s="1"/>
      <c r="B41" s="1" t="s">
        <v>456</v>
      </c>
      <c r="C41" s="72">
        <v>46225</v>
      </c>
      <c r="D41" s="27" t="s">
        <v>459</v>
      </c>
      <c r="E41" s="42">
        <v>3400</v>
      </c>
      <c r="F41" s="42">
        <v>3800</v>
      </c>
      <c r="G41" s="15">
        <f t="shared" si="0"/>
        <v>3600</v>
      </c>
      <c r="H41" s="15" t="s">
        <v>33</v>
      </c>
      <c r="I41" s="15" t="str">
        <f t="shared" si="2"/>
        <v>Pending</v>
      </c>
      <c r="J41" s="1"/>
    </row>
    <row r="42" ht="15" customHeight="1">
      <c r="A42" s="1"/>
      <c r="B42" s="1" t="s">
        <v>454</v>
      </c>
      <c r="C42" s="72">
        <v>46225</v>
      </c>
      <c r="D42" s="27" t="s">
        <v>459</v>
      </c>
      <c r="E42" s="42">
        <v>5850</v>
      </c>
      <c r="F42" s="42">
        <v>6650</v>
      </c>
      <c r="G42" s="15">
        <f t="shared" si="0"/>
        <v>6250</v>
      </c>
      <c r="H42" s="15" t="s">
        <v>33</v>
      </c>
      <c r="I42" s="27" t="str">
        <f t="shared" si="1"/>
        <v>Pending</v>
      </c>
      <c r="J42" s="1"/>
    </row>
    <row r="43" ht="15" customHeight="1">
      <c r="A43" s="1"/>
      <c r="B43" s="1" t="s">
        <v>461</v>
      </c>
      <c r="C43" s="72">
        <v>46225</v>
      </c>
      <c r="D43" s="27" t="s">
        <v>459</v>
      </c>
      <c r="E43" s="42">
        <v>2150</v>
      </c>
      <c r="F43" s="42">
        <v>2450</v>
      </c>
      <c r="G43" s="15">
        <f t="shared" si="0"/>
        <v>2300</v>
      </c>
      <c r="H43" s="15" t="s">
        <v>33</v>
      </c>
      <c r="I43" s="27" t="str">
        <f t="shared" si="1"/>
        <v>Pending</v>
      </c>
      <c r="J43" s="1"/>
    </row>
    <row r="44" ht="15" customHeight="1">
      <c r="A44" s="1"/>
      <c r="B44" s="1" t="s">
        <v>464</v>
      </c>
      <c r="C44" s="72">
        <v>46225</v>
      </c>
      <c r="D44" s="27" t="s">
        <v>459</v>
      </c>
      <c r="E44" s="42">
        <v>1450</v>
      </c>
      <c r="F44" s="42">
        <v>1450</v>
      </c>
      <c r="G44" s="15">
        <f t="shared" si="0"/>
        <v>1450</v>
      </c>
      <c r="H44" s="15" t="s">
        <v>33</v>
      </c>
      <c r="I44" s="27" t="str">
        <f t="shared" si="1"/>
        <v>Pending</v>
      </c>
      <c r="J44" s="1"/>
    </row>
    <row r="45" ht="15" customHeight="1">
      <c r="A45" s="1"/>
      <c r="B45" s="1" t="s">
        <v>465</v>
      </c>
      <c r="C45" s="72">
        <v>46225</v>
      </c>
      <c r="D45" s="27" t="s">
        <v>459</v>
      </c>
      <c r="E45" s="42">
        <v>1500</v>
      </c>
      <c r="F45" s="42">
        <v>1500</v>
      </c>
      <c r="G45" s="15">
        <f t="shared" si="0"/>
        <v>1500</v>
      </c>
      <c r="H45" s="15" t="s">
        <v>33</v>
      </c>
      <c r="I45" s="27" t="str">
        <f t="shared" si="1"/>
        <v>Pending</v>
      </c>
      <c r="J45" s="1"/>
    </row>
    <row r="46" ht="15" customHeight="1">
      <c r="A46" s="1"/>
      <c r="B46" s="1" t="s">
        <v>466</v>
      </c>
      <c r="C46" s="27" t="s">
        <v>33</v>
      </c>
      <c r="D46" s="27" t="s">
        <v>459</v>
      </c>
      <c r="E46" s="73" t="s">
        <v>33</v>
      </c>
      <c r="F46" s="73" t="s">
        <v>33</v>
      </c>
      <c r="G46" s="73" t="s">
        <v>33</v>
      </c>
      <c r="H46" s="73" t="s">
        <v>33</v>
      </c>
      <c r="I46" s="27" t="s">
        <v>467</v>
      </c>
      <c r="J46" s="1"/>
    </row>
    <row r="47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ht="15" customHeight="1">
      <c r="A48" s="1"/>
      <c r="B48" s="31" t="s">
        <v>468</v>
      </c>
      <c r="C48" s="1"/>
      <c r="D48" s="1"/>
      <c r="E48" s="1"/>
      <c r="F48" s="1"/>
      <c r="G48" s="1"/>
      <c r="H48" s="1"/>
      <c r="I48" s="1"/>
      <c r="J48" s="1"/>
    </row>
    <row r="49" ht="15" customHeight="1">
      <c r="A49" s="1"/>
      <c r="B49" s="1" t="s">
        <v>469</v>
      </c>
      <c r="C49" s="47">
        <f>COUNTIF(I12:I22,"Beat")+COUNTIF(I12:I22,"Above")</f>
        <v>4</v>
      </c>
      <c r="D49" s="47"/>
      <c r="E49" s="47"/>
      <c r="F49" s="47"/>
      <c r="G49" s="47"/>
      <c r="H49" s="47"/>
      <c r="I49" s="1"/>
      <c r="J49" s="1"/>
    </row>
    <row r="50" ht="15" customHeight="1">
      <c r="A50" s="1"/>
      <c r="B50" s="1" t="s">
        <v>470</v>
      </c>
      <c r="C50" s="47">
        <f>COUNTIF(I12:I22,"Beat")+COUNTIF(I12:I22,"Miss")+COUNTIF(I12:I22,"Above")+COUNTIF(I12:I22,"Below")+COUNTIF(I12:I22,"In line")</f>
        <v>10</v>
      </c>
      <c r="D50" s="47"/>
      <c r="E50" s="47"/>
      <c r="F50" s="47"/>
      <c r="G50" s="47"/>
      <c r="H50" s="47"/>
      <c r="I50" s="1"/>
      <c r="J50" s="1"/>
    </row>
    <row r="51" ht="15" customHeight="1">
      <c r="A51" s="1"/>
      <c r="B51" s="1" t="s">
        <v>471</v>
      </c>
      <c r="C51" s="15">
        <f>G45</f>
        <v>1500</v>
      </c>
      <c r="D51" s="15"/>
      <c r="E51" s="15"/>
      <c r="F51" s="15"/>
      <c r="G51" s="15"/>
      <c r="H51" s="15"/>
      <c r="I51" s="1"/>
      <c r="J51" s="1"/>
    </row>
    <row r="52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ht="15" customHeight="1">
      <c r="A53" s="1"/>
      <c r="B53" s="31" t="s">
        <v>472</v>
      </c>
      <c r="C53" s="1"/>
      <c r="D53" s="1"/>
      <c r="E53" s="1"/>
      <c r="F53" s="1"/>
      <c r="G53" s="1"/>
      <c r="H53" s="1"/>
      <c r="I53" s="1"/>
      <c r="J53" s="1"/>
    </row>
    <row r="54" ht="15" customHeight="1">
      <c r="A54" s="1"/>
      <c r="B54" s="1" t="s">
        <v>473</v>
      </c>
      <c r="C54" s="15">
        <f>G38</f>
        <v>17650</v>
      </c>
      <c r="D54" s="15"/>
      <c r="E54" s="15"/>
      <c r="F54" s="15"/>
      <c r="G54" s="15"/>
      <c r="H54" s="15"/>
      <c r="I54" s="1"/>
      <c r="J54" s="1"/>
    </row>
    <row r="55" ht="15" customHeight="1">
      <c r="A55" s="1"/>
      <c r="B55" s="1" t="s">
        <v>474</v>
      </c>
      <c r="C55" s="12">
        <f>'Income Statement'!E16+'Income Statement'!F16</f>
        <v>8395</v>
      </c>
      <c r="D55" s="15"/>
      <c r="E55" s="15"/>
      <c r="F55" s="15"/>
      <c r="G55" s="15"/>
      <c r="H55" s="15"/>
      <c r="I55" s="1"/>
      <c r="J55" s="1"/>
    </row>
    <row r="56" ht="15" customHeight="1">
      <c r="A56" s="1"/>
      <c r="B56" s="1" t="s">
        <v>475</v>
      </c>
      <c r="C56" s="74">
        <f t="shared" si="3" ref="C56:C61">C54-C55</f>
        <v>9255</v>
      </c>
      <c r="D56" s="74"/>
      <c r="E56" s="74"/>
      <c r="F56" s="74"/>
      <c r="G56" s="74"/>
      <c r="H56" s="74"/>
      <c r="I56" s="1"/>
      <c r="J56" s="1"/>
    </row>
    <row r="57" ht="15" customHeight="1">
      <c r="A57" s="1"/>
      <c r="B57" s="4" t="s">
        <v>476</v>
      </c>
      <c r="C57" s="34">
        <f>'Income Statement'!C16/('Income Statement'!C16+'Income Statement'!D16)</f>
        <v>0.5012445181936708</v>
      </c>
      <c r="D57" s="36"/>
      <c r="E57" s="36"/>
      <c r="F57" s="36"/>
      <c r="G57" s="36"/>
      <c r="H57" s="36"/>
      <c r="I57" s="1"/>
      <c r="J57" s="1"/>
    </row>
    <row r="58" ht="15" customHeight="1">
      <c r="A58" s="1"/>
      <c r="B58" s="3" t="s">
        <v>477</v>
      </c>
      <c r="C58" s="37">
        <f t="shared" si="4" ref="C58:C63">C56*C57</f>
        <v>4639.018015882423</v>
      </c>
      <c r="D58" s="37"/>
      <c r="E58" s="37"/>
      <c r="F58" s="37"/>
      <c r="G58" s="37"/>
      <c r="H58" s="37"/>
      <c r="I58" s="1"/>
      <c r="J58" s="1"/>
    </row>
    <row r="59" ht="15" customHeight="1">
      <c r="A59" s="1"/>
      <c r="B59" s="1" t="s">
        <v>478</v>
      </c>
      <c r="C59" s="15">
        <f>G39</f>
        <v>8050</v>
      </c>
      <c r="D59" s="15"/>
      <c r="E59" s="15"/>
      <c r="F59" s="15"/>
      <c r="G59" s="15"/>
      <c r="H59" s="15"/>
      <c r="I59" s="1"/>
      <c r="J59" s="1"/>
    </row>
    <row r="60" ht="15" customHeight="1">
      <c r="A60" s="1"/>
      <c r="B60" s="1" t="s">
        <v>479</v>
      </c>
      <c r="C60" s="12">
        <f>'Income Statement'!E108+'Income Statement'!F108</f>
        <v>3815</v>
      </c>
      <c r="D60" s="15"/>
      <c r="E60" s="15"/>
      <c r="F60" s="15"/>
      <c r="G60" s="15"/>
      <c r="H60" s="15"/>
      <c r="I60" s="1"/>
      <c r="J60" s="1"/>
    </row>
    <row r="61" ht="15" customHeight="1">
      <c r="A61" s="1"/>
      <c r="B61" s="1" t="s">
        <v>480</v>
      </c>
      <c r="C61" s="74">
        <f t="shared" si="3"/>
        <v>4235</v>
      </c>
      <c r="D61" s="74"/>
      <c r="E61" s="74"/>
      <c r="F61" s="74"/>
      <c r="G61" s="74"/>
      <c r="H61" s="74"/>
      <c r="I61" s="1"/>
      <c r="J61" s="1"/>
    </row>
    <row r="62" ht="15" customHeight="1">
      <c r="A62" s="1"/>
      <c r="B62" s="4" t="s">
        <v>476</v>
      </c>
      <c r="C62" s="34">
        <f>'Income Statement'!C108/('Income Statement'!C108+'Income Statement'!D108)</f>
        <v>0.5058487132830777</v>
      </c>
      <c r="D62" s="36"/>
      <c r="E62" s="36"/>
      <c r="F62" s="36"/>
      <c r="G62" s="36"/>
      <c r="H62" s="36"/>
      <c r="I62" s="1"/>
      <c r="J62" s="1"/>
    </row>
    <row r="63" ht="15" customHeight="1">
      <c r="A63" s="1"/>
      <c r="B63" s="3" t="s">
        <v>481</v>
      </c>
      <c r="C63" s="37">
        <f t="shared" si="4"/>
        <v>2142.269300753834</v>
      </c>
      <c r="D63" s="37"/>
      <c r="E63" s="37"/>
      <c r="F63" s="37"/>
      <c r="G63" s="37"/>
      <c r="H63" s="37"/>
      <c r="I63" s="1"/>
      <c r="J63" s="1"/>
    </row>
    <row r="64" ht="15" customHeight="1">
      <c r="A64" s="1"/>
      <c r="B64" s="4" t="s">
        <v>482</v>
      </c>
      <c r="C64" s="36">
        <f>C61/C56</f>
        <v>0.457590491626148</v>
      </c>
      <c r="D64" s="36"/>
      <c r="E64" s="36"/>
      <c r="F64" s="36"/>
      <c r="G64" s="36"/>
      <c r="H64" s="36"/>
      <c r="I64" s="1"/>
      <c r="J64" s="1"/>
    </row>
    <row r="65" ht="15" customHeight="1">
      <c r="A65" s="1"/>
      <c r="B65" s="4" t="s">
        <v>483</v>
      </c>
      <c r="C65" s="34">
        <f>('Income Statement'!C108+'Income Statement'!D108)/('Income Statement'!C16+'Income Statement'!D16)</f>
        <v>0.4559677610525068</v>
      </c>
      <c r="D65" s="36"/>
      <c r="E65" s="36"/>
      <c r="F65" s="36"/>
      <c r="G65" s="36"/>
      <c r="H65" s="36"/>
      <c r="I65" s="1"/>
      <c r="J65" s="1"/>
    </row>
    <row r="66" ht="15" customHeight="1">
      <c r="A66" s="1"/>
      <c r="B66" s="1" t="s">
        <v>484</v>
      </c>
      <c r="C66" s="15">
        <f>(F38-C55)*C57</f>
        <v>4714.204693611474</v>
      </c>
      <c r="D66" s="15"/>
      <c r="E66" s="15"/>
      <c r="F66" s="15"/>
      <c r="G66" s="15"/>
      <c r="H66" s="15"/>
      <c r="I66" s="1"/>
      <c r="J66" s="1"/>
    </row>
    <row r="67" ht="15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ht="15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A712FE8-F69D-2718-1828-27D8ACC19814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44.00390625" customWidth="1"/>
    <col min="3" max="3" width="10.00390625" customWidth="1"/>
    <col min="4" max="4" width="12.00390625" customWidth="1"/>
    <col min="5" max="5" width="24.00390625" customWidth="1"/>
    <col min="6" max="6" width="40.00390625" customWidth="1"/>
    <col min="7" max="7" width="60.00390625" customWidth="1"/>
    <col min="8" max="8" width="9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485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4</v>
      </c>
      <c r="D6" s="6"/>
      <c r="E6" s="6"/>
      <c r="F6" s="6"/>
      <c r="G6" s="6"/>
      <c r="H6" s="6"/>
      <c r="I6" s="1"/>
      <c r="J6" s="1"/>
    </row>
    <row r="7" ht="15" customHeight="1">
      <c r="A7" s="1"/>
      <c r="B7" s="7" t="s">
        <v>5</v>
      </c>
      <c r="C7" s="8">
        <v>46295</v>
      </c>
      <c r="D7" s="8"/>
      <c r="E7" s="8"/>
      <c r="F7" s="8"/>
      <c r="G7" s="8"/>
      <c r="H7" s="8"/>
      <c r="I7" s="1"/>
      <c r="J7" s="1"/>
    </row>
    <row r="8" ht="15" customHeight="1">
      <c r="A8" s="1"/>
      <c r="B8" s="9" t="s">
        <v>6</v>
      </c>
      <c r="C8" s="10">
        <f>C7-EOMONTH(C7,-3)</f>
        <v>92</v>
      </c>
      <c r="D8" s="10"/>
      <c r="E8" s="10"/>
      <c r="F8" s="10"/>
      <c r="G8" s="10"/>
      <c r="H8" s="10"/>
      <c r="I8" s="1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ht="15" customHeight="1">
      <c r="A10" s="1"/>
      <c r="B10" s="13" t="s">
        <v>486</v>
      </c>
      <c r="C10" s="75" t="s">
        <v>487</v>
      </c>
      <c r="D10" s="14" t="s">
        <v>488</v>
      </c>
      <c r="E10" s="75" t="s">
        <v>489</v>
      </c>
      <c r="F10" s="75" t="s">
        <v>490</v>
      </c>
      <c r="G10" s="75" t="s">
        <v>491</v>
      </c>
      <c r="H10" s="75" t="s">
        <v>492</v>
      </c>
      <c r="I10" s="14"/>
      <c r="J10" s="1"/>
    </row>
    <row r="11" ht="25.5" customHeight="1">
      <c r="A11" s="1"/>
      <c r="B11" s="76" t="s">
        <v>493</v>
      </c>
      <c r="C11" s="77" t="s">
        <v>494</v>
      </c>
      <c r="D11" s="78">
        <v>45952</v>
      </c>
      <c r="E11" s="77" t="s">
        <v>495</v>
      </c>
      <c r="F11" s="79" t="s">
        <v>496</v>
      </c>
      <c r="G11" s="79" t="s">
        <v>497</v>
      </c>
      <c r="H11" s="77" t="s">
        <v>498</v>
      </c>
      <c r="I11" s="1"/>
      <c r="J11" s="1"/>
    </row>
    <row r="12" ht="15" customHeight="1">
      <c r="A12" s="1"/>
      <c r="B12" s="76" t="s">
        <v>499</v>
      </c>
      <c r="C12" s="77" t="s">
        <v>500</v>
      </c>
      <c r="D12" s="78">
        <v>46050</v>
      </c>
      <c r="E12" s="77" t="s">
        <v>495</v>
      </c>
      <c r="F12" s="79" t="s">
        <v>496</v>
      </c>
      <c r="G12" s="79" t="s">
        <v>501</v>
      </c>
      <c r="H12" s="77" t="s">
        <v>502</v>
      </c>
      <c r="I12" s="1"/>
      <c r="J12" s="1"/>
    </row>
    <row r="13" ht="25.5" customHeight="1">
      <c r="A13" s="1"/>
      <c r="B13" s="76" t="s">
        <v>503</v>
      </c>
      <c r="C13" s="77" t="s">
        <v>504</v>
      </c>
      <c r="D13" s="78">
        <v>46134</v>
      </c>
      <c r="E13" s="77" t="s">
        <v>495</v>
      </c>
      <c r="F13" s="79" t="s">
        <v>496</v>
      </c>
      <c r="G13" s="79" t="s">
        <v>505</v>
      </c>
      <c r="H13" s="77" t="s">
        <v>506</v>
      </c>
      <c r="I13" s="1"/>
      <c r="J13" s="1"/>
    </row>
    <row r="14" ht="25.5" customHeight="1">
      <c r="A14" s="1"/>
      <c r="B14" s="76" t="s">
        <v>507</v>
      </c>
      <c r="C14" s="77" t="s">
        <v>508</v>
      </c>
      <c r="D14" s="78">
        <v>46225</v>
      </c>
      <c r="E14" s="77" t="s">
        <v>495</v>
      </c>
      <c r="F14" s="79" t="s">
        <v>496</v>
      </c>
      <c r="G14" s="79" t="s">
        <v>509</v>
      </c>
      <c r="H14" s="77" t="s">
        <v>510</v>
      </c>
      <c r="I14" s="1"/>
      <c r="J14" s="1"/>
    </row>
    <row r="15" ht="25.5" customHeight="1">
      <c r="A15" s="1"/>
      <c r="B15" s="76" t="s">
        <v>511</v>
      </c>
      <c r="C15" s="77" t="s">
        <v>512</v>
      </c>
      <c r="D15" s="78">
        <v>45952</v>
      </c>
      <c r="E15" s="77" t="s">
        <v>495</v>
      </c>
      <c r="F15" s="79" t="s">
        <v>496</v>
      </c>
      <c r="G15" s="79" t="s">
        <v>513</v>
      </c>
      <c r="H15" s="77" t="s">
        <v>514</v>
      </c>
      <c r="I15" s="1"/>
      <c r="J15" s="1"/>
    </row>
    <row r="16" ht="25.5" customHeight="1">
      <c r="A16" s="1"/>
      <c r="B16" s="76" t="s">
        <v>515</v>
      </c>
      <c r="C16" s="77" t="s">
        <v>516</v>
      </c>
      <c r="D16" s="78">
        <v>46050</v>
      </c>
      <c r="E16" s="77" t="s">
        <v>495</v>
      </c>
      <c r="F16" s="79" t="s">
        <v>496</v>
      </c>
      <c r="G16" s="79" t="s">
        <v>517</v>
      </c>
      <c r="H16" s="77" t="s">
        <v>518</v>
      </c>
      <c r="I16" s="1"/>
      <c r="J16" s="1"/>
    </row>
    <row r="17" ht="25.5" customHeight="1">
      <c r="A17" s="1"/>
      <c r="B17" s="76" t="s">
        <v>519</v>
      </c>
      <c r="C17" s="77" t="s">
        <v>520</v>
      </c>
      <c r="D17" s="78">
        <v>46134</v>
      </c>
      <c r="E17" s="77" t="s">
        <v>495</v>
      </c>
      <c r="F17" s="79" t="s">
        <v>496</v>
      </c>
      <c r="G17" s="79" t="s">
        <v>521</v>
      </c>
      <c r="H17" s="77" t="s">
        <v>522</v>
      </c>
      <c r="I17" s="1"/>
      <c r="J17" s="1"/>
    </row>
    <row r="18" ht="25.5" customHeight="1">
      <c r="A18" s="1"/>
      <c r="B18" s="76" t="s">
        <v>523</v>
      </c>
      <c r="C18" s="77" t="s">
        <v>524</v>
      </c>
      <c r="D18" s="78">
        <v>46225</v>
      </c>
      <c r="E18" s="77" t="s">
        <v>495</v>
      </c>
      <c r="F18" s="79" t="s">
        <v>496</v>
      </c>
      <c r="G18" s="79" t="s">
        <v>525</v>
      </c>
      <c r="H18" s="77" t="s">
        <v>526</v>
      </c>
      <c r="I18" s="1"/>
      <c r="J18" s="1"/>
    </row>
    <row r="19" ht="25.5" customHeight="1">
      <c r="A19" s="1"/>
      <c r="B19" s="76" t="s">
        <v>527</v>
      </c>
      <c r="C19" s="77" t="s">
        <v>528</v>
      </c>
      <c r="D19" s="78">
        <v>46226</v>
      </c>
      <c r="E19" s="77" t="s">
        <v>529</v>
      </c>
      <c r="F19" s="79" t="s">
        <v>496</v>
      </c>
      <c r="G19" s="79" t="s">
        <v>530</v>
      </c>
      <c r="H19" s="77" t="s">
        <v>531</v>
      </c>
      <c r="I19" s="1"/>
      <c r="J19" s="1"/>
    </row>
    <row r="20" ht="15" customHeight="1">
      <c r="A20" s="1"/>
      <c r="B20" s="76" t="s">
        <v>532</v>
      </c>
      <c r="C20" s="77" t="s">
        <v>533</v>
      </c>
      <c r="D20" s="78">
        <v>46135</v>
      </c>
      <c r="E20" s="77" t="s">
        <v>534</v>
      </c>
      <c r="F20" s="79" t="s">
        <v>496</v>
      </c>
      <c r="G20" s="79" t="s">
        <v>535</v>
      </c>
      <c r="H20" s="77" t="s">
        <v>536</v>
      </c>
      <c r="I20" s="1"/>
      <c r="J20" s="1"/>
    </row>
    <row r="21" ht="15" customHeight="1">
      <c r="A21" s="1"/>
      <c r="B21" s="76" t="s">
        <v>537</v>
      </c>
      <c r="C21" s="77" t="s">
        <v>538</v>
      </c>
      <c r="D21" s="78">
        <v>45953</v>
      </c>
      <c r="E21" s="77" t="s">
        <v>529</v>
      </c>
      <c r="F21" s="79" t="s">
        <v>496</v>
      </c>
      <c r="G21" s="79" t="s">
        <v>539</v>
      </c>
      <c r="H21" s="77" t="s">
        <v>540</v>
      </c>
      <c r="I21" s="1"/>
      <c r="J21" s="1"/>
    </row>
    <row r="22" ht="15" customHeight="1">
      <c r="A22" s="1"/>
      <c r="B22" s="76" t="s">
        <v>541</v>
      </c>
      <c r="C22" s="77" t="s">
        <v>542</v>
      </c>
      <c r="D22" s="78">
        <v>46303</v>
      </c>
      <c r="E22" s="77" t="s">
        <v>543</v>
      </c>
      <c r="F22" s="79" t="s">
        <v>496</v>
      </c>
      <c r="G22" s="79" t="s">
        <v>544</v>
      </c>
      <c r="H22" s="77" t="s">
        <v>545</v>
      </c>
      <c r="I22" s="1"/>
      <c r="J22" s="1"/>
    </row>
    <row r="23" ht="15" customHeight="1">
      <c r="A23" s="1"/>
      <c r="B23" s="76" t="s">
        <v>546</v>
      </c>
      <c r="C23" s="77" t="s">
        <v>547</v>
      </c>
      <c r="D23" s="78">
        <v>45861</v>
      </c>
      <c r="E23" s="77" t="s">
        <v>495</v>
      </c>
      <c r="F23" s="79" t="s">
        <v>496</v>
      </c>
      <c r="G23" s="79" t="s">
        <v>548</v>
      </c>
      <c r="H23" s="77" t="s">
        <v>549</v>
      </c>
      <c r="I23" s="1"/>
      <c r="J23" s="1"/>
    </row>
    <row r="24" ht="25.5" customHeight="1">
      <c r="A24" s="1"/>
      <c r="B24" s="76" t="s">
        <v>550</v>
      </c>
      <c r="C24" s="77" t="s">
        <v>551</v>
      </c>
      <c r="D24" s="78">
        <v>46313</v>
      </c>
      <c r="E24" s="77" t="s">
        <v>552</v>
      </c>
      <c r="F24" s="79" t="s">
        <v>496</v>
      </c>
      <c r="G24" s="79" t="s">
        <v>553</v>
      </c>
      <c r="H24" s="77" t="s">
        <v>554</v>
      </c>
      <c r="I24" s="1"/>
      <c r="J24" s="1"/>
    </row>
    <row r="25" ht="15" customHeight="1">
      <c r="A25" s="1"/>
      <c r="B25" s="76" t="s">
        <v>555</v>
      </c>
      <c r="C25" s="77" t="s">
        <v>556</v>
      </c>
      <c r="D25" s="78">
        <v>46313</v>
      </c>
      <c r="E25" s="77" t="s">
        <v>552</v>
      </c>
      <c r="F25" s="79" t="s">
        <v>496</v>
      </c>
      <c r="G25" s="79" t="s">
        <v>557</v>
      </c>
      <c r="H25" s="77" t="s">
        <v>558</v>
      </c>
      <c r="I25" s="1"/>
      <c r="J25" s="1"/>
    </row>
    <row r="26" ht="25.5" customHeight="1">
      <c r="A26" s="1"/>
      <c r="B26" s="76" t="s">
        <v>559</v>
      </c>
      <c r="C26" s="77" t="s">
        <v>560</v>
      </c>
      <c r="D26" s="78">
        <v>46311</v>
      </c>
      <c r="E26" s="77" t="s">
        <v>561</v>
      </c>
      <c r="F26" s="79" t="s">
        <v>496</v>
      </c>
      <c r="G26" s="79" t="s">
        <v>562</v>
      </c>
      <c r="H26" s="77" t="s">
        <v>563</v>
      </c>
      <c r="I26" s="1"/>
      <c r="J26" s="1"/>
    </row>
    <row r="27" ht="15" customHeight="1">
      <c r="A27" s="1"/>
      <c r="B27" s="76" t="s">
        <v>564</v>
      </c>
      <c r="C27" s="77" t="s">
        <v>565</v>
      </c>
      <c r="D27" s="78">
        <v>46311</v>
      </c>
      <c r="E27" s="77" t="s">
        <v>561</v>
      </c>
      <c r="F27" s="79" t="s">
        <v>496</v>
      </c>
      <c r="G27" s="79" t="s">
        <v>566</v>
      </c>
      <c r="H27" s="77" t="s">
        <v>567</v>
      </c>
      <c r="I27" s="1"/>
      <c r="J27" s="1"/>
    </row>
    <row r="28" ht="25.5" customHeight="1">
      <c r="A28" s="1"/>
      <c r="B28" s="76" t="s">
        <v>568</v>
      </c>
      <c r="C28" s="77" t="s">
        <v>569</v>
      </c>
      <c r="D28" s="78">
        <v>46274</v>
      </c>
      <c r="E28" s="77" t="s">
        <v>570</v>
      </c>
      <c r="F28" s="79" t="s">
        <v>496</v>
      </c>
      <c r="G28" s="79" t="s">
        <v>571</v>
      </c>
      <c r="H28" s="77" t="s">
        <v>572</v>
      </c>
      <c r="I28" s="1"/>
      <c r="J28" s="1"/>
    </row>
    <row r="29" ht="15" customHeight="1">
      <c r="A29" s="1"/>
      <c r="B29" s="76" t="s">
        <v>573</v>
      </c>
      <c r="C29" s="77" t="s">
        <v>574</v>
      </c>
      <c r="D29" s="78">
        <v>46275</v>
      </c>
      <c r="E29" s="77" t="s">
        <v>575</v>
      </c>
      <c r="F29" s="79" t="s">
        <v>496</v>
      </c>
      <c r="G29" s="79" t="s">
        <v>576</v>
      </c>
      <c r="H29" s="77" t="s">
        <v>577</v>
      </c>
      <c r="I29" s="1"/>
      <c r="J29" s="1"/>
    </row>
    <row r="30" ht="15" customHeight="1">
      <c r="A30" s="1"/>
      <c r="B30" s="76" t="s">
        <v>578</v>
      </c>
      <c r="C30" s="77" t="s">
        <v>579</v>
      </c>
      <c r="D30" s="78">
        <v>46309</v>
      </c>
      <c r="E30" s="77" t="s">
        <v>575</v>
      </c>
      <c r="F30" s="79" t="s">
        <v>496</v>
      </c>
      <c r="G30" s="79" t="s">
        <v>580</v>
      </c>
      <c r="H30" s="77" t="s">
        <v>581</v>
      </c>
      <c r="I30" s="1"/>
      <c r="J30" s="1"/>
    </row>
    <row r="31" ht="15" customHeight="1">
      <c r="A31" s="1"/>
      <c r="B31" s="76" t="s">
        <v>582</v>
      </c>
      <c r="C31" s="77" t="s">
        <v>583</v>
      </c>
      <c r="D31" s="78">
        <v>46248</v>
      </c>
      <c r="E31" s="77" t="s">
        <v>584</v>
      </c>
      <c r="F31" s="79" t="s">
        <v>496</v>
      </c>
      <c r="G31" s="79" t="s">
        <v>585</v>
      </c>
      <c r="H31" s="77" t="s">
        <v>586</v>
      </c>
      <c r="I31" s="1"/>
      <c r="J31" s="1"/>
    </row>
    <row r="32" ht="15" customHeight="1">
      <c r="A32" s="1"/>
      <c r="B32" s="76" t="s">
        <v>587</v>
      </c>
      <c r="C32" s="77" t="s">
        <v>588</v>
      </c>
      <c r="D32" s="78">
        <v>46258</v>
      </c>
      <c r="E32" s="77" t="s">
        <v>589</v>
      </c>
      <c r="F32" s="79" t="s">
        <v>496</v>
      </c>
      <c r="G32" s="79" t="s">
        <v>590</v>
      </c>
      <c r="H32" s="77" t="s">
        <v>591</v>
      </c>
      <c r="I32" s="1"/>
      <c r="J32" s="1"/>
    </row>
    <row r="33" ht="36" customHeight="1">
      <c r="A33" s="1"/>
      <c r="B33" s="76" t="s">
        <v>592</v>
      </c>
      <c r="C33" s="77" t="s">
        <v>593</v>
      </c>
      <c r="D33" s="78">
        <v>46313</v>
      </c>
      <c r="E33" s="77" t="s">
        <v>594</v>
      </c>
      <c r="F33" s="79" t="s">
        <v>595</v>
      </c>
      <c r="G33" s="79" t="s">
        <v>596</v>
      </c>
      <c r="H33" s="77" t="s">
        <v>597</v>
      </c>
      <c r="I33" s="1"/>
      <c r="J33" s="1"/>
    </row>
    <row r="34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ht="15" customHeight="1">
      <c r="A35" s="1"/>
      <c r="B35" s="4" t="s">
        <v>598</v>
      </c>
      <c r="C35" s="1"/>
      <c r="D35" s="1"/>
      <c r="E35" s="1"/>
      <c r="F35" s="1"/>
      <c r="G35" s="1"/>
      <c r="H35" s="1"/>
      <c r="I35" s="1"/>
      <c r="J35" s="1"/>
    </row>
    <row r="36" ht="15" customHeight="1">
      <c r="A36" s="1"/>
      <c r="B36" s="4" t="s">
        <v>599</v>
      </c>
      <c r="C36" s="1"/>
      <c r="D36" s="1"/>
      <c r="E36" s="1"/>
      <c r="F36" s="1"/>
      <c r="G36" s="1"/>
      <c r="H36" s="1"/>
      <c r="I36" s="1"/>
      <c r="J36" s="1"/>
    </row>
    <row r="37" ht="15" customHeight="1">
      <c r="A37" s="1"/>
      <c r="B37" s="4" t="s">
        <v>600</v>
      </c>
      <c r="C37" s="1"/>
      <c r="D37" s="1"/>
      <c r="E37" s="1"/>
      <c r="F37" s="1"/>
      <c r="G37" s="1"/>
      <c r="H37" s="1"/>
      <c r="I37" s="1"/>
      <c r="J37" s="1"/>
    </row>
    <row r="38" ht="15" customHeight="1">
      <c r="A38" s="1"/>
      <c r="B38" s="4" t="s">
        <v>601</v>
      </c>
      <c r="C38" s="1"/>
      <c r="D38" s="1"/>
      <c r="E38" s="1"/>
      <c r="F38" s="1"/>
      <c r="G38" s="1"/>
      <c r="H38" s="1"/>
      <c r="I38" s="1"/>
      <c r="J38" s="1"/>
    </row>
    <row r="39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5888EB8-E788-1AF1-1C33-4B7690FEF27F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9" width="12.00390625" customWidth="1"/>
    <col min="10" max="10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602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603</v>
      </c>
      <c r="D6" s="6" t="s">
        <v>604</v>
      </c>
      <c r="E6" s="6" t="s">
        <v>605</v>
      </c>
      <c r="F6" s="6" t="s">
        <v>606</v>
      </c>
      <c r="G6" s="6" t="s">
        <v>607</v>
      </c>
      <c r="H6" s="6" t="s">
        <v>608</v>
      </c>
      <c r="I6" s="1"/>
      <c r="J6" s="1"/>
    </row>
    <row r="7" ht="15" customHeight="1">
      <c r="A7" s="1"/>
      <c r="B7" s="7" t="s">
        <v>5</v>
      </c>
      <c r="C7" s="8">
        <v>45565</v>
      </c>
      <c r="D7" s="8">
        <v>45657</v>
      </c>
      <c r="E7" s="8">
        <v>45747</v>
      </c>
      <c r="F7" s="8">
        <v>45838</v>
      </c>
      <c r="G7" s="8">
        <v>45657</v>
      </c>
      <c r="H7" s="8">
        <v>45565</v>
      </c>
      <c r="I7" s="1"/>
      <c r="J7" s="1"/>
    </row>
    <row r="8" ht="15" customHeight="1">
      <c r="A8" s="1"/>
      <c r="B8" s="9" t="s">
        <v>6</v>
      </c>
      <c r="C8" s="10">
        <f t="shared" si="0" ref="C8:F8">C7-EOMONTH(C7,-3)</f>
        <v>92</v>
      </c>
      <c r="D8" s="10">
        <f t="shared" si="0"/>
        <v>92</v>
      </c>
      <c r="E8" s="10">
        <f t="shared" si="0"/>
        <v>90</v>
      </c>
      <c r="F8" s="10">
        <f t="shared" si="0"/>
        <v>91</v>
      </c>
      <c r="G8" s="10">
        <f>G7-EOMONTH(G7,-12)</f>
        <v>366</v>
      </c>
      <c r="H8" s="10">
        <f>H7-EOMONTH(H7,-9)</f>
        <v>274</v>
      </c>
      <c r="I8" s="1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3" t="s">
        <v>52</v>
      </c>
    </row>
    <row r="10" ht="15" customHeight="1">
      <c r="A10" s="1"/>
      <c r="B10" s="31" t="s">
        <v>609</v>
      </c>
      <c r="C10" s="1"/>
      <c r="D10" s="1"/>
      <c r="E10" s="1"/>
      <c r="F10" s="1"/>
      <c r="G10" s="1"/>
      <c r="H10" s="1"/>
      <c r="I10" s="1"/>
      <c r="J10" s="1"/>
    </row>
    <row r="11" ht="15" customHeight="1">
      <c r="A11" s="1"/>
      <c r="B11" s="13" t="s">
        <v>610</v>
      </c>
      <c r="C11" s="14" t="s">
        <v>611</v>
      </c>
      <c r="D11" s="14"/>
      <c r="E11" s="14"/>
      <c r="F11" s="14"/>
      <c r="G11" s="14"/>
      <c r="H11" s="14"/>
      <c r="I11" s="14"/>
      <c r="J11" s="1"/>
    </row>
    <row r="12" ht="15" customHeight="1">
      <c r="A12" s="1"/>
      <c r="B12" s="1" t="s">
        <v>612</v>
      </c>
      <c r="C12" s="11" t="s">
        <v>613</v>
      </c>
      <c r="D12" s="1"/>
      <c r="E12" s="1"/>
      <c r="F12" s="1"/>
      <c r="G12" s="1"/>
      <c r="H12" s="1"/>
      <c r="I12" s="1"/>
      <c r="J12" s="1"/>
    </row>
    <row r="13" ht="15" customHeight="1">
      <c r="A13" s="1"/>
      <c r="B13" s="1" t="s">
        <v>614</v>
      </c>
      <c r="C13" s="11" t="s">
        <v>615</v>
      </c>
      <c r="D13" s="1"/>
      <c r="E13" s="1"/>
      <c r="F13" s="1"/>
      <c r="G13" s="1"/>
      <c r="H13" s="1"/>
      <c r="I13" s="1"/>
      <c r="J13" s="1"/>
    </row>
    <row r="14" ht="15" customHeight="1">
      <c r="A14" s="1"/>
      <c r="B14" s="1" t="s">
        <v>616</v>
      </c>
      <c r="C14" s="11" t="s">
        <v>8</v>
      </c>
      <c r="D14" s="1"/>
      <c r="E14" s="1"/>
      <c r="F14" s="1"/>
      <c r="G14" s="1"/>
      <c r="H14" s="1"/>
      <c r="I14" s="1"/>
      <c r="J14" s="1"/>
    </row>
    <row r="15" ht="15" customHeight="1">
      <c r="A15" s="1"/>
      <c r="B15" s="1" t="s">
        <v>617</v>
      </c>
      <c r="C15" s="11" t="s">
        <v>618</v>
      </c>
      <c r="D15" s="1"/>
      <c r="E15" s="1"/>
      <c r="F15" s="1"/>
      <c r="G15" s="1"/>
      <c r="H15" s="1"/>
      <c r="I15" s="1"/>
      <c r="J15" s="1"/>
    </row>
    <row r="16" ht="15" customHeight="1">
      <c r="A16" s="1"/>
      <c r="B16" s="1" t="s">
        <v>619</v>
      </c>
      <c r="C16" s="72">
        <v>46295</v>
      </c>
      <c r="D16" s="1"/>
      <c r="E16" s="1"/>
      <c r="F16" s="1"/>
      <c r="G16" s="1"/>
      <c r="H16" s="1"/>
      <c r="I16" s="1"/>
      <c r="J16" s="1"/>
    </row>
    <row r="17" ht="15" customHeight="1">
      <c r="A17" s="1"/>
      <c r="B17" s="1" t="s">
        <v>620</v>
      </c>
      <c r="C17" s="72">
        <v>46313</v>
      </c>
      <c r="D17" s="1"/>
      <c r="E17" s="1"/>
      <c r="F17" s="1"/>
      <c r="G17" s="1"/>
      <c r="H17" s="1"/>
      <c r="I17" s="1"/>
      <c r="J17" s="1"/>
    </row>
    <row r="18" ht="15" customHeight="1">
      <c r="A18" s="1"/>
      <c r="B18" s="1" t="s">
        <v>621</v>
      </c>
      <c r="C18" s="80">
        <v>17</v>
      </c>
      <c r="D18" s="1"/>
      <c r="E18" s="1"/>
      <c r="F18" s="1"/>
      <c r="G18" s="1"/>
      <c r="H18" s="1"/>
      <c r="I18" s="1"/>
      <c r="J18" s="1"/>
    </row>
    <row r="19" ht="15" customHeight="1">
      <c r="A19" s="1"/>
      <c r="B19" s="1" t="s">
        <v>622</v>
      </c>
      <c r="C19" s="80">
        <v>14.03</v>
      </c>
      <c r="D19" s="1"/>
      <c r="E19" s="1"/>
      <c r="F19" s="1"/>
      <c r="G19" s="1"/>
      <c r="H19" s="1"/>
      <c r="I19" s="1"/>
      <c r="J19" s="1"/>
    </row>
    <row r="20" ht="15" customHeight="1">
      <c r="A20" s="1"/>
      <c r="B20" s="1" t="s">
        <v>623</v>
      </c>
      <c r="C20" s="11" t="s">
        <v>624</v>
      </c>
      <c r="D20" s="1"/>
      <c r="E20" s="1"/>
      <c r="F20" s="1"/>
      <c r="G20" s="1"/>
      <c r="H20" s="1"/>
      <c r="I20" s="1"/>
      <c r="J20" s="1"/>
    </row>
    <row r="21" ht="15" customHeight="1">
      <c r="A21" s="1"/>
      <c r="B21" s="1" t="s">
        <v>625</v>
      </c>
      <c r="C21" s="80">
        <v>4709.32</v>
      </c>
      <c r="D21" s="1"/>
      <c r="E21" s="1"/>
      <c r="F21" s="1"/>
      <c r="G21" s="1"/>
      <c r="H21" s="1"/>
      <c r="I21" s="1"/>
      <c r="J21" s="1"/>
    </row>
    <row r="22" ht="15" customHeight="1">
      <c r="A22" s="1"/>
      <c r="B22" s="1" t="s">
        <v>626</v>
      </c>
      <c r="C22" s="11" t="s">
        <v>627</v>
      </c>
      <c r="D22" s="1"/>
      <c r="E22" s="1"/>
      <c r="F22" s="1"/>
      <c r="G22" s="1"/>
      <c r="H22" s="1"/>
      <c r="I22" s="1"/>
      <c r="J22" s="1"/>
    </row>
    <row r="23" ht="15" customHeight="1">
      <c r="A23" s="1"/>
      <c r="B23" s="1" t="s">
        <v>628</v>
      </c>
      <c r="C23" s="11" t="s">
        <v>629</v>
      </c>
      <c r="D23" s="1"/>
      <c r="E23" s="1"/>
      <c r="F23" s="1"/>
      <c r="G23" s="1"/>
      <c r="H23" s="1"/>
      <c r="I23" s="1"/>
      <c r="J23" s="1"/>
    </row>
    <row r="24" ht="15" customHeight="1">
      <c r="A24" s="1"/>
      <c r="B24" s="1" t="s">
        <v>630</v>
      </c>
      <c r="C24" s="11" t="s">
        <v>631</v>
      </c>
      <c r="D24" s="1"/>
      <c r="E24" s="1"/>
      <c r="F24" s="1"/>
      <c r="G24" s="1"/>
      <c r="H24" s="1"/>
      <c r="I24" s="1"/>
      <c r="J24" s="1"/>
    </row>
    <row r="25" ht="15" customHeight="1">
      <c r="A25" s="1"/>
      <c r="B25" s="1" t="s">
        <v>632</v>
      </c>
      <c r="C25" s="11" t="s">
        <v>627</v>
      </c>
      <c r="D25" s="1"/>
      <c r="E25" s="1"/>
      <c r="F25" s="1"/>
      <c r="G25" s="1"/>
      <c r="H25" s="1"/>
      <c r="I25" s="1"/>
      <c r="J25" s="1"/>
    </row>
    <row r="26" ht="15" customHeight="1">
      <c r="A26" s="1"/>
      <c r="B26" s="1" t="s">
        <v>633</v>
      </c>
      <c r="C26" s="11" t="s">
        <v>627</v>
      </c>
      <c r="D26" s="1"/>
      <c r="E26" s="1"/>
      <c r="F26" s="1"/>
      <c r="G26" s="1"/>
      <c r="H26" s="1"/>
      <c r="I26" s="1"/>
      <c r="J26" s="1"/>
    </row>
    <row r="27" ht="15" customHeight="1">
      <c r="A27" s="1"/>
      <c r="B27" s="1" t="s">
        <v>634</v>
      </c>
      <c r="C27" s="11" t="s">
        <v>635</v>
      </c>
      <c r="D27" s="1"/>
      <c r="E27" s="1"/>
      <c r="F27" s="1"/>
      <c r="G27" s="1"/>
      <c r="H27" s="1"/>
      <c r="I27" s="1"/>
      <c r="J27" s="1"/>
    </row>
    <row r="28" ht="15" customHeight="1">
      <c r="A28" s="1"/>
      <c r="B28" s="1" t="s">
        <v>636</v>
      </c>
      <c r="C28" s="11" t="s">
        <v>627</v>
      </c>
      <c r="D28" s="1"/>
      <c r="E28" s="1"/>
      <c r="F28" s="1"/>
      <c r="G28" s="1"/>
      <c r="H28" s="1"/>
      <c r="I28" s="1"/>
      <c r="J28" s="1"/>
    </row>
    <row r="29" ht="15" customHeight="1">
      <c r="A29" s="1"/>
      <c r="B29" s="1" t="s">
        <v>637</v>
      </c>
      <c r="C29" s="11" t="s">
        <v>638</v>
      </c>
      <c r="D29" s="1"/>
      <c r="E29" s="1"/>
      <c r="F29" s="1"/>
      <c r="G29" s="1"/>
      <c r="H29" s="1"/>
      <c r="I29" s="1"/>
      <c r="J29" s="1"/>
    </row>
    <row r="30" ht="15" customHeight="1">
      <c r="A30" s="1"/>
      <c r="B30" s="31" t="s">
        <v>639</v>
      </c>
      <c r="C30" s="1"/>
      <c r="D30" s="1"/>
      <c r="E30" s="1"/>
      <c r="F30" s="1"/>
      <c r="G30" s="1"/>
      <c r="H30" s="1"/>
      <c r="I30" s="1"/>
      <c r="J30" s="1"/>
    </row>
    <row r="31" ht="15" customHeight="1">
      <c r="A31" s="1"/>
      <c r="B31" s="1" t="s">
        <v>614</v>
      </c>
      <c r="C31" s="11" t="s">
        <v>615</v>
      </c>
      <c r="D31" s="1"/>
      <c r="E31" s="1"/>
      <c r="F31" s="1"/>
      <c r="G31" s="1"/>
      <c r="H31" s="1"/>
      <c r="I31" s="1"/>
      <c r="J31" s="1"/>
    </row>
    <row r="32" ht="15" customHeight="1">
      <c r="A32" s="1"/>
      <c r="B32" s="1" t="s">
        <v>640</v>
      </c>
      <c r="C32" s="11" t="s">
        <v>8</v>
      </c>
      <c r="D32" s="1"/>
      <c r="E32" s="1"/>
      <c r="F32" s="1"/>
      <c r="G32" s="1"/>
      <c r="H32" s="1"/>
      <c r="I32" s="1"/>
      <c r="J32" s="1"/>
    </row>
    <row r="33" ht="15" customHeight="1">
      <c r="A33" s="1"/>
      <c r="B33" s="1" t="s">
        <v>641</v>
      </c>
      <c r="C33" s="11" t="s">
        <v>642</v>
      </c>
      <c r="D33" s="1"/>
      <c r="E33" s="1"/>
      <c r="F33" s="1"/>
      <c r="G33" s="1"/>
      <c r="H33" s="1"/>
      <c r="I33" s="1"/>
      <c r="J33" s="1"/>
    </row>
    <row r="34" ht="15" customHeight="1">
      <c r="A34" s="1"/>
      <c r="B34" s="1" t="s">
        <v>643</v>
      </c>
      <c r="C34" s="80">
        <v>36005</v>
      </c>
      <c r="D34" s="1"/>
      <c r="E34" s="1"/>
      <c r="F34" s="1"/>
      <c r="G34" s="1"/>
      <c r="H34" s="1"/>
      <c r="I34" s="1"/>
      <c r="J34" s="1"/>
    </row>
    <row r="35" ht="15" customHeight="1">
      <c r="A35" s="1"/>
      <c r="B35" s="1" t="s">
        <v>644</v>
      </c>
      <c r="C35" s="11" t="s">
        <v>627</v>
      </c>
      <c r="D35" s="1"/>
      <c r="E35" s="1"/>
      <c r="F35" s="1"/>
      <c r="G35" s="1"/>
      <c r="H35" s="1"/>
      <c r="I35" s="1"/>
      <c r="J35" s="1"/>
    </row>
    <row r="36" ht="15" customHeight="1">
      <c r="A36" s="1"/>
      <c r="B36" s="1" t="s">
        <v>645</v>
      </c>
      <c r="C36" s="11" t="s">
        <v>646</v>
      </c>
      <c r="D36" s="1"/>
      <c r="E36" s="1"/>
      <c r="F36" s="1"/>
      <c r="G36" s="1"/>
      <c r="H36" s="1"/>
      <c r="I36" s="1"/>
      <c r="J36" s="1"/>
    </row>
    <row r="37" ht="15" customHeight="1">
      <c r="A37" s="1"/>
      <c r="B37" s="1" t="s">
        <v>647</v>
      </c>
      <c r="C37" s="11" t="s">
        <v>618</v>
      </c>
      <c r="D37" s="1"/>
      <c r="E37" s="1"/>
      <c r="F37" s="1"/>
      <c r="G37" s="1"/>
      <c r="H37" s="1"/>
      <c r="I37" s="1"/>
      <c r="J37" s="1"/>
    </row>
    <row r="38" ht="15" customHeight="1">
      <c r="A38" s="1"/>
      <c r="B38" s="1" t="s">
        <v>648</v>
      </c>
      <c r="C38" s="72">
        <v>46295</v>
      </c>
      <c r="D38" s="1"/>
      <c r="E38" s="1"/>
      <c r="F38" s="1"/>
      <c r="G38" s="1"/>
      <c r="H38" s="1"/>
      <c r="I38" s="1"/>
      <c r="J38" s="1"/>
    </row>
    <row r="39" ht="15" customHeight="1">
      <c r="A39" s="1"/>
      <c r="B39" s="1" t="s">
        <v>649</v>
      </c>
      <c r="C39" s="72">
        <v>46316</v>
      </c>
      <c r="D39" s="1"/>
      <c r="E39" s="1"/>
      <c r="F39" s="1"/>
      <c r="G39" s="1"/>
      <c r="H39" s="1"/>
      <c r="I39" s="1"/>
      <c r="J39" s="1"/>
    </row>
    <row r="40" ht="15" customHeight="1">
      <c r="A40" s="1"/>
      <c r="B40" s="1" t="s">
        <v>623</v>
      </c>
      <c r="C40" s="11" t="s">
        <v>650</v>
      </c>
      <c r="D40" s="1"/>
      <c r="E40" s="1"/>
      <c r="F40" s="1"/>
      <c r="G40" s="1"/>
      <c r="H40" s="1"/>
      <c r="I40" s="1"/>
      <c r="J40" s="1"/>
    </row>
    <row r="41" ht="15" customHeight="1">
      <c r="A41" s="1"/>
      <c r="B41" s="1" t="s">
        <v>651</v>
      </c>
      <c r="C41" s="80">
        <v>17</v>
      </c>
      <c r="D41" s="1"/>
      <c r="E41" s="1"/>
      <c r="F41" s="1"/>
      <c r="G41" s="1"/>
      <c r="H41" s="1"/>
      <c r="I41" s="1"/>
      <c r="J41" s="1"/>
    </row>
    <row r="42" ht="15" customHeight="1">
      <c r="A42" s="1"/>
      <c r="B42" s="1" t="s">
        <v>652</v>
      </c>
      <c r="C42" s="80">
        <v>18</v>
      </c>
      <c r="D42" s="1"/>
      <c r="E42" s="1"/>
      <c r="F42" s="1"/>
      <c r="G42" s="1"/>
      <c r="H42" s="1"/>
      <c r="I42" s="1"/>
      <c r="J42" s="1"/>
    </row>
    <row r="43" ht="15" customHeight="1">
      <c r="A43" s="1"/>
      <c r="B43" s="1" t="s">
        <v>653</v>
      </c>
      <c r="C43" s="11"/>
      <c r="D43" s="1"/>
      <c r="E43" s="1"/>
      <c r="F43" s="1"/>
      <c r="G43" s="1"/>
      <c r="H43" s="1"/>
      <c r="I43" s="1"/>
      <c r="J43" s="1"/>
    </row>
    <row r="44" ht="15" customHeight="1">
      <c r="A44" s="1"/>
      <c r="B44" s="1" t="s">
        <v>654</v>
      </c>
      <c r="C44" s="80">
        <v>14.03</v>
      </c>
      <c r="D44" s="1"/>
      <c r="E44" s="1"/>
      <c r="F44" s="1"/>
      <c r="G44" s="1"/>
      <c r="H44" s="1"/>
      <c r="I44" s="1"/>
      <c r="J44" s="1"/>
    </row>
    <row r="45" ht="15" customHeight="1">
      <c r="A45" s="1"/>
      <c r="B45" s="1" t="s">
        <v>655</v>
      </c>
      <c r="C45" s="80">
        <v>13.97</v>
      </c>
      <c r="D45" s="1"/>
      <c r="E45" s="1"/>
      <c r="F45" s="1"/>
      <c r="G45" s="1"/>
      <c r="H45" s="1"/>
      <c r="I45" s="1"/>
      <c r="J45" s="1"/>
    </row>
    <row r="46" ht="15" customHeight="1">
      <c r="A46" s="1"/>
      <c r="B46" s="1" t="s">
        <v>656</v>
      </c>
      <c r="C46" s="80">
        <v>15.11</v>
      </c>
      <c r="D46" s="1"/>
      <c r="E46" s="1"/>
      <c r="F46" s="1"/>
      <c r="G46" s="1"/>
      <c r="H46" s="1"/>
      <c r="I46" s="1"/>
      <c r="J46" s="1"/>
    </row>
    <row r="47" ht="15" customHeight="1">
      <c r="A47" s="1"/>
      <c r="B47" s="1" t="s">
        <v>657</v>
      </c>
      <c r="C47" s="80">
        <v>13.07</v>
      </c>
      <c r="D47" s="1"/>
      <c r="E47" s="1"/>
      <c r="F47" s="1"/>
      <c r="G47" s="1"/>
      <c r="H47" s="1"/>
      <c r="I47" s="1"/>
      <c r="J47" s="1"/>
    </row>
    <row r="48" ht="15" customHeight="1">
      <c r="A48" s="1"/>
      <c r="B48" s="1" t="s">
        <v>658</v>
      </c>
      <c r="C48" s="80">
        <v>0.49</v>
      </c>
      <c r="D48" s="1"/>
      <c r="E48" s="1"/>
      <c r="F48" s="1"/>
      <c r="G48" s="1"/>
      <c r="H48" s="1"/>
      <c r="I48" s="1"/>
      <c r="J48" s="1"/>
    </row>
    <row r="49" ht="15" customHeight="1">
      <c r="A49" s="1"/>
      <c r="B49" s="1" t="s">
        <v>659</v>
      </c>
      <c r="C49" s="80">
        <v>17</v>
      </c>
      <c r="D49" s="1"/>
      <c r="E49" s="1"/>
      <c r="F49" s="1"/>
      <c r="G49" s="1"/>
      <c r="H49" s="1"/>
      <c r="I49" s="1"/>
      <c r="J49" s="1"/>
    </row>
    <row r="50" ht="15" customHeight="1">
      <c r="A50" s="1"/>
      <c r="B50" s="1" t="s">
        <v>660</v>
      </c>
      <c r="C50" s="11"/>
      <c r="D50" s="1"/>
      <c r="E50" s="1"/>
      <c r="F50" s="1"/>
      <c r="G50" s="1"/>
      <c r="H50" s="1"/>
      <c r="I50" s="1"/>
      <c r="J50" s="1"/>
    </row>
    <row r="51" ht="15" customHeight="1">
      <c r="A51" s="1"/>
      <c r="B51" s="1" t="s">
        <v>661</v>
      </c>
      <c r="C51" s="11"/>
      <c r="D51" s="1"/>
      <c r="E51" s="1"/>
      <c r="F51" s="1"/>
      <c r="G51" s="1"/>
      <c r="H51" s="1"/>
      <c r="I51" s="1"/>
      <c r="J51" s="1"/>
    </row>
    <row r="52" ht="15" customHeight="1">
      <c r="A52" s="1"/>
      <c r="B52" s="1" t="s">
        <v>662</v>
      </c>
      <c r="C52" s="11"/>
      <c r="D52" s="1"/>
      <c r="E52" s="1"/>
      <c r="F52" s="1"/>
      <c r="G52" s="1"/>
      <c r="H52" s="1"/>
      <c r="I52" s="1"/>
      <c r="J52" s="1"/>
    </row>
    <row r="53" ht="15" customHeight="1">
      <c r="A53" s="1"/>
      <c r="B53" s="1" t="s">
        <v>663</v>
      </c>
      <c r="C53" s="80">
        <v>13.32</v>
      </c>
      <c r="D53" s="1"/>
      <c r="E53" s="1"/>
      <c r="F53" s="1"/>
      <c r="G53" s="1"/>
      <c r="H53" s="1"/>
      <c r="I53" s="1"/>
      <c r="J53" s="1"/>
    </row>
    <row r="54" ht="15" customHeight="1">
      <c r="A54" s="1"/>
      <c r="B54" s="1" t="s">
        <v>664</v>
      </c>
      <c r="C54" s="80">
        <v>13.19</v>
      </c>
      <c r="D54" s="1"/>
      <c r="E54" s="1"/>
      <c r="F54" s="1"/>
      <c r="G54" s="1"/>
      <c r="H54" s="1"/>
      <c r="I54" s="1"/>
      <c r="J54" s="1"/>
    </row>
    <row r="55" ht="15" customHeight="1">
      <c r="A55" s="1"/>
      <c r="B55" s="1" t="s">
        <v>665</v>
      </c>
      <c r="C55" s="80">
        <v>14.23</v>
      </c>
      <c r="D55" s="1"/>
      <c r="E55" s="1"/>
      <c r="F55" s="1"/>
      <c r="G55" s="1"/>
      <c r="H55" s="1"/>
      <c r="I55" s="1"/>
      <c r="J55" s="1"/>
    </row>
    <row r="56" ht="15" customHeight="1">
      <c r="A56" s="1"/>
      <c r="B56" s="1" t="s">
        <v>666</v>
      </c>
      <c r="C56" s="80">
        <v>12.46</v>
      </c>
      <c r="D56" s="1"/>
      <c r="E56" s="1"/>
      <c r="F56" s="1"/>
      <c r="G56" s="1"/>
      <c r="H56" s="1"/>
      <c r="I56" s="1"/>
      <c r="J56" s="1"/>
    </row>
    <row r="57" ht="15" customHeight="1">
      <c r="A57" s="1"/>
      <c r="B57" s="1" t="s">
        <v>667</v>
      </c>
      <c r="C57" s="80">
        <v>0.53</v>
      </c>
      <c r="D57" s="1"/>
      <c r="E57" s="1"/>
      <c r="F57" s="1"/>
      <c r="G57" s="1"/>
      <c r="H57" s="1"/>
      <c r="I57" s="1"/>
      <c r="J57" s="1"/>
    </row>
    <row r="58" ht="15" customHeight="1">
      <c r="A58" s="1"/>
      <c r="B58" s="1" t="s">
        <v>668</v>
      </c>
      <c r="C58" s="80">
        <v>12</v>
      </c>
      <c r="D58" s="1"/>
      <c r="E58" s="1"/>
      <c r="F58" s="1"/>
      <c r="G58" s="1"/>
      <c r="H58" s="1"/>
      <c r="I58" s="1"/>
      <c r="J58" s="1"/>
    </row>
    <row r="59" ht="15" customHeight="1">
      <c r="A59" s="1"/>
      <c r="B59" s="1" t="s">
        <v>669</v>
      </c>
      <c r="C59" s="11"/>
      <c r="D59" s="1"/>
      <c r="E59" s="1"/>
      <c r="F59" s="1"/>
      <c r="G59" s="1"/>
      <c r="H59" s="1"/>
      <c r="I59" s="1"/>
      <c r="J59" s="1"/>
    </row>
    <row r="60" ht="15" customHeight="1">
      <c r="A60" s="1"/>
      <c r="B60" s="1" t="s">
        <v>670</v>
      </c>
      <c r="C60" s="11"/>
      <c r="D60" s="1"/>
      <c r="E60" s="1"/>
      <c r="F60" s="1"/>
      <c r="G60" s="1"/>
      <c r="H60" s="1"/>
      <c r="I60" s="1"/>
      <c r="J60" s="1"/>
    </row>
    <row r="61" ht="15" customHeight="1">
      <c r="A61" s="1"/>
      <c r="B61" s="1" t="s">
        <v>671</v>
      </c>
      <c r="C61" s="11"/>
      <c r="D61" s="1"/>
      <c r="E61" s="1"/>
      <c r="F61" s="1"/>
      <c r="G61" s="1"/>
      <c r="H61" s="1"/>
      <c r="I61" s="1"/>
      <c r="J61" s="1"/>
    </row>
    <row r="62" ht="15" customHeight="1">
      <c r="A62" s="1"/>
      <c r="B62" s="1" t="s">
        <v>672</v>
      </c>
      <c r="C62" s="80">
        <v>4709.32</v>
      </c>
      <c r="D62" s="1"/>
      <c r="E62" s="1"/>
      <c r="F62" s="1"/>
      <c r="G62" s="1"/>
      <c r="H62" s="1"/>
      <c r="I62" s="1"/>
      <c r="J62" s="1"/>
    </row>
    <row r="63" ht="15" customHeight="1">
      <c r="A63" s="1"/>
      <c r="B63" s="1" t="s">
        <v>673</v>
      </c>
      <c r="C63" s="80">
        <v>4701</v>
      </c>
      <c r="D63" s="1"/>
      <c r="E63" s="1"/>
      <c r="F63" s="1"/>
      <c r="G63" s="1"/>
      <c r="H63" s="1"/>
      <c r="I63" s="1"/>
      <c r="J63" s="1"/>
    </row>
    <row r="64" ht="15" customHeight="1">
      <c r="A64" s="1"/>
      <c r="B64" s="1" t="s">
        <v>674</v>
      </c>
      <c r="C64" s="80">
        <v>4845</v>
      </c>
      <c r="D64" s="1"/>
      <c r="E64" s="1"/>
      <c r="F64" s="1"/>
      <c r="G64" s="1"/>
      <c r="H64" s="1"/>
      <c r="I64" s="1"/>
      <c r="J64" s="1"/>
    </row>
    <row r="65" ht="15" customHeight="1">
      <c r="A65" s="1"/>
      <c r="B65" s="1" t="s">
        <v>675</v>
      </c>
      <c r="C65" s="80">
        <v>4622</v>
      </c>
      <c r="D65" s="1"/>
      <c r="E65" s="1"/>
      <c r="F65" s="1"/>
      <c r="G65" s="1"/>
      <c r="H65" s="1"/>
      <c r="I65" s="1"/>
      <c r="J65" s="1"/>
    </row>
    <row r="66" ht="15" customHeight="1">
      <c r="A66" s="1"/>
      <c r="B66" s="1" t="s">
        <v>676</v>
      </c>
      <c r="C66" s="80">
        <v>70.21</v>
      </c>
      <c r="D66" s="1"/>
      <c r="E66" s="1"/>
      <c r="F66" s="1"/>
      <c r="G66" s="1"/>
      <c r="H66" s="1"/>
      <c r="I66" s="1"/>
      <c r="J66" s="1"/>
    </row>
    <row r="67" ht="15" customHeight="1">
      <c r="A67" s="1"/>
      <c r="B67" s="1" t="s">
        <v>677</v>
      </c>
      <c r="C67" s="80">
        <v>15</v>
      </c>
      <c r="D67" s="1"/>
      <c r="E67" s="1"/>
      <c r="F67" s="1"/>
      <c r="G67" s="1"/>
      <c r="H67" s="1"/>
      <c r="I67" s="1"/>
      <c r="J67" s="1"/>
    </row>
    <row r="68" ht="15" customHeight="1">
      <c r="A68" s="1"/>
      <c r="B68" s="1" t="s">
        <v>678</v>
      </c>
      <c r="C68" s="11"/>
      <c r="D68" s="1"/>
      <c r="E68" s="1"/>
      <c r="F68" s="1"/>
      <c r="G68" s="1"/>
      <c r="H68" s="1"/>
      <c r="I68" s="1"/>
      <c r="J68" s="1"/>
    </row>
    <row r="69" ht="15" customHeight="1">
      <c r="A69" s="1"/>
      <c r="B69" s="1" t="s">
        <v>679</v>
      </c>
      <c r="C69" s="11"/>
      <c r="D69" s="1"/>
      <c r="E69" s="1"/>
      <c r="F69" s="1"/>
      <c r="G69" s="1"/>
      <c r="H69" s="1"/>
      <c r="I69" s="1"/>
      <c r="J69" s="1"/>
    </row>
    <row r="70" ht="15" customHeight="1">
      <c r="A70" s="1"/>
      <c r="B70" s="1" t="s">
        <v>680</v>
      </c>
      <c r="C70" s="11"/>
      <c r="D70" s="1"/>
      <c r="E70" s="1"/>
      <c r="F70" s="1"/>
      <c r="G70" s="1"/>
      <c r="H70" s="1"/>
      <c r="I70" s="1"/>
      <c r="J70" s="1"/>
    </row>
    <row r="71" ht="15" customHeight="1">
      <c r="A71" s="1"/>
      <c r="B71" s="1" t="s">
        <v>681</v>
      </c>
      <c r="C71" s="80">
        <v>2171</v>
      </c>
      <c r="D71" s="1"/>
      <c r="E71" s="1"/>
      <c r="F71" s="1"/>
      <c r="G71" s="1"/>
      <c r="H71" s="1"/>
      <c r="I71" s="1"/>
      <c r="J71" s="1"/>
    </row>
    <row r="72" ht="15" customHeight="1">
      <c r="A72" s="1"/>
      <c r="B72" s="1" t="s">
        <v>682</v>
      </c>
      <c r="C72" s="80">
        <v>1274.02</v>
      </c>
      <c r="D72" s="1"/>
      <c r="E72" s="1"/>
      <c r="F72" s="1"/>
      <c r="G72" s="1"/>
      <c r="H72" s="1"/>
      <c r="I72" s="1"/>
      <c r="J72" s="1"/>
    </row>
    <row r="73" ht="15" customHeight="1">
      <c r="A73" s="1"/>
      <c r="B73" s="1" t="s">
        <v>683</v>
      </c>
      <c r="C73" s="80">
        <v>1132.34</v>
      </c>
      <c r="D73" s="1"/>
      <c r="E73" s="1"/>
      <c r="F73" s="1"/>
      <c r="G73" s="1"/>
      <c r="H73" s="1"/>
      <c r="I73" s="1"/>
      <c r="J73" s="1"/>
    </row>
    <row r="74" ht="15" customHeight="1">
      <c r="A74" s="1"/>
      <c r="B74" s="1" t="s">
        <v>684</v>
      </c>
      <c r="C74" s="80">
        <v>1098.47</v>
      </c>
      <c r="D74" s="1"/>
      <c r="E74" s="1"/>
      <c r="F74" s="1"/>
      <c r="G74" s="1"/>
      <c r="H74" s="1"/>
      <c r="I74" s="1"/>
      <c r="J74" s="1"/>
    </row>
    <row r="75" ht="15" customHeight="1">
      <c r="A75" s="1"/>
      <c r="B75" s="1" t="s">
        <v>685</v>
      </c>
      <c r="C75" s="80">
        <v>861.55</v>
      </c>
      <c r="D75" s="1"/>
      <c r="E75" s="1"/>
      <c r="F75" s="1"/>
      <c r="G75" s="1"/>
      <c r="H75" s="1"/>
      <c r="I75" s="1"/>
      <c r="J75" s="1"/>
    </row>
    <row r="76" ht="15" customHeight="1">
      <c r="A76" s="1"/>
      <c r="B76" s="1" t="s">
        <v>686</v>
      </c>
      <c r="C76" s="80">
        <v>828.95</v>
      </c>
      <c r="D76" s="1"/>
      <c r="E76" s="1"/>
      <c r="F76" s="1"/>
      <c r="G76" s="1"/>
      <c r="H76" s="1"/>
      <c r="I76" s="1"/>
      <c r="J76" s="1"/>
    </row>
    <row r="77" ht="15" customHeight="1">
      <c r="A77" s="1"/>
      <c r="B77" s="1" t="s">
        <v>687</v>
      </c>
      <c r="C77" s="11"/>
      <c r="D77" s="1"/>
      <c r="E77" s="1"/>
      <c r="F77" s="1"/>
      <c r="G77" s="1"/>
      <c r="H77" s="1"/>
      <c r="I77" s="1"/>
      <c r="J77" s="1"/>
    </row>
    <row r="78" ht="15" customHeight="1">
      <c r="A78" s="1"/>
      <c r="B78" s="1" t="s">
        <v>688</v>
      </c>
      <c r="C78" s="11"/>
      <c r="D78" s="1"/>
      <c r="E78" s="1"/>
      <c r="F78" s="1"/>
      <c r="G78" s="1"/>
      <c r="H78" s="1"/>
      <c r="I78" s="1"/>
      <c r="J78" s="1"/>
    </row>
    <row r="79" ht="15" customHeight="1">
      <c r="A79" s="1"/>
      <c r="B79" s="1" t="s">
        <v>689</v>
      </c>
      <c r="C79" s="80">
        <v>860.67</v>
      </c>
      <c r="D79" s="1"/>
      <c r="E79" s="1"/>
      <c r="F79" s="1"/>
      <c r="G79" s="1"/>
      <c r="H79" s="1"/>
      <c r="I79" s="1"/>
      <c r="J79" s="1"/>
    </row>
    <row r="80" ht="15" customHeight="1">
      <c r="A80" s="1"/>
      <c r="B80" s="1" t="s">
        <v>690</v>
      </c>
      <c r="C80" s="11"/>
      <c r="D80" s="1"/>
      <c r="E80" s="1"/>
      <c r="F80" s="1"/>
      <c r="G80" s="1"/>
      <c r="H80" s="1"/>
      <c r="I80" s="1"/>
      <c r="J80" s="1"/>
    </row>
    <row r="81" ht="15" customHeight="1">
      <c r="A81" s="1"/>
      <c r="B81" s="1" t="s">
        <v>691</v>
      </c>
      <c r="C81" s="11"/>
      <c r="D81" s="1"/>
      <c r="E81" s="1"/>
      <c r="F81" s="1"/>
      <c r="G81" s="1"/>
      <c r="H81" s="1"/>
      <c r="I81" s="1"/>
      <c r="J81" s="1"/>
    </row>
    <row r="82" ht="15" customHeight="1">
      <c r="A82" s="1"/>
      <c r="B82" s="1" t="s">
        <v>692</v>
      </c>
      <c r="C82" s="11"/>
      <c r="D82" s="1"/>
      <c r="E82" s="1"/>
      <c r="F82" s="1"/>
      <c r="G82" s="1"/>
      <c r="H82" s="1"/>
      <c r="I82" s="1"/>
      <c r="J82" s="1"/>
    </row>
    <row r="83" ht="15" customHeight="1">
      <c r="A83" s="1"/>
      <c r="B83" s="1" t="s">
        <v>693</v>
      </c>
      <c r="C83" s="80">
        <v>-178.86</v>
      </c>
      <c r="D83" s="1"/>
      <c r="E83" s="1"/>
      <c r="F83" s="1"/>
      <c r="G83" s="1"/>
      <c r="H83" s="1"/>
      <c r="I83" s="1"/>
      <c r="J83" s="1"/>
    </row>
    <row r="84" ht="15" customHeight="1">
      <c r="A84" s="1"/>
      <c r="B84" s="1" t="s">
        <v>694</v>
      </c>
      <c r="C84" s="80">
        <v>14480.3</v>
      </c>
      <c r="D84" s="1"/>
      <c r="E84" s="1"/>
      <c r="F84" s="1"/>
      <c r="G84" s="1"/>
      <c r="H84" s="1"/>
      <c r="I84" s="1"/>
      <c r="J84" s="1"/>
    </row>
    <row r="85" ht="15" customHeight="1">
      <c r="A85" s="1"/>
      <c r="B85" s="1" t="s">
        <v>695</v>
      </c>
      <c r="C85" s="11"/>
      <c r="D85" s="1"/>
      <c r="E85" s="1"/>
      <c r="F85" s="1"/>
      <c r="G85" s="1"/>
      <c r="H85" s="1"/>
      <c r="I85" s="1"/>
      <c r="J85" s="1"/>
    </row>
    <row r="86" ht="15" customHeight="1">
      <c r="A86" s="1"/>
      <c r="B86" s="1" t="s">
        <v>696</v>
      </c>
      <c r="C86" s="11"/>
      <c r="D86" s="1"/>
      <c r="E86" s="1"/>
      <c r="F86" s="1"/>
      <c r="G86" s="1"/>
      <c r="H86" s="1"/>
      <c r="I86" s="1"/>
      <c r="J86" s="1"/>
    </row>
    <row r="87" ht="15" customHeight="1">
      <c r="A87" s="1"/>
      <c r="B87" s="1" t="s">
        <v>697</v>
      </c>
      <c r="C87" s="80">
        <v>1261.1</v>
      </c>
      <c r="D87" s="1"/>
      <c r="E87" s="1"/>
      <c r="F87" s="1"/>
      <c r="G87" s="1"/>
      <c r="H87" s="1"/>
      <c r="I87" s="1"/>
      <c r="J87" s="1"/>
    </row>
    <row r="88" ht="15" customHeight="1">
      <c r="A88" s="1"/>
      <c r="B88" s="1" t="s">
        <v>698</v>
      </c>
      <c r="C88" s="80">
        <v>1300</v>
      </c>
      <c r="D88" s="1"/>
      <c r="E88" s="1"/>
      <c r="F88" s="1"/>
      <c r="G88" s="1"/>
      <c r="H88" s="1"/>
      <c r="I88" s="1"/>
      <c r="J88" s="1"/>
    </row>
    <row r="89" ht="15" customHeight="1">
      <c r="A89" s="1"/>
      <c r="B89" s="1" t="s">
        <v>699</v>
      </c>
      <c r="C89" s="80">
        <v>1610</v>
      </c>
      <c r="D89" s="1"/>
      <c r="E89" s="1"/>
      <c r="F89" s="1"/>
      <c r="G89" s="1"/>
      <c r="H89" s="1"/>
      <c r="I89" s="1"/>
      <c r="J89" s="1"/>
    </row>
    <row r="90" ht="15" customHeight="1">
      <c r="A90" s="1"/>
      <c r="B90" s="1" t="s">
        <v>700</v>
      </c>
      <c r="C90" s="80">
        <v>950</v>
      </c>
      <c r="D90" s="1"/>
      <c r="E90" s="1"/>
      <c r="F90" s="1"/>
      <c r="G90" s="1"/>
      <c r="H90" s="1"/>
      <c r="I90" s="1"/>
      <c r="J90" s="1"/>
    </row>
    <row r="91" ht="15" customHeight="1">
      <c r="A91" s="1"/>
      <c r="B91" s="1" t="s">
        <v>701</v>
      </c>
      <c r="C91" s="80">
        <v>148.03</v>
      </c>
      <c r="D91" s="1"/>
      <c r="E91" s="1"/>
      <c r="F91" s="1"/>
      <c r="G91" s="1"/>
      <c r="H91" s="1"/>
      <c r="I91" s="1"/>
      <c r="J91" s="1"/>
    </row>
    <row r="92" ht="15" customHeight="1">
      <c r="A92" s="1"/>
      <c r="B92" s="1" t="s">
        <v>702</v>
      </c>
      <c r="C92" s="80">
        <v>21</v>
      </c>
      <c r="D92" s="1"/>
      <c r="E92" s="1"/>
      <c r="F92" s="1"/>
      <c r="G92" s="1"/>
      <c r="H92" s="1"/>
      <c r="I92" s="1"/>
      <c r="J92" s="1"/>
    </row>
    <row r="93" ht="15" customHeight="1">
      <c r="A93" s="1"/>
      <c r="B93" s="1" t="s">
        <v>703</v>
      </c>
      <c r="C93" s="11" t="s">
        <v>704</v>
      </c>
      <c r="D93" s="1"/>
      <c r="E93" s="1"/>
      <c r="F93" s="1"/>
      <c r="G93" s="1"/>
      <c r="H93" s="1"/>
      <c r="I93" s="1"/>
      <c r="J93" s="1"/>
    </row>
    <row r="94" ht="15" customHeight="1">
      <c r="A94" s="1"/>
      <c r="B94" s="1" t="s">
        <v>705</v>
      </c>
      <c r="C94" s="80">
        <v>1.77</v>
      </c>
      <c r="D94" s="1"/>
      <c r="E94" s="1"/>
      <c r="F94" s="1"/>
      <c r="G94" s="1"/>
      <c r="H94" s="1"/>
      <c r="I94" s="1"/>
      <c r="J94" s="1"/>
    </row>
    <row r="95" ht="15" customHeight="1">
      <c r="A95" s="1"/>
      <c r="B95" s="1" t="s">
        <v>706</v>
      </c>
      <c r="C95" s="80">
        <v>1029.64</v>
      </c>
      <c r="D95" s="1"/>
      <c r="E95" s="1"/>
      <c r="F95" s="1"/>
      <c r="G95" s="1"/>
      <c r="H95" s="1"/>
      <c r="I95" s="1"/>
      <c r="J95" s="1"/>
    </row>
    <row r="96" ht="15" customHeight="1">
      <c r="A96" s="1"/>
      <c r="B96" s="1" t="s">
        <v>707</v>
      </c>
      <c r="C96" s="11" t="s">
        <v>708</v>
      </c>
      <c r="D96" s="1"/>
      <c r="E96" s="1"/>
      <c r="F96" s="1"/>
      <c r="G96" s="1"/>
      <c r="H96" s="1"/>
      <c r="I96" s="1"/>
      <c r="J96" s="1"/>
    </row>
    <row r="97" ht="15" customHeight="1">
      <c r="A97" s="1"/>
      <c r="B97" s="1" t="s">
        <v>709</v>
      </c>
      <c r="C97" s="72">
        <v>46313</v>
      </c>
      <c r="D97" s="1"/>
      <c r="E97" s="1"/>
      <c r="F97" s="1"/>
      <c r="G97" s="1"/>
      <c r="H97" s="1"/>
      <c r="I97" s="1"/>
      <c r="J97" s="1"/>
    </row>
    <row r="98" ht="15" customHeight="1">
      <c r="A98" s="1"/>
      <c r="B98" s="1" t="s">
        <v>710</v>
      </c>
      <c r="C98" s="11" t="s">
        <v>711</v>
      </c>
      <c r="D98" s="1"/>
      <c r="E98" s="1"/>
      <c r="F98" s="1"/>
      <c r="G98" s="1"/>
      <c r="H98" s="1"/>
      <c r="I98" s="1"/>
      <c r="J98" s="1"/>
    </row>
    <row r="99" ht="15" customHeight="1">
      <c r="A99" s="1"/>
      <c r="B99" s="1" t="s">
        <v>712</v>
      </c>
      <c r="C99" s="11" t="s">
        <v>713</v>
      </c>
      <c r="D99" s="1"/>
      <c r="E99" s="1"/>
      <c r="F99" s="1"/>
      <c r="G99" s="1"/>
      <c r="H99" s="1"/>
      <c r="I99" s="1"/>
      <c r="J99" s="1"/>
    </row>
    <row r="100" ht="1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ht="15" customHeight="1">
      <c r="A101" s="1"/>
      <c r="B101" s="31" t="s">
        <v>714</v>
      </c>
      <c r="C101" s="1"/>
      <c r="D101" s="1"/>
      <c r="E101" s="1"/>
      <c r="F101" s="1"/>
      <c r="G101" s="1"/>
      <c r="H101" s="1"/>
      <c r="I101" s="1"/>
      <c r="J101" s="1"/>
    </row>
    <row r="102" ht="15" customHeight="1">
      <c r="A102" s="1"/>
      <c r="B102" s="13" t="s">
        <v>619</v>
      </c>
      <c r="C102" s="14" t="s">
        <v>715</v>
      </c>
      <c r="D102" s="14" t="s">
        <v>716</v>
      </c>
      <c r="E102" s="14" t="s">
        <v>717</v>
      </c>
      <c r="F102" s="14" t="s">
        <v>718</v>
      </c>
      <c r="G102" s="14" t="s">
        <v>719</v>
      </c>
      <c r="H102" s="14" t="s">
        <v>720</v>
      </c>
      <c r="I102" s="14" t="s">
        <v>721</v>
      </c>
      <c r="J102" s="1"/>
    </row>
    <row r="103" ht="15" customHeight="1">
      <c r="A103" s="1"/>
      <c r="B103" s="81">
        <v>45747</v>
      </c>
      <c r="C103" s="72">
        <v>45770</v>
      </c>
      <c r="D103" s="64">
        <v>8.81</v>
      </c>
      <c r="E103" s="64">
        <v>8.86</v>
      </c>
      <c r="F103" s="64">
        <v>7.8</v>
      </c>
      <c r="G103" s="64">
        <v>7.91</v>
      </c>
      <c r="H103" s="42">
        <v>3609.19</v>
      </c>
      <c r="I103" s="42">
        <v>3719</v>
      </c>
      <c r="J103" s="1"/>
    </row>
    <row r="104" ht="15" customHeight="1">
      <c r="A104" s="1"/>
      <c r="B104" s="81">
        <v>45838</v>
      </c>
      <c r="C104" s="72">
        <v>45861</v>
      </c>
      <c r="D104" s="64">
        <v>10.54</v>
      </c>
      <c r="E104" s="64">
        <v>10.47</v>
      </c>
      <c r="F104" s="64">
        <v>9.56</v>
      </c>
      <c r="G104" s="64">
        <v>9.59</v>
      </c>
      <c r="H104" s="42">
        <v>3891.69</v>
      </c>
      <c r="I104" s="42">
        <v>3943</v>
      </c>
      <c r="J104" s="1"/>
    </row>
    <row r="105" ht="15" customHeight="1">
      <c r="A105" s="1"/>
      <c r="B105" s="81">
        <v>45930</v>
      </c>
      <c r="C105" s="72">
        <v>45952</v>
      </c>
      <c r="D105" s="64">
        <v>12.29</v>
      </c>
      <c r="E105" s="64">
        <v>11.7</v>
      </c>
      <c r="F105" s="64">
        <v>11.54</v>
      </c>
      <c r="G105" s="64">
        <v>10.91</v>
      </c>
      <c r="H105" s="42">
        <v>4158.57</v>
      </c>
      <c r="I105" s="42">
        <v>4229</v>
      </c>
      <c r="J105" s="1"/>
    </row>
    <row r="106" ht="15" customHeight="1">
      <c r="A106" s="1"/>
      <c r="B106" s="81">
        <v>46022</v>
      </c>
      <c r="C106" s="72">
        <v>46050</v>
      </c>
      <c r="D106" s="64">
        <v>11.8</v>
      </c>
      <c r="E106" s="64">
        <v>11.09</v>
      </c>
      <c r="F106" s="64">
        <v>10.84</v>
      </c>
      <c r="G106" s="64">
        <v>10.27</v>
      </c>
      <c r="H106" s="42">
        <v>4239.16</v>
      </c>
      <c r="I106" s="42">
        <v>4208</v>
      </c>
      <c r="J106" s="1"/>
    </row>
    <row r="107" ht="15" customHeight="1">
      <c r="A107" s="1"/>
      <c r="B107" s="81">
        <v>46112</v>
      </c>
      <c r="C107" s="72">
        <v>46134</v>
      </c>
      <c r="D107" s="64">
        <v>8.94</v>
      </c>
      <c r="E107" s="64">
        <v>9.71</v>
      </c>
      <c r="F107" s="64">
        <v>8.27</v>
      </c>
      <c r="G107" s="64">
        <v>8.43</v>
      </c>
      <c r="H107" s="42">
        <v>3874.72</v>
      </c>
      <c r="I107" s="42">
        <v>3985</v>
      </c>
      <c r="J107" s="1"/>
    </row>
    <row r="108" ht="15" customHeight="1">
      <c r="A108" s="1"/>
      <c r="B108" s="81">
        <v>46203</v>
      </c>
      <c r="C108" s="72">
        <v>46225</v>
      </c>
      <c r="D108" s="64">
        <v>11.59</v>
      </c>
      <c r="E108" s="64">
        <v>12.76</v>
      </c>
      <c r="F108" s="64">
        <v>10.86</v>
      </c>
      <c r="G108" s="64">
        <v>12.03</v>
      </c>
      <c r="H108" s="42">
        <v>4210.64</v>
      </c>
      <c r="I108" s="42">
        <v>4410</v>
      </c>
      <c r="J108" s="1"/>
    </row>
    <row r="109" ht="1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ht="15" customHeight="1">
      <c r="A110" s="1"/>
      <c r="B110" s="31" t="s">
        <v>722</v>
      </c>
      <c r="C110" s="1"/>
      <c r="D110" s="1"/>
      <c r="E110" s="1"/>
      <c r="F110" s="1"/>
      <c r="G110" s="1"/>
      <c r="H110" s="1"/>
      <c r="I110" s="1"/>
      <c r="J110" s="1"/>
    </row>
    <row r="111" ht="15" customHeight="1">
      <c r="A111" s="1"/>
      <c r="B111" s="1" t="s">
        <v>723</v>
      </c>
      <c r="C111" s="15">
        <f>C95*C113/1000</f>
        <v>64.08735637396</v>
      </c>
      <c r="D111" s="15"/>
      <c r="E111" s="15"/>
      <c r="F111" s="15"/>
      <c r="G111" s="15"/>
      <c r="H111" s="15"/>
      <c r="I111" s="1"/>
      <c r="J111" s="1"/>
    </row>
    <row r="112" ht="15" customHeight="1">
      <c r="A112" s="1"/>
      <c r="B112" s="1" t="s">
        <v>724</v>
      </c>
      <c r="C112" s="42">
        <v>66</v>
      </c>
      <c r="D112" s="15"/>
      <c r="E112" s="15"/>
      <c r="F112" s="15"/>
      <c r="G112" s="15"/>
      <c r="H112" s="15"/>
      <c r="I112" s="1"/>
      <c r="J112" s="1"/>
    </row>
    <row r="113" ht="15" customHeight="1">
      <c r="A113" s="1"/>
      <c r="B113" s="1" t="s">
        <v>725</v>
      </c>
      <c r="C113" s="42">
        <v>62.242489</v>
      </c>
      <c r="D113" s="15"/>
      <c r="E113" s="15"/>
      <c r="F113" s="15"/>
      <c r="G113" s="15"/>
      <c r="H113" s="15"/>
      <c r="I113" s="1"/>
      <c r="J113" s="1"/>
    </row>
    <row r="114" ht="15" customHeight="1">
      <c r="A114" s="1"/>
      <c r="B114" s="1" t="s">
        <v>726</v>
      </c>
      <c r="C114" s="11" t="s">
        <v>727</v>
      </c>
      <c r="D114" s="1"/>
      <c r="E114" s="1"/>
      <c r="F114" s="1"/>
      <c r="G114" s="1"/>
      <c r="H114" s="1"/>
      <c r="I114" s="1"/>
      <c r="J114" s="1"/>
    </row>
    <row r="115" ht="15" customHeight="1">
      <c r="A115" s="1"/>
      <c r="B115" s="1" t="s">
        <v>728</v>
      </c>
      <c r="C115" s="45">
        <v>0.78</v>
      </c>
      <c r="D115" s="16"/>
      <c r="E115" s="16"/>
      <c r="F115" s="16"/>
      <c r="G115" s="16"/>
      <c r="H115" s="16"/>
      <c r="I115" s="1"/>
      <c r="J115" s="1"/>
    </row>
    <row r="116" ht="15" customHeight="1">
      <c r="A116" s="1"/>
      <c r="B116" s="1" t="s">
        <v>729</v>
      </c>
      <c r="C116" s="47">
        <f>SUMPRODUCT(--(E103:E108&gt;D103:D108))</f>
        <v>3</v>
      </c>
      <c r="D116" s="47"/>
      <c r="E116" s="47"/>
      <c r="F116" s="47"/>
      <c r="G116" s="47"/>
      <c r="H116" s="47"/>
      <c r="I116" s="1"/>
      <c r="J116" s="1"/>
    </row>
    <row r="117" ht="15" customHeight="1">
      <c r="A117" s="1"/>
      <c r="B117" s="1" t="s">
        <v>730</v>
      </c>
      <c r="C117" s="47">
        <f>COUNT(E103:E108)</f>
        <v>6</v>
      </c>
      <c r="D117" s="47"/>
      <c r="E117" s="47"/>
      <c r="F117" s="47"/>
      <c r="G117" s="47"/>
      <c r="H117" s="47"/>
      <c r="I117" s="1"/>
      <c r="J117" s="1"/>
    </row>
    <row r="118" ht="15" customHeight="1">
      <c r="A118" s="1"/>
      <c r="B118" s="1" t="s">
        <v>731</v>
      </c>
      <c r="C118" s="52">
        <v>8</v>
      </c>
      <c r="D118" s="47"/>
      <c r="E118" s="47"/>
      <c r="F118" s="47"/>
      <c r="G118" s="47"/>
      <c r="H118" s="47"/>
      <c r="I118" s="1"/>
      <c r="J118" s="1"/>
    </row>
    <row r="119" ht="15" customHeight="1">
      <c r="A119" s="1"/>
      <c r="B119" s="1" t="s">
        <v>732</v>
      </c>
      <c r="C119" s="16">
        <f>(C118*C115+C116)/(C118+C117)</f>
        <v>0.66</v>
      </c>
      <c r="D119" s="16"/>
      <c r="E119" s="16"/>
      <c r="F119" s="16"/>
      <c r="G119" s="16"/>
      <c r="H119" s="16"/>
      <c r="I119" s="1"/>
      <c r="J119" s="1"/>
    </row>
    <row r="120" ht="15" customHeight="1">
      <c r="A120" s="1"/>
      <c r="B120" s="1" t="s">
        <v>733</v>
      </c>
      <c r="C120" s="45">
        <v>-0.08</v>
      </c>
      <c r="D120" s="16"/>
      <c r="E120" s="16"/>
      <c r="F120" s="16"/>
      <c r="G120" s="16"/>
      <c r="H120" s="16"/>
      <c r="I120" s="1"/>
      <c r="J120" s="1"/>
    </row>
    <row r="121" ht="15" customHeight="1">
      <c r="A121" s="1"/>
      <c r="B121" s="1" t="s">
        <v>734</v>
      </c>
      <c r="C121" s="45">
        <v>-0.04</v>
      </c>
      <c r="D121" s="16"/>
      <c r="E121" s="16"/>
      <c r="F121" s="16"/>
      <c r="G121" s="16"/>
      <c r="H121" s="16"/>
      <c r="I121" s="1"/>
      <c r="J121" s="1"/>
    </row>
    <row r="122" ht="15" customHeight="1">
      <c r="A122" s="1"/>
      <c r="B122" s="1" t="s">
        <v>735</v>
      </c>
      <c r="C122" s="45">
        <v>-0.02</v>
      </c>
      <c r="D122" s="16"/>
      <c r="E122" s="16"/>
      <c r="F122" s="16"/>
      <c r="G122" s="16"/>
      <c r="H122" s="16"/>
      <c r="I122" s="1"/>
      <c r="J122" s="1"/>
    </row>
    <row r="123" ht="15" customHeight="1">
      <c r="A123" s="1"/>
      <c r="B123" s="1" t="s">
        <v>736</v>
      </c>
      <c r="C123" s="45">
        <v>0</v>
      </c>
      <c r="D123" s="16"/>
      <c r="E123" s="16"/>
      <c r="F123" s="16"/>
      <c r="G123" s="16"/>
      <c r="H123" s="16"/>
      <c r="I123" s="1"/>
      <c r="J123" s="1"/>
    </row>
    <row r="124" ht="15" customHeight="1">
      <c r="A124" s="1"/>
      <c r="B124" s="3" t="s">
        <v>737</v>
      </c>
      <c r="C124" s="82">
        <f>ROUND(C119+C120+C121+C122+C123,2)</f>
        <v>0.52</v>
      </c>
      <c r="D124" s="82"/>
      <c r="E124" s="82"/>
      <c r="F124" s="82"/>
      <c r="G124" s="82"/>
      <c r="H124" s="82"/>
      <c r="I124" s="1"/>
      <c r="J124" s="1"/>
    </row>
    <row r="125" ht="15" customHeight="1">
      <c r="A125" s="1"/>
      <c r="B125" s="1" t="s">
        <v>40</v>
      </c>
      <c r="C125" s="11" t="s">
        <v>41</v>
      </c>
      <c r="D125" s="1"/>
      <c r="E125" s="1"/>
      <c r="F125" s="1"/>
      <c r="G125" s="1"/>
      <c r="H125" s="1"/>
      <c r="I125" s="1"/>
      <c r="J125" s="1"/>
    </row>
    <row r="126" ht="1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ht="15" customHeight="1">
      <c r="A127" s="1"/>
      <c r="B127" s="31" t="s">
        <v>738</v>
      </c>
      <c r="C127" s="1"/>
      <c r="D127" s="1"/>
      <c r="E127" s="1"/>
      <c r="F127" s="1"/>
      <c r="G127" s="1"/>
      <c r="H127" s="1"/>
      <c r="I127" s="1"/>
      <c r="J127" s="1"/>
    </row>
    <row r="128" ht="15" customHeight="1">
      <c r="A128" s="1"/>
      <c r="B128" s="1" t="s">
        <v>739</v>
      </c>
      <c r="C128" s="64">
        <v>13.75</v>
      </c>
      <c r="D128" s="18"/>
      <c r="E128" s="18"/>
      <c r="F128" s="18"/>
      <c r="G128" s="18"/>
      <c r="H128" s="18"/>
      <c r="I128" s="1"/>
      <c r="J128" s="1"/>
    </row>
    <row r="129" ht="15" customHeight="1">
      <c r="A129" s="1"/>
      <c r="B129" s="1" t="s">
        <v>740</v>
      </c>
      <c r="C129" s="42">
        <v>4670</v>
      </c>
      <c r="D129" s="15"/>
      <c r="E129" s="15"/>
      <c r="F129" s="15"/>
      <c r="G129" s="15"/>
      <c r="H129" s="15"/>
      <c r="I129" s="1"/>
      <c r="J129" s="1"/>
    </row>
    <row r="130" ht="15" customHeight="1">
      <c r="A130" s="1"/>
      <c r="B130" s="1" t="s">
        <v>741</v>
      </c>
      <c r="C130" s="64">
        <v>13.97</v>
      </c>
      <c r="D130" s="18"/>
      <c r="E130" s="18"/>
      <c r="F130" s="18"/>
      <c r="G130" s="18"/>
      <c r="H130" s="18"/>
      <c r="I130" s="1"/>
      <c r="J130" s="1"/>
    </row>
    <row r="131" ht="15" customHeight="1">
      <c r="A131" s="1"/>
      <c r="B131" s="1" t="s">
        <v>742</v>
      </c>
      <c r="C131" s="42">
        <v>4070</v>
      </c>
      <c r="D131" s="15"/>
      <c r="E131" s="15"/>
      <c r="F131" s="15"/>
      <c r="G131" s="15"/>
      <c r="H131" s="15"/>
      <c r="I131" s="1"/>
      <c r="J131" s="1"/>
    </row>
    <row r="132" ht="15" customHeight="1">
      <c r="A132" s="1"/>
      <c r="B132" s="1" t="s">
        <v>743</v>
      </c>
      <c r="C132" s="42">
        <v>368.1</v>
      </c>
      <c r="D132" s="15"/>
      <c r="E132" s="15"/>
      <c r="F132" s="15"/>
      <c r="G132" s="15"/>
      <c r="H132" s="15"/>
      <c r="I132" s="1"/>
      <c r="J132" s="1"/>
    </row>
    <row r="133" ht="1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ht="15" customHeight="1">
      <c r="A134" s="1"/>
      <c r="B134" s="31" t="s">
        <v>744</v>
      </c>
      <c r="C134" s="1"/>
      <c r="D134" s="1"/>
      <c r="E134" s="1"/>
      <c r="F134" s="1"/>
      <c r="G134" s="1"/>
      <c r="H134" s="1"/>
      <c r="I134" s="1"/>
      <c r="J134" s="1"/>
    </row>
    <row r="135" ht="15" customHeight="1">
      <c r="A135" s="1"/>
      <c r="B135" s="1" t="s">
        <v>745</v>
      </c>
      <c r="C135" s="42">
        <v>3760</v>
      </c>
      <c r="D135" s="15"/>
      <c r="E135" s="15"/>
      <c r="F135" s="15"/>
      <c r="G135" s="15"/>
      <c r="H135" s="15"/>
      <c r="I135" s="1"/>
      <c r="J135" s="1"/>
    </row>
    <row r="136" ht="15" customHeight="1">
      <c r="A136" s="1"/>
      <c r="B136" s="1" t="s">
        <v>746</v>
      </c>
      <c r="C136" s="42">
        <v>2931</v>
      </c>
      <c r="D136" s="15"/>
      <c r="E136" s="15"/>
      <c r="F136" s="15"/>
      <c r="G136" s="15"/>
      <c r="H136" s="15"/>
      <c r="I136" s="1"/>
      <c r="J136" s="1"/>
    </row>
    <row r="137" ht="15" customHeight="1">
      <c r="A137" s="1"/>
      <c r="B137" s="1" t="s">
        <v>747</v>
      </c>
      <c r="C137" s="42">
        <v>1822</v>
      </c>
      <c r="D137" s="15"/>
      <c r="E137" s="15"/>
      <c r="F137" s="15"/>
      <c r="G137" s="15"/>
      <c r="H137" s="15"/>
      <c r="I137" s="1"/>
      <c r="J137" s="1"/>
    </row>
    <row r="138" ht="15" customHeight="1">
      <c r="A138" s="1"/>
      <c r="B138" s="1" t="s">
        <v>748</v>
      </c>
      <c r="C138" s="42">
        <v>634</v>
      </c>
      <c r="D138" s="15"/>
      <c r="E138" s="15"/>
      <c r="F138" s="15"/>
      <c r="G138" s="15"/>
      <c r="H138" s="15"/>
      <c r="I138" s="1"/>
      <c r="J138" s="1"/>
    </row>
    <row r="139" ht="15" customHeight="1">
      <c r="A139" s="1"/>
      <c r="B139" s="1" t="s">
        <v>749</v>
      </c>
      <c r="C139" s="42">
        <v>3049</v>
      </c>
      <c r="D139" s="15"/>
      <c r="E139" s="15"/>
      <c r="F139" s="15"/>
      <c r="G139" s="15"/>
      <c r="H139" s="15"/>
      <c r="I139" s="1"/>
      <c r="J139" s="1"/>
    </row>
    <row r="140" ht="15" customHeight="1">
      <c r="A140" s="1"/>
      <c r="B140" s="1" t="s">
        <v>750</v>
      </c>
      <c r="C140" s="42">
        <v>984</v>
      </c>
      <c r="D140" s="15"/>
      <c r="E140" s="15"/>
      <c r="F140" s="15"/>
      <c r="G140" s="15"/>
      <c r="H140" s="15"/>
      <c r="I140" s="1"/>
      <c r="J140" s="1"/>
    </row>
    <row r="141" ht="15" customHeight="1">
      <c r="A141" s="1"/>
      <c r="B141" s="1" t="s">
        <v>751</v>
      </c>
      <c r="C141" s="42">
        <v>3409</v>
      </c>
      <c r="D141" s="15"/>
      <c r="E141" s="15"/>
      <c r="F141" s="15"/>
      <c r="G141" s="15"/>
      <c r="H141" s="15"/>
      <c r="I141" s="1"/>
      <c r="J141" s="1"/>
    </row>
    <row r="142" ht="15" customHeight="1">
      <c r="A142" s="1"/>
      <c r="B142" s="1" t="s">
        <v>752</v>
      </c>
      <c r="C142" s="42">
        <v>1159</v>
      </c>
      <c r="D142" s="15"/>
      <c r="E142" s="15"/>
      <c r="F142" s="15"/>
      <c r="G142" s="15"/>
      <c r="H142" s="15"/>
      <c r="I142" s="1"/>
      <c r="J142" s="1"/>
    </row>
    <row r="143" ht="15" customHeight="1">
      <c r="A143" s="1"/>
      <c r="B143" s="1" t="s">
        <v>753</v>
      </c>
      <c r="C143" s="42">
        <v>2279</v>
      </c>
      <c r="D143" s="15"/>
      <c r="E143" s="15"/>
      <c r="F143" s="15"/>
      <c r="G143" s="15"/>
      <c r="H143" s="15"/>
      <c r="I143" s="1"/>
      <c r="J143" s="1"/>
    </row>
    <row r="144" ht="15" customHeight="1">
      <c r="A144" s="1"/>
      <c r="B144" s="1" t="s">
        <v>754</v>
      </c>
      <c r="C144" s="42">
        <v>817</v>
      </c>
      <c r="D144" s="15"/>
      <c r="E144" s="15"/>
      <c r="F144" s="15"/>
      <c r="G144" s="15"/>
      <c r="H144" s="15"/>
      <c r="I144" s="1"/>
      <c r="J144" s="1"/>
    </row>
    <row r="145" ht="1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ht="15" customHeight="1">
      <c r="A146" s="1"/>
      <c r="B146" s="31" t="s">
        <v>755</v>
      </c>
      <c r="C146" s="1"/>
      <c r="D146" s="1"/>
      <c r="E146" s="1"/>
      <c r="F146" s="1"/>
      <c r="G146" s="1"/>
      <c r="H146" s="1"/>
      <c r="I146" s="1"/>
      <c r="J146" s="1"/>
    </row>
    <row r="147" ht="15" customHeight="1">
      <c r="A147" s="1"/>
      <c r="B147" s="1" t="s">
        <v>756</v>
      </c>
      <c r="C147" s="42">
        <v>2327</v>
      </c>
      <c r="D147" s="15">
        <f t="shared" si="1" ref="D147:D174">G147-H147</f>
        <v>2339</v>
      </c>
      <c r="E147" s="42">
        <v>2099</v>
      </c>
      <c r="F147" s="42">
        <v>2268</v>
      </c>
      <c r="G147" s="42">
        <v>8945</v>
      </c>
      <c r="H147" s="42">
        <v>6606</v>
      </c>
      <c r="I147" s="1"/>
      <c r="J147" s="1"/>
    </row>
    <row r="148" ht="15" customHeight="1">
      <c r="A148" s="1"/>
      <c r="B148" s="1" t="s">
        <v>757</v>
      </c>
      <c r="C148" s="42">
        <v>274</v>
      </c>
      <c r="D148" s="15">
        <f t="shared" si="1"/>
        <v>395</v>
      </c>
      <c r="E148" s="42">
        <v>330</v>
      </c>
      <c r="F148" s="42">
        <v>272</v>
      </c>
      <c r="G148" s="42">
        <v>1328</v>
      </c>
      <c r="H148" s="42">
        <v>933</v>
      </c>
      <c r="I148" s="1"/>
      <c r="J148" s="1"/>
    </row>
    <row r="149" ht="15" customHeight="1">
      <c r="A149" s="1"/>
      <c r="B149" s="1" t="s">
        <v>758</v>
      </c>
      <c r="C149" s="42">
        <v>36</v>
      </c>
      <c r="D149" s="15">
        <f t="shared" si="1"/>
        <v>67</v>
      </c>
      <c r="E149" s="42">
        <v>43</v>
      </c>
      <c r="F149" s="42">
        <v>49</v>
      </c>
      <c r="G149" s="42">
        <v>159</v>
      </c>
      <c r="H149" s="42">
        <v>92</v>
      </c>
      <c r="I149" s="1"/>
      <c r="J149" s="1"/>
    </row>
    <row r="150" ht="15" customHeight="1">
      <c r="A150" s="1"/>
      <c r="B150" s="1" t="s">
        <v>759</v>
      </c>
      <c r="C150" s="42">
        <v>22</v>
      </c>
      <c r="D150" s="15">
        <f t="shared" si="1"/>
        <v>22</v>
      </c>
      <c r="E150" s="42">
        <v>20</v>
      </c>
      <c r="F150" s="42">
        <v>22</v>
      </c>
      <c r="G150" s="42">
        <v>87</v>
      </c>
      <c r="H150" s="42">
        <v>65</v>
      </c>
      <c r="I150" s="1"/>
      <c r="J150" s="1"/>
    </row>
    <row r="151" ht="15" customHeight="1">
      <c r="A151" s="1"/>
      <c r="B151" s="1" t="s">
        <v>760</v>
      </c>
      <c r="C151" s="42">
        <v>86</v>
      </c>
      <c r="D151" s="15">
        <f t="shared" si="1"/>
        <v>78</v>
      </c>
      <c r="E151" s="42">
        <v>81</v>
      </c>
      <c r="F151" s="42">
        <v>87</v>
      </c>
      <c r="G151" s="42">
        <v>326</v>
      </c>
      <c r="H151" s="42">
        <v>248</v>
      </c>
      <c r="I151" s="1"/>
      <c r="J151" s="1"/>
    </row>
    <row r="152" ht="15" customHeight="1">
      <c r="A152" s="1"/>
      <c r="B152" s="3" t="s">
        <v>761</v>
      </c>
      <c r="C152" s="37">
        <f t="shared" si="2" ref="C152:H158">C147+C148+C149+C150+C151</f>
        <v>2745</v>
      </c>
      <c r="D152" s="37">
        <f t="shared" si="2"/>
        <v>2901</v>
      </c>
      <c r="E152" s="37">
        <f t="shared" si="2"/>
        <v>2573</v>
      </c>
      <c r="F152" s="37">
        <f t="shared" si="2"/>
        <v>2698</v>
      </c>
      <c r="G152" s="37">
        <f t="shared" si="2"/>
        <v>10845</v>
      </c>
      <c r="H152" s="37">
        <f t="shared" si="2"/>
        <v>7944</v>
      </c>
      <c r="I152" s="1"/>
      <c r="J152" s="1"/>
    </row>
    <row r="153" ht="15" customHeight="1">
      <c r="A153" s="1"/>
      <c r="B153" s="1" t="s">
        <v>762</v>
      </c>
      <c r="C153" s="42">
        <v>1136</v>
      </c>
      <c r="D153" s="15">
        <f t="shared" si="1"/>
        <v>1083</v>
      </c>
      <c r="E153" s="42">
        <v>1046</v>
      </c>
      <c r="F153" s="42">
        <v>1147</v>
      </c>
      <c r="G153" s="42">
        <v>4084</v>
      </c>
      <c r="H153" s="42">
        <v>3001</v>
      </c>
      <c r="I153" s="1"/>
      <c r="J153" s="1"/>
    </row>
    <row r="154" ht="15" customHeight="1">
      <c r="A154" s="1"/>
      <c r="B154" s="1" t="s">
        <v>763</v>
      </c>
      <c r="C154" s="42">
        <v>47</v>
      </c>
      <c r="D154" s="15">
        <f t="shared" si="1"/>
        <v>57</v>
      </c>
      <c r="E154" s="42">
        <v>47</v>
      </c>
      <c r="F154" s="42">
        <v>45</v>
      </c>
      <c r="G154" s="42">
        <v>193</v>
      </c>
      <c r="H154" s="42">
        <v>136</v>
      </c>
      <c r="I154" s="1"/>
      <c r="J154" s="1"/>
    </row>
    <row r="155" ht="15" customHeight="1">
      <c r="A155" s="1"/>
      <c r="B155" s="1" t="s">
        <v>764</v>
      </c>
      <c r="C155" s="42">
        <v>41</v>
      </c>
      <c r="D155" s="15">
        <f t="shared" si="1"/>
        <v>29</v>
      </c>
      <c r="E155" s="42">
        <v>27</v>
      </c>
      <c r="F155" s="42">
        <v>26</v>
      </c>
      <c r="G155" s="42">
        <v>123</v>
      </c>
      <c r="H155" s="42">
        <v>94</v>
      </c>
      <c r="I155" s="1"/>
      <c r="J155" s="1"/>
    </row>
    <row r="156" ht="15" customHeight="1">
      <c r="A156" s="1"/>
      <c r="B156" s="1" t="s">
        <v>765</v>
      </c>
      <c r="C156" s="42">
        <v>16</v>
      </c>
      <c r="D156" s="15">
        <f t="shared" si="1"/>
        <v>17</v>
      </c>
      <c r="E156" s="42">
        <v>16</v>
      </c>
      <c r="F156" s="42">
        <v>19</v>
      </c>
      <c r="G156" s="42">
        <v>68</v>
      </c>
      <c r="H156" s="42">
        <v>51</v>
      </c>
      <c r="I156" s="1"/>
      <c r="J156" s="1"/>
    </row>
    <row r="157" ht="15" customHeight="1">
      <c r="A157" s="1"/>
      <c r="B157" s="1" t="s">
        <v>766</v>
      </c>
      <c r="C157" s="42">
        <v>7</v>
      </c>
      <c r="D157" s="15">
        <f t="shared" si="1"/>
        <v>8</v>
      </c>
      <c r="E157" s="42">
        <v>10</v>
      </c>
      <c r="F157" s="42">
        <v>8</v>
      </c>
      <c r="G157" s="42">
        <v>32</v>
      </c>
      <c r="H157" s="42">
        <v>24</v>
      </c>
      <c r="I157" s="1"/>
      <c r="J157" s="1"/>
    </row>
    <row r="158" ht="15" customHeight="1">
      <c r="A158" s="1"/>
      <c r="B158" s="3" t="s">
        <v>64</v>
      </c>
      <c r="C158" s="37">
        <f t="shared" si="2"/>
        <v>1247</v>
      </c>
      <c r="D158" s="37">
        <f t="shared" si="2"/>
        <v>1194</v>
      </c>
      <c r="E158" s="37">
        <f t="shared" si="2"/>
        <v>1146</v>
      </c>
      <c r="F158" s="37">
        <f t="shared" si="2"/>
        <v>1245</v>
      </c>
      <c r="G158" s="37">
        <f t="shared" si="2"/>
        <v>4500</v>
      </c>
      <c r="H158" s="37">
        <f t="shared" si="2"/>
        <v>3306</v>
      </c>
      <c r="I158" s="1"/>
      <c r="J158" s="1"/>
    </row>
    <row r="159" ht="15" customHeight="1">
      <c r="A159" s="1"/>
      <c r="B159" s="1" t="s">
        <v>767</v>
      </c>
      <c r="C159" s="42">
        <v>497</v>
      </c>
      <c r="D159" s="15">
        <f t="shared" si="1"/>
        <v>503</v>
      </c>
      <c r="E159" s="42">
        <v>488</v>
      </c>
      <c r="F159" s="42">
        <v>497</v>
      </c>
      <c r="G159" s="42">
        <v>1968</v>
      </c>
      <c r="H159" s="42">
        <v>1465</v>
      </c>
      <c r="I159" s="1"/>
      <c r="J159" s="1"/>
    </row>
    <row r="160" ht="15" customHeight="1">
      <c r="A160" s="1"/>
      <c r="B160" s="1" t="s">
        <v>768</v>
      </c>
      <c r="C160" s="42">
        <v>396</v>
      </c>
      <c r="D160" s="15">
        <f t="shared" si="1"/>
        <v>398</v>
      </c>
      <c r="E160" s="42">
        <v>406</v>
      </c>
      <c r="F160" s="42">
        <v>415</v>
      </c>
      <c r="G160" s="42">
        <v>1576</v>
      </c>
      <c r="H160" s="42">
        <v>1178</v>
      </c>
      <c r="I160" s="1"/>
      <c r="J160" s="1"/>
    </row>
    <row r="161" ht="15" customHeight="1">
      <c r="A161" s="1"/>
      <c r="B161" s="1" t="s">
        <v>769</v>
      </c>
      <c r="C161" s="42">
        <v>214</v>
      </c>
      <c r="D161" s="15">
        <f t="shared" si="1"/>
        <v>211</v>
      </c>
      <c r="E161" s="42">
        <v>193</v>
      </c>
      <c r="F161" s="42">
        <v>209</v>
      </c>
      <c r="G161" s="42">
        <v>830</v>
      </c>
      <c r="H161" s="42">
        <v>619</v>
      </c>
      <c r="I161" s="1"/>
      <c r="J161" s="1"/>
    </row>
    <row r="162" ht="15" customHeight="1">
      <c r="A162" s="1"/>
      <c r="B162" s="1" t="s">
        <v>770</v>
      </c>
      <c r="C162" s="42">
        <v>126</v>
      </c>
      <c r="D162" s="15">
        <f t="shared" si="1"/>
        <v>126</v>
      </c>
      <c r="E162" s="42">
        <v>115</v>
      </c>
      <c r="F162" s="42">
        <v>128</v>
      </c>
      <c r="G162" s="42">
        <v>472</v>
      </c>
      <c r="H162" s="42">
        <v>346</v>
      </c>
      <c r="I162" s="1"/>
      <c r="J162" s="1"/>
    </row>
    <row r="163" ht="15" customHeight="1">
      <c r="A163" s="1"/>
      <c r="B163" s="1" t="s">
        <v>771</v>
      </c>
      <c r="C163" s="42">
        <v>220</v>
      </c>
      <c r="D163" s="15">
        <f t="shared" si="1"/>
        <v>226</v>
      </c>
      <c r="E163" s="42">
        <v>218</v>
      </c>
      <c r="F163" s="42">
        <v>223</v>
      </c>
      <c r="G163" s="42">
        <v>867</v>
      </c>
      <c r="H163" s="42">
        <v>641</v>
      </c>
      <c r="I163" s="1"/>
      <c r="J163" s="1"/>
    </row>
    <row r="164" ht="15" customHeight="1">
      <c r="A164" s="1"/>
      <c r="B164" s="3" t="s">
        <v>772</v>
      </c>
      <c r="C164" s="37">
        <f t="shared" si="3" ref="C164:H170">C147-C159-C160-C161-C162-C163</f>
        <v>874</v>
      </c>
      <c r="D164" s="37">
        <f t="shared" si="3"/>
        <v>875</v>
      </c>
      <c r="E164" s="37">
        <f t="shared" si="3"/>
        <v>679</v>
      </c>
      <c r="F164" s="37">
        <f t="shared" si="3"/>
        <v>796</v>
      </c>
      <c r="G164" s="37">
        <f t="shared" si="3"/>
        <v>3232</v>
      </c>
      <c r="H164" s="37">
        <f t="shared" si="3"/>
        <v>2357</v>
      </c>
      <c r="I164" s="1"/>
      <c r="J164" s="1"/>
    </row>
    <row r="165" ht="15" customHeight="1">
      <c r="A165" s="1"/>
      <c r="B165" s="1" t="s">
        <v>773</v>
      </c>
      <c r="C165" s="42">
        <v>132</v>
      </c>
      <c r="D165" s="15">
        <f t="shared" si="1"/>
        <v>144</v>
      </c>
      <c r="E165" s="42">
        <v>149</v>
      </c>
      <c r="F165" s="42">
        <v>154</v>
      </c>
      <c r="G165" s="42">
        <v>498</v>
      </c>
      <c r="H165" s="42">
        <v>354</v>
      </c>
      <c r="I165" s="1"/>
      <c r="J165" s="1"/>
    </row>
    <row r="166" ht="15" customHeight="1">
      <c r="A166" s="1"/>
      <c r="B166" s="1" t="s">
        <v>774</v>
      </c>
      <c r="C166" s="42">
        <v>115</v>
      </c>
      <c r="D166" s="15">
        <f t="shared" si="1"/>
        <v>123</v>
      </c>
      <c r="E166" s="42">
        <v>120</v>
      </c>
      <c r="F166" s="42">
        <v>128</v>
      </c>
      <c r="G166" s="42">
        <v>442</v>
      </c>
      <c r="H166" s="42">
        <v>319</v>
      </c>
      <c r="I166" s="1"/>
      <c r="J166" s="1"/>
    </row>
    <row r="167" ht="15" customHeight="1">
      <c r="A167" s="1"/>
      <c r="B167" s="1" t="s">
        <v>775</v>
      </c>
      <c r="C167" s="42">
        <v>58</v>
      </c>
      <c r="D167" s="15">
        <f t="shared" si="1"/>
        <v>57</v>
      </c>
      <c r="E167" s="42">
        <v>53</v>
      </c>
      <c r="F167" s="42">
        <v>59</v>
      </c>
      <c r="G167" s="42">
        <v>211</v>
      </c>
      <c r="H167" s="42">
        <v>154</v>
      </c>
      <c r="I167" s="1"/>
      <c r="J167" s="1"/>
    </row>
    <row r="168" ht="15" customHeight="1">
      <c r="A168" s="1"/>
      <c r="B168" s="1" t="s">
        <v>776</v>
      </c>
      <c r="C168" s="42">
        <v>102</v>
      </c>
      <c r="D168" s="15">
        <f t="shared" si="1"/>
        <v>94</v>
      </c>
      <c r="E168" s="42">
        <v>96</v>
      </c>
      <c r="F168" s="42">
        <v>119</v>
      </c>
      <c r="G168" s="42">
        <v>350</v>
      </c>
      <c r="H168" s="42">
        <v>256</v>
      </c>
      <c r="I168" s="1"/>
      <c r="J168" s="1"/>
    </row>
    <row r="169" ht="15" customHeight="1">
      <c r="A169" s="1"/>
      <c r="B169" s="1" t="s">
        <v>777</v>
      </c>
      <c r="C169" s="42">
        <v>161</v>
      </c>
      <c r="D169" s="15">
        <f t="shared" si="1"/>
        <v>172</v>
      </c>
      <c r="E169" s="42">
        <v>177</v>
      </c>
      <c r="F169" s="42">
        <v>162</v>
      </c>
      <c r="G169" s="42">
        <v>617</v>
      </c>
      <c r="H169" s="42">
        <v>445</v>
      </c>
      <c r="I169" s="1"/>
      <c r="J169" s="1"/>
    </row>
    <row r="170" ht="15" customHeight="1">
      <c r="A170" s="1"/>
      <c r="B170" s="3" t="s">
        <v>778</v>
      </c>
      <c r="C170" s="37">
        <f t="shared" si="3"/>
        <v>568</v>
      </c>
      <c r="D170" s="37">
        <f t="shared" si="3"/>
        <v>493</v>
      </c>
      <c r="E170" s="37">
        <f t="shared" si="3"/>
        <v>451</v>
      </c>
      <c r="F170" s="37">
        <f t="shared" si="3"/>
        <v>525</v>
      </c>
      <c r="G170" s="37">
        <f t="shared" si="3"/>
        <v>1966</v>
      </c>
      <c r="H170" s="37">
        <f t="shared" si="3"/>
        <v>1473</v>
      </c>
      <c r="I170" s="1"/>
      <c r="J170" s="1"/>
    </row>
    <row r="171" ht="15" customHeight="1">
      <c r="A171" s="1"/>
      <c r="B171" s="1" t="s">
        <v>779</v>
      </c>
      <c r="C171" s="42">
        <v>2804</v>
      </c>
      <c r="D171" s="15">
        <f t="shared" si="1"/>
        <v>2747</v>
      </c>
      <c r="E171" s="42">
        <v>2522</v>
      </c>
      <c r="F171" s="42">
        <v>2745</v>
      </c>
      <c r="G171" s="42">
        <v>10559</v>
      </c>
      <c r="H171" s="42">
        <v>7812</v>
      </c>
      <c r="I171" s="1"/>
      <c r="J171" s="1"/>
    </row>
    <row r="172" ht="15" customHeight="1">
      <c r="A172" s="1"/>
      <c r="B172" s="1" t="s">
        <v>780</v>
      </c>
      <c r="C172" s="42">
        <v>71</v>
      </c>
      <c r="D172" s="15">
        <f t="shared" si="1"/>
        <v>74</v>
      </c>
      <c r="E172" s="42">
        <v>63</v>
      </c>
      <c r="F172" s="42">
        <v>60</v>
      </c>
      <c r="G172" s="42">
        <v>258</v>
      </c>
      <c r="H172" s="42">
        <v>184</v>
      </c>
      <c r="I172" s="1"/>
      <c r="J172" s="1"/>
    </row>
    <row r="173" ht="15" customHeight="1">
      <c r="A173" s="1"/>
      <c r="B173" s="1" t="s">
        <v>781</v>
      </c>
      <c r="C173" s="42">
        <v>297</v>
      </c>
      <c r="D173" s="15">
        <f t="shared" si="1"/>
        <v>291</v>
      </c>
      <c r="E173" s="42">
        <v>252</v>
      </c>
      <c r="F173" s="42">
        <v>294</v>
      </c>
      <c r="G173" s="42">
        <v>1069</v>
      </c>
      <c r="H173" s="42">
        <v>778</v>
      </c>
      <c r="I173" s="1"/>
      <c r="J173" s="1"/>
    </row>
    <row r="174" ht="15" customHeight="1">
      <c r="A174" s="1"/>
      <c r="B174" s="1" t="s">
        <v>782</v>
      </c>
      <c r="C174" s="42">
        <v>291</v>
      </c>
      <c r="D174" s="15">
        <f t="shared" si="1"/>
        <v>310</v>
      </c>
      <c r="E174" s="42">
        <v>308</v>
      </c>
      <c r="F174" s="42">
        <v>316</v>
      </c>
      <c r="G174" s="42">
        <v>1143</v>
      </c>
      <c r="H174" s="42">
        <v>833</v>
      </c>
      <c r="I174" s="1"/>
      <c r="J174" s="1"/>
    </row>
    <row r="175" ht="15" customHeight="1">
      <c r="A175" s="1"/>
      <c r="B175" s="1" t="s">
        <v>783</v>
      </c>
      <c r="C175" s="74">
        <f t="shared" si="4" ref="C175:H175">C173+C174</f>
        <v>588</v>
      </c>
      <c r="D175" s="74">
        <f t="shared" si="4"/>
        <v>601</v>
      </c>
      <c r="E175" s="74">
        <f t="shared" si="4"/>
        <v>560</v>
      </c>
      <c r="F175" s="74">
        <f t="shared" si="4"/>
        <v>610</v>
      </c>
      <c r="G175" s="74">
        <f t="shared" si="4"/>
        <v>2212</v>
      </c>
      <c r="H175" s="74">
        <f t="shared" si="4"/>
        <v>1611</v>
      </c>
      <c r="I175" s="1"/>
      <c r="J175" s="1"/>
    </row>
    <row r="176" ht="15" customHeight="1">
      <c r="A176" s="1"/>
      <c r="B176" s="1" t="s">
        <v>784</v>
      </c>
      <c r="C176" s="74">
        <f t="shared" si="5" ref="C176:H176">C175+C172</f>
        <v>659</v>
      </c>
      <c r="D176" s="74">
        <f t="shared" si="5"/>
        <v>675</v>
      </c>
      <c r="E176" s="74">
        <f t="shared" si="5"/>
        <v>623</v>
      </c>
      <c r="F176" s="74">
        <f t="shared" si="5"/>
        <v>670</v>
      </c>
      <c r="G176" s="74">
        <f t="shared" si="5"/>
        <v>2470</v>
      </c>
      <c r="H176" s="74">
        <f t="shared" si="5"/>
        <v>1795</v>
      </c>
      <c r="I176" s="1"/>
      <c r="J176" s="1"/>
    </row>
    <row r="177" ht="15" customHeight="1">
      <c r="A177" s="1"/>
      <c r="B177" s="1" t="s">
        <v>785</v>
      </c>
      <c r="C177" s="15">
        <f t="shared" si="6" ref="C177:H181">C147+C153</f>
        <v>3463</v>
      </c>
      <c r="D177" s="15">
        <f t="shared" si="6"/>
        <v>3422</v>
      </c>
      <c r="E177" s="15">
        <f t="shared" si="6"/>
        <v>3145</v>
      </c>
      <c r="F177" s="15">
        <f t="shared" si="6"/>
        <v>3415</v>
      </c>
      <c r="G177" s="15">
        <f t="shared" si="6"/>
        <v>13029</v>
      </c>
      <c r="H177" s="15">
        <f t="shared" si="6"/>
        <v>9607</v>
      </c>
      <c r="I177" s="1"/>
      <c r="J177" s="1"/>
    </row>
    <row r="178" ht="15" customHeight="1">
      <c r="A178" s="1"/>
      <c r="B178" s="1" t="s">
        <v>69</v>
      </c>
      <c r="C178" s="15">
        <f t="shared" si="6"/>
        <v>321</v>
      </c>
      <c r="D178" s="15">
        <f t="shared" si="6"/>
        <v>452</v>
      </c>
      <c r="E178" s="15">
        <f t="shared" si="6"/>
        <v>377</v>
      </c>
      <c r="F178" s="15">
        <f t="shared" si="6"/>
        <v>317</v>
      </c>
      <c r="G178" s="15">
        <f t="shared" si="6"/>
        <v>1521</v>
      </c>
      <c r="H178" s="15">
        <f t="shared" si="6"/>
        <v>1069</v>
      </c>
      <c r="I178" s="1"/>
      <c r="J178" s="1"/>
    </row>
    <row r="179" ht="15" customHeight="1">
      <c r="A179" s="1"/>
      <c r="B179" s="1" t="s">
        <v>70</v>
      </c>
      <c r="C179" s="15">
        <f t="shared" si="6"/>
        <v>77</v>
      </c>
      <c r="D179" s="15">
        <f t="shared" si="6"/>
        <v>96</v>
      </c>
      <c r="E179" s="15">
        <f t="shared" si="6"/>
        <v>70</v>
      </c>
      <c r="F179" s="15">
        <f t="shared" si="6"/>
        <v>75</v>
      </c>
      <c r="G179" s="15">
        <f t="shared" si="6"/>
        <v>282</v>
      </c>
      <c r="H179" s="15">
        <f t="shared" si="6"/>
        <v>186</v>
      </c>
      <c r="I179" s="1"/>
      <c r="J179" s="1"/>
    </row>
    <row r="180" ht="15" customHeight="1">
      <c r="A180" s="1"/>
      <c r="B180" s="1" t="s">
        <v>71</v>
      </c>
      <c r="C180" s="15">
        <f t="shared" si="6"/>
        <v>38</v>
      </c>
      <c r="D180" s="15">
        <f t="shared" si="6"/>
        <v>39</v>
      </c>
      <c r="E180" s="15">
        <f t="shared" si="6"/>
        <v>36</v>
      </c>
      <c r="F180" s="15">
        <f t="shared" si="6"/>
        <v>41</v>
      </c>
      <c r="G180" s="15">
        <f t="shared" si="6"/>
        <v>155</v>
      </c>
      <c r="H180" s="15">
        <f t="shared" si="6"/>
        <v>116</v>
      </c>
      <c r="I180" s="1"/>
      <c r="J180" s="1"/>
    </row>
    <row r="181" ht="15" customHeight="1">
      <c r="A181" s="1"/>
      <c r="B181" s="1" t="s">
        <v>72</v>
      </c>
      <c r="C181" s="15">
        <f t="shared" si="6"/>
        <v>93</v>
      </c>
      <c r="D181" s="15">
        <f t="shared" si="6"/>
        <v>86</v>
      </c>
      <c r="E181" s="15">
        <f t="shared" si="6"/>
        <v>91</v>
      </c>
      <c r="F181" s="15">
        <f t="shared" si="6"/>
        <v>95</v>
      </c>
      <c r="G181" s="15">
        <f t="shared" si="6"/>
        <v>358</v>
      </c>
      <c r="H181" s="15">
        <f t="shared" si="6"/>
        <v>272</v>
      </c>
      <c r="I181" s="1"/>
      <c r="J181" s="1"/>
    </row>
    <row r="182" ht="15" customHeight="1">
      <c r="A182" s="1"/>
      <c r="B182" s="1" t="s">
        <v>786</v>
      </c>
      <c r="C182" s="42">
        <v>3992</v>
      </c>
      <c r="D182" s="42">
        <v>4095</v>
      </c>
      <c r="E182" s="42">
        <v>3719</v>
      </c>
      <c r="F182" s="42">
        <v>3943</v>
      </c>
      <c r="G182" s="42">
        <v>15345</v>
      </c>
      <c r="H182" s="15"/>
      <c r="I182" s="1"/>
      <c r="J182" s="1"/>
    </row>
    <row r="183" ht="15" customHeight="1">
      <c r="A183" s="1"/>
      <c r="B183" s="1" t="s">
        <v>787</v>
      </c>
      <c r="C183" s="42">
        <v>1648</v>
      </c>
      <c r="D183" s="42">
        <v>1638</v>
      </c>
      <c r="E183" s="42">
        <v>1356</v>
      </c>
      <c r="F183" s="42">
        <v>1533</v>
      </c>
      <c r="G183" s="42">
        <v>6150</v>
      </c>
      <c r="H183" s="15"/>
      <c r="I183" s="1"/>
      <c r="J183" s="1"/>
    </row>
    <row r="184" ht="15" customHeight="1">
      <c r="A184" s="1"/>
      <c r="B184" s="1" t="s">
        <v>248</v>
      </c>
      <c r="C184" s="42">
        <v>1122</v>
      </c>
      <c r="D184" s="42">
        <v>1087</v>
      </c>
      <c r="E184" s="42">
        <v>804</v>
      </c>
      <c r="F184" s="42">
        <v>1003</v>
      </c>
      <c r="G184" s="42">
        <v>4065</v>
      </c>
      <c r="H184" s="15"/>
      <c r="I184" s="1"/>
      <c r="J184" s="1"/>
    </row>
    <row r="185" ht="15" customHeight="1">
      <c r="A185" s="1"/>
      <c r="B185" s="1" t="s">
        <v>788</v>
      </c>
      <c r="C185" s="42">
        <v>949</v>
      </c>
      <c r="D185" s="42">
        <v>909</v>
      </c>
      <c r="E185" s="42">
        <v>688</v>
      </c>
      <c r="F185" s="42">
        <v>839</v>
      </c>
      <c r="G185" s="42">
        <v>3388</v>
      </c>
      <c r="H185" s="15"/>
      <c r="I185" s="1"/>
      <c r="J185" s="1"/>
    </row>
    <row r="186" ht="15" customHeight="1">
      <c r="A186" s="1"/>
      <c r="B186" s="1" t="s">
        <v>789</v>
      </c>
      <c r="C186" s="42">
        <v>708</v>
      </c>
      <c r="D186" s="42">
        <v>689</v>
      </c>
      <c r="E186" s="42">
        <v>518</v>
      </c>
      <c r="F186" s="42">
        <v>622</v>
      </c>
      <c r="G186" s="42">
        <v>2575</v>
      </c>
      <c r="H186" s="15"/>
      <c r="I186" s="1"/>
      <c r="J186" s="1"/>
    </row>
    <row r="187" ht="15" customHeight="1">
      <c r="A187" s="1"/>
      <c r="B187" s="1" t="s">
        <v>790</v>
      </c>
      <c r="C187" s="64">
        <v>10.7</v>
      </c>
      <c r="D187" s="64">
        <v>10.47</v>
      </c>
      <c r="E187" s="64">
        <v>7.91</v>
      </c>
      <c r="F187" s="64">
        <v>9.59</v>
      </c>
      <c r="G187" s="64">
        <v>38.69</v>
      </c>
      <c r="H187" s="18"/>
      <c r="I187" s="1"/>
      <c r="J187" s="1"/>
    </row>
    <row r="188" ht="15" customHeight="1">
      <c r="A188" s="1"/>
      <c r="B188" s="1" t="s">
        <v>791</v>
      </c>
      <c r="C188" s="64">
        <v>11.8</v>
      </c>
      <c r="D188" s="64">
        <v>11.59</v>
      </c>
      <c r="E188" s="64">
        <v>8.86</v>
      </c>
      <c r="F188" s="64">
        <v>10.47</v>
      </c>
      <c r="G188" s="64">
        <v>43.17</v>
      </c>
      <c r="H188" s="18"/>
      <c r="I188" s="1"/>
      <c r="J188" s="1"/>
    </row>
    <row r="189" ht="15" customHeight="1">
      <c r="A189" s="1"/>
      <c r="B189" s="1" t="s">
        <v>306</v>
      </c>
      <c r="C189" s="42">
        <v>1904</v>
      </c>
      <c r="D189" s="42">
        <v>1900</v>
      </c>
      <c r="E189" s="42">
        <v>1671</v>
      </c>
      <c r="F189" s="42">
        <v>1810</v>
      </c>
      <c r="G189" s="42">
        <v>7160</v>
      </c>
      <c r="H189" s="15"/>
      <c r="I189" s="1"/>
      <c r="J189" s="1"/>
    </row>
    <row r="190" ht="15" customHeight="1">
      <c r="A190" s="1"/>
      <c r="B190" s="1" t="s">
        <v>792</v>
      </c>
      <c r="C190" s="42">
        <v>66</v>
      </c>
      <c r="D190" s="42">
        <v>65.6</v>
      </c>
      <c r="E190" s="42">
        <v>65.3</v>
      </c>
      <c r="F190" s="42">
        <v>64.9</v>
      </c>
      <c r="G190" s="42">
        <v>66.3</v>
      </c>
      <c r="H190" s="15"/>
      <c r="I190" s="1"/>
      <c r="J190" s="1"/>
    </row>
    <row r="191" ht="15" customHeight="1">
      <c r="A191" s="1"/>
      <c r="B191" s="1" t="s">
        <v>793</v>
      </c>
      <c r="C191" s="42">
        <v>66.2</v>
      </c>
      <c r="D191" s="42">
        <v>65.8</v>
      </c>
      <c r="E191" s="42">
        <v>65.4</v>
      </c>
      <c r="F191" s="42">
        <v>64.9</v>
      </c>
      <c r="G191" s="42">
        <v>66.6</v>
      </c>
      <c r="H191" s="15"/>
      <c r="I191" s="1"/>
      <c r="J191" s="1"/>
    </row>
    <row r="192" ht="15" customHeight="1">
      <c r="A192" s="1"/>
      <c r="B192" s="1" t="s">
        <v>794</v>
      </c>
      <c r="C192" s="42">
        <v>1392</v>
      </c>
      <c r="D192" s="42">
        <v>1407</v>
      </c>
      <c r="E192" s="42">
        <v>1378</v>
      </c>
      <c r="F192" s="42">
        <v>1443</v>
      </c>
      <c r="G192" s="42">
        <v>5365</v>
      </c>
      <c r="H192" s="15"/>
      <c r="I192" s="1"/>
      <c r="J192" s="1"/>
    </row>
    <row r="193" ht="15" customHeight="1">
      <c r="A193" s="1"/>
      <c r="B193" s="1" t="s">
        <v>795</v>
      </c>
      <c r="C193" s="42">
        <v>629</v>
      </c>
      <c r="D193" s="42">
        <v>647</v>
      </c>
      <c r="E193" s="42">
        <v>637</v>
      </c>
      <c r="F193" s="42">
        <v>651</v>
      </c>
      <c r="G193" s="42">
        <v>2466</v>
      </c>
      <c r="H193" s="15"/>
      <c r="I193" s="1"/>
      <c r="J193" s="1"/>
    </row>
    <row r="194" ht="15" customHeight="1">
      <c r="A194" s="1"/>
      <c r="B194" s="1" t="s">
        <v>796</v>
      </c>
      <c r="C194" s="42">
        <v>176</v>
      </c>
      <c r="D194" s="42">
        <v>247</v>
      </c>
      <c r="E194" s="42">
        <v>210</v>
      </c>
      <c r="F194" s="42">
        <v>171</v>
      </c>
      <c r="G194" s="42">
        <v>811</v>
      </c>
      <c r="H194" s="15"/>
      <c r="I194" s="1"/>
      <c r="J194" s="1"/>
    </row>
    <row r="195" ht="15" customHeight="1">
      <c r="A195" s="1"/>
      <c r="B195" s="1" t="s">
        <v>797</v>
      </c>
      <c r="C195" s="42">
        <v>65</v>
      </c>
      <c r="D195" s="42">
        <v>77</v>
      </c>
      <c r="E195" s="42">
        <v>56</v>
      </c>
      <c r="F195" s="42">
        <v>61</v>
      </c>
      <c r="G195" s="42">
        <v>229</v>
      </c>
      <c r="H195" s="15"/>
      <c r="I195" s="1"/>
      <c r="J195" s="1"/>
    </row>
    <row r="196" ht="15" customHeight="1">
      <c r="A196" s="1"/>
      <c r="B196" s="1" t="s">
        <v>798</v>
      </c>
      <c r="C196" s="42">
        <v>26</v>
      </c>
      <c r="D196" s="42">
        <v>23</v>
      </c>
      <c r="E196" s="42">
        <v>26</v>
      </c>
      <c r="F196" s="42">
        <v>28</v>
      </c>
      <c r="G196" s="42">
        <v>103</v>
      </c>
      <c r="H196" s="15"/>
      <c r="I196" s="1"/>
      <c r="J196" s="1"/>
    </row>
    <row r="197" ht="15" customHeight="1">
      <c r="A197" s="1"/>
      <c r="B197" s="1" t="s">
        <v>799</v>
      </c>
      <c r="C197" s="42">
        <v>56</v>
      </c>
      <c r="D197" s="42">
        <v>56</v>
      </c>
      <c r="E197" s="42">
        <v>56</v>
      </c>
      <c r="F197" s="42">
        <v>56</v>
      </c>
      <c r="G197" s="42">
        <v>221</v>
      </c>
      <c r="H197" s="15"/>
      <c r="I197" s="1"/>
      <c r="J197" s="1"/>
    </row>
    <row r="198" ht="15" customHeight="1">
      <c r="A198" s="1"/>
      <c r="B198" s="1" t="s">
        <v>800</v>
      </c>
      <c r="C198" s="42">
        <v>416</v>
      </c>
      <c r="D198" s="42">
        <v>436</v>
      </c>
      <c r="E198" s="42">
        <v>437</v>
      </c>
      <c r="F198" s="42">
        <v>422</v>
      </c>
      <c r="G198" s="42">
        <v>1645</v>
      </c>
      <c r="H198" s="15"/>
      <c r="I198" s="1"/>
      <c r="J198" s="1"/>
    </row>
    <row r="199" ht="15" customHeight="1">
      <c r="A199" s="1"/>
      <c r="B199" s="1" t="s">
        <v>801</v>
      </c>
      <c r="C199" s="42">
        <v>1</v>
      </c>
      <c r="D199" s="42">
        <v>0</v>
      </c>
      <c r="E199" s="42">
        <v>1</v>
      </c>
      <c r="F199" s="42">
        <v>0</v>
      </c>
      <c r="G199" s="42">
        <v>3</v>
      </c>
      <c r="H199" s="15"/>
      <c r="I199" s="1"/>
      <c r="J199" s="1"/>
    </row>
    <row r="200" ht="15" customHeight="1">
      <c r="A200" s="1"/>
      <c r="B200" s="1" t="s">
        <v>802</v>
      </c>
      <c r="C200" s="42">
        <v>109</v>
      </c>
      <c r="D200" s="42">
        <v>115</v>
      </c>
      <c r="E200" s="42">
        <v>114</v>
      </c>
      <c r="F200" s="42">
        <v>108</v>
      </c>
      <c r="G200" s="42">
        <v>437</v>
      </c>
      <c r="H200" s="15"/>
      <c r="I200" s="1"/>
      <c r="J200" s="1"/>
    </row>
    <row r="201" ht="15" customHeight="1">
      <c r="A201" s="1"/>
      <c r="B201" s="1" t="s">
        <v>803</v>
      </c>
      <c r="C201" s="42">
        <v>178</v>
      </c>
      <c r="D201" s="42">
        <v>180</v>
      </c>
      <c r="E201" s="42">
        <v>184</v>
      </c>
      <c r="F201" s="42">
        <v>171</v>
      </c>
      <c r="G201" s="42">
        <v>691</v>
      </c>
      <c r="H201" s="15"/>
      <c r="I201" s="1"/>
      <c r="J201" s="1"/>
    </row>
    <row r="202" ht="15" customHeight="1">
      <c r="A202" s="1"/>
      <c r="B202" s="1" t="s">
        <v>804</v>
      </c>
      <c r="C202" s="42">
        <v>-5</v>
      </c>
      <c r="D202" s="42">
        <v>-2</v>
      </c>
      <c r="E202" s="42">
        <v>-68</v>
      </c>
      <c r="F202" s="42">
        <v>-7</v>
      </c>
      <c r="G202" s="42">
        <v>-14</v>
      </c>
      <c r="H202" s="15"/>
      <c r="I202" s="1"/>
      <c r="J202" s="1"/>
    </row>
    <row r="203" ht="15" customHeight="1">
      <c r="A203" s="1"/>
      <c r="B203" s="1" t="s">
        <v>805</v>
      </c>
      <c r="C203" s="42">
        <v>241</v>
      </c>
      <c r="D203" s="42">
        <v>220</v>
      </c>
      <c r="E203" s="42">
        <v>170</v>
      </c>
      <c r="F203" s="42">
        <v>217</v>
      </c>
      <c r="G203" s="42">
        <v>813</v>
      </c>
      <c r="H203" s="15"/>
      <c r="I203" s="1"/>
      <c r="J203" s="1"/>
    </row>
    <row r="204" ht="15" customHeight="1">
      <c r="A204" s="1"/>
      <c r="B204" s="1" t="s">
        <v>806</v>
      </c>
      <c r="C204" s="42">
        <v>24</v>
      </c>
      <c r="D204" s="42">
        <v>33</v>
      </c>
      <c r="E204" s="42">
        <v>36</v>
      </c>
      <c r="F204" s="42">
        <v>34</v>
      </c>
      <c r="G204" s="42">
        <v>112</v>
      </c>
      <c r="H204" s="15"/>
      <c r="I204" s="1"/>
      <c r="J204" s="1"/>
    </row>
    <row r="205" ht="15" customHeight="1">
      <c r="A205" s="1"/>
      <c r="B205" s="1" t="s">
        <v>807</v>
      </c>
      <c r="C205" s="42">
        <v>14</v>
      </c>
      <c r="D205" s="42">
        <v>16</v>
      </c>
      <c r="E205" s="42">
        <v>11</v>
      </c>
      <c r="F205" s="42">
        <v>7</v>
      </c>
      <c r="G205" s="42">
        <v>63</v>
      </c>
      <c r="H205" s="15"/>
      <c r="I205" s="1"/>
      <c r="J205" s="1"/>
    </row>
    <row r="206" ht="15" customHeight="1">
      <c r="A206" s="1"/>
      <c r="B206" s="1" t="s">
        <v>808</v>
      </c>
      <c r="C206" s="15"/>
      <c r="D206" s="15"/>
      <c r="E206" s="42">
        <v>518</v>
      </c>
      <c r="F206" s="42">
        <v>622</v>
      </c>
      <c r="G206" s="15"/>
      <c r="H206" s="15"/>
      <c r="I206" s="1"/>
      <c r="J206" s="1"/>
    </row>
    <row r="207" ht="15" customHeight="1">
      <c r="A207" s="1"/>
      <c r="B207" s="1" t="s">
        <v>809</v>
      </c>
      <c r="C207" s="15"/>
      <c r="D207" s="15"/>
      <c r="E207" s="42">
        <v>751</v>
      </c>
      <c r="F207" s="42">
        <v>759</v>
      </c>
      <c r="G207" s="15"/>
      <c r="H207" s="15"/>
      <c r="I207" s="1"/>
      <c r="J207" s="1"/>
    </row>
    <row r="208" ht="15" customHeight="1">
      <c r="A208" s="1"/>
      <c r="B208" s="1" t="s">
        <v>810</v>
      </c>
      <c r="C208" s="15"/>
      <c r="D208" s="15"/>
      <c r="E208" s="42">
        <v>4</v>
      </c>
      <c r="F208" s="42">
        <v>4</v>
      </c>
      <c r="G208" s="15"/>
      <c r="H208" s="15"/>
      <c r="I208" s="1"/>
      <c r="J208" s="1"/>
    </row>
    <row r="209" ht="15" customHeight="1">
      <c r="A209" s="1"/>
      <c r="B209" s="1" t="s">
        <v>811</v>
      </c>
      <c r="C209" s="15"/>
      <c r="D209" s="15"/>
      <c r="E209" s="42">
        <v>-167</v>
      </c>
      <c r="F209" s="42">
        <v>-146</v>
      </c>
      <c r="G209" s="15"/>
      <c r="H209" s="15"/>
      <c r="I209" s="1"/>
      <c r="J209" s="1"/>
    </row>
    <row r="210" ht="15" customHeight="1">
      <c r="A210" s="1"/>
      <c r="B210" s="1" t="s">
        <v>812</v>
      </c>
      <c r="C210" s="15"/>
      <c r="D210" s="15"/>
      <c r="E210" s="42">
        <v>-4</v>
      </c>
      <c r="F210" s="42">
        <v>-6</v>
      </c>
      <c r="G210" s="15"/>
      <c r="H210" s="15"/>
      <c r="I210" s="1"/>
      <c r="J210" s="1"/>
    </row>
    <row r="211" ht="15" customHeight="1">
      <c r="A211" s="1"/>
      <c r="B211" s="1" t="s">
        <v>813</v>
      </c>
      <c r="C211" s="15"/>
      <c r="D211" s="15"/>
      <c r="E211" s="42">
        <v>0</v>
      </c>
      <c r="F211" s="42">
        <v>0</v>
      </c>
      <c r="G211" s="15"/>
      <c r="H211" s="15"/>
      <c r="I211" s="1"/>
      <c r="J211" s="1"/>
    </row>
    <row r="212" ht="15" customHeight="1">
      <c r="A212" s="1"/>
      <c r="B212" s="1" t="s">
        <v>814</v>
      </c>
      <c r="C212" s="15"/>
      <c r="D212" s="15"/>
      <c r="E212" s="42">
        <v>-11</v>
      </c>
      <c r="F212" s="42">
        <v>-12</v>
      </c>
      <c r="G212" s="15"/>
      <c r="H212" s="15"/>
      <c r="I212" s="1"/>
      <c r="J212" s="1"/>
    </row>
    <row r="213" ht="15" customHeight="1">
      <c r="A213" s="1"/>
      <c r="B213" s="1" t="s">
        <v>815</v>
      </c>
      <c r="C213" s="15"/>
      <c r="D213" s="15"/>
      <c r="E213" s="42">
        <v>36</v>
      </c>
      <c r="F213" s="42">
        <v>34</v>
      </c>
      <c r="G213" s="15"/>
      <c r="H213" s="15"/>
      <c r="I213" s="1"/>
      <c r="J213" s="1"/>
    </row>
    <row r="214" ht="15" customHeight="1">
      <c r="A214" s="1"/>
      <c r="B214" s="1" t="s">
        <v>816</v>
      </c>
      <c r="C214" s="15"/>
      <c r="D214" s="15"/>
      <c r="E214" s="42">
        <v>1</v>
      </c>
      <c r="F214" s="42">
        <v>0</v>
      </c>
      <c r="G214" s="15"/>
      <c r="H214" s="15"/>
      <c r="I214" s="1"/>
      <c r="J214" s="1"/>
    </row>
    <row r="215" ht="15" customHeight="1">
      <c r="A215" s="1"/>
      <c r="B215" s="1" t="s">
        <v>817</v>
      </c>
      <c r="C215" s="15"/>
      <c r="D215" s="15"/>
      <c r="E215" s="42">
        <v>13</v>
      </c>
      <c r="F215" s="42">
        <v>0</v>
      </c>
      <c r="G215" s="15"/>
      <c r="H215" s="15"/>
      <c r="I215" s="1"/>
      <c r="J215" s="1"/>
    </row>
    <row r="216" ht="15" customHeight="1">
      <c r="A216" s="1"/>
      <c r="B216" s="1" t="s">
        <v>818</v>
      </c>
      <c r="C216" s="15"/>
      <c r="D216" s="15"/>
      <c r="E216" s="42">
        <v>-16</v>
      </c>
      <c r="F216" s="42">
        <v>-22</v>
      </c>
      <c r="G216" s="15"/>
      <c r="H216" s="15"/>
      <c r="I216" s="1"/>
      <c r="J216" s="1"/>
    </row>
    <row r="217" ht="15" customHeight="1">
      <c r="A217" s="1"/>
      <c r="B217" s="1" t="s">
        <v>819</v>
      </c>
      <c r="C217" s="15"/>
      <c r="D217" s="15"/>
      <c r="E217" s="42">
        <v>62</v>
      </c>
      <c r="F217" s="42">
        <v>-57</v>
      </c>
      <c r="G217" s="15"/>
      <c r="H217" s="15"/>
      <c r="I217" s="1"/>
      <c r="J217" s="1"/>
    </row>
    <row r="218" ht="15" customHeight="1">
      <c r="A218" s="1"/>
      <c r="B218" s="1" t="s">
        <v>820</v>
      </c>
      <c r="C218" s="15"/>
      <c r="D218" s="15"/>
      <c r="E218" s="42">
        <v>-27</v>
      </c>
      <c r="F218" s="42">
        <v>-14</v>
      </c>
      <c r="G218" s="15"/>
      <c r="H218" s="15"/>
      <c r="I218" s="1"/>
      <c r="J218" s="1"/>
    </row>
    <row r="219" ht="15" customHeight="1">
      <c r="A219" s="1"/>
      <c r="B219" s="1" t="s">
        <v>821</v>
      </c>
      <c r="C219" s="15"/>
      <c r="D219" s="15"/>
      <c r="E219" s="42">
        <v>67</v>
      </c>
      <c r="F219" s="42">
        <v>-181</v>
      </c>
      <c r="G219" s="15"/>
      <c r="H219" s="15"/>
      <c r="I219" s="1"/>
      <c r="J219" s="1"/>
    </row>
    <row r="220" ht="15" customHeight="1">
      <c r="A220" s="1"/>
      <c r="B220" s="1" t="s">
        <v>822</v>
      </c>
      <c r="C220" s="15"/>
      <c r="D220" s="15"/>
      <c r="E220" s="42">
        <v>233</v>
      </c>
      <c r="F220" s="42">
        <v>296</v>
      </c>
      <c r="G220" s="15"/>
      <c r="H220" s="15"/>
      <c r="I220" s="1"/>
      <c r="J220" s="1"/>
    </row>
    <row r="221" ht="15" customHeight="1">
      <c r="A221" s="1"/>
      <c r="B221" s="1" t="s">
        <v>823</v>
      </c>
      <c r="C221" s="15"/>
      <c r="D221" s="15"/>
      <c r="E221" s="42">
        <v>-35</v>
      </c>
      <c r="F221" s="42">
        <v>51</v>
      </c>
      <c r="G221" s="15"/>
      <c r="H221" s="15"/>
      <c r="I221" s="1"/>
      <c r="J221" s="1"/>
    </row>
    <row r="222" ht="15" customHeight="1">
      <c r="A222" s="1"/>
      <c r="B222" s="1" t="s">
        <v>824</v>
      </c>
      <c r="C222" s="15"/>
      <c r="D222" s="15"/>
      <c r="E222" s="42">
        <v>-661</v>
      </c>
      <c r="F222" s="42">
        <v>-1460</v>
      </c>
      <c r="G222" s="15"/>
      <c r="H222" s="15"/>
      <c r="I222" s="1"/>
      <c r="J222" s="1"/>
    </row>
    <row r="223" ht="15" customHeight="1">
      <c r="A223" s="1"/>
      <c r="B223" s="1" t="s">
        <v>825</v>
      </c>
      <c r="C223" s="15"/>
      <c r="D223" s="15"/>
      <c r="E223" s="42">
        <v>-84</v>
      </c>
      <c r="F223" s="42">
        <v>-98</v>
      </c>
      <c r="G223" s="15"/>
      <c r="H223" s="15"/>
      <c r="I223" s="1"/>
      <c r="J223" s="1"/>
    </row>
    <row r="224" ht="15" customHeight="1">
      <c r="A224" s="1"/>
      <c r="B224" s="1" t="s">
        <v>826</v>
      </c>
      <c r="C224" s="15"/>
      <c r="D224" s="15"/>
      <c r="E224" s="42">
        <v>377</v>
      </c>
      <c r="F224" s="42">
        <v>317</v>
      </c>
      <c r="G224" s="15"/>
      <c r="H224" s="15"/>
      <c r="I224" s="1"/>
      <c r="J224" s="1"/>
    </row>
    <row r="225" ht="15" customHeight="1">
      <c r="A225" s="1"/>
      <c r="B225" s="1" t="s">
        <v>827</v>
      </c>
      <c r="C225" s="15"/>
      <c r="D225" s="15"/>
      <c r="E225" s="42">
        <v>14</v>
      </c>
      <c r="F225" s="42">
        <v>17</v>
      </c>
      <c r="G225" s="15"/>
      <c r="H225" s="15"/>
      <c r="I225" s="1"/>
      <c r="J225" s="1"/>
    </row>
    <row r="226" ht="15" customHeight="1">
      <c r="A226" s="1"/>
      <c r="B226" s="1" t="s">
        <v>828</v>
      </c>
      <c r="C226" s="15"/>
      <c r="D226" s="15"/>
      <c r="E226" s="42">
        <v>0</v>
      </c>
      <c r="F226" s="42">
        <v>0</v>
      </c>
      <c r="G226" s="15"/>
      <c r="H226" s="15"/>
      <c r="I226" s="1"/>
      <c r="J226" s="1"/>
    </row>
    <row r="227" ht="15" customHeight="1">
      <c r="A227" s="1"/>
      <c r="B227" s="1" t="s">
        <v>829</v>
      </c>
      <c r="C227" s="15"/>
      <c r="D227" s="15"/>
      <c r="E227" s="42">
        <v>11</v>
      </c>
      <c r="F227" s="42">
        <v>12</v>
      </c>
      <c r="G227" s="15"/>
      <c r="H227" s="15"/>
      <c r="I227" s="1"/>
      <c r="J227" s="1"/>
    </row>
    <row r="228" ht="15" customHeight="1">
      <c r="A228" s="1"/>
      <c r="B228" s="1" t="s">
        <v>830</v>
      </c>
      <c r="C228" s="15"/>
      <c r="D228" s="15"/>
      <c r="E228" s="42">
        <v>-17</v>
      </c>
      <c r="F228" s="42">
        <v>1</v>
      </c>
      <c r="G228" s="15"/>
      <c r="H228" s="15"/>
      <c r="I228" s="1"/>
      <c r="J228" s="1"/>
    </row>
    <row r="229" ht="15" customHeight="1">
      <c r="A229" s="1"/>
      <c r="B229" s="1" t="s">
        <v>831</v>
      </c>
      <c r="C229" s="15"/>
      <c r="D229" s="15"/>
      <c r="E229" s="42">
        <v>-1</v>
      </c>
      <c r="F229" s="42">
        <v>0</v>
      </c>
      <c r="G229" s="15"/>
      <c r="H229" s="15"/>
      <c r="I229" s="1"/>
      <c r="J229" s="1"/>
    </row>
    <row r="230" ht="15" customHeight="1">
      <c r="A230" s="1"/>
      <c r="B230" s="1" t="s">
        <v>832</v>
      </c>
      <c r="C230" s="15"/>
      <c r="D230" s="15"/>
      <c r="E230" s="42">
        <v>0</v>
      </c>
      <c r="F230" s="42">
        <v>0</v>
      </c>
      <c r="G230" s="15"/>
      <c r="H230" s="15"/>
      <c r="I230" s="1"/>
      <c r="J230" s="1"/>
    </row>
    <row r="231" ht="15" customHeight="1">
      <c r="A231" s="1"/>
      <c r="B231" s="1" t="s">
        <v>833</v>
      </c>
      <c r="C231" s="15"/>
      <c r="D231" s="15"/>
      <c r="E231" s="42">
        <v>2098</v>
      </c>
      <c r="F231" s="42">
        <v>2731</v>
      </c>
      <c r="G231" s="15"/>
      <c r="H231" s="15"/>
      <c r="I231" s="1"/>
      <c r="J231" s="1"/>
    </row>
    <row r="232" ht="15" customHeight="1">
      <c r="A232" s="1"/>
      <c r="B232" s="1" t="s">
        <v>834</v>
      </c>
      <c r="C232" s="15"/>
      <c r="D232" s="15"/>
      <c r="E232" s="42">
        <v>-2636</v>
      </c>
      <c r="F232" s="42">
        <v>-2316</v>
      </c>
      <c r="G232" s="15"/>
      <c r="H232" s="15"/>
      <c r="I232" s="1"/>
      <c r="J232" s="1"/>
    </row>
    <row r="233" ht="15" customHeight="1">
      <c r="A233" s="1"/>
      <c r="B233" s="1" t="s">
        <v>835</v>
      </c>
      <c r="C233" s="15"/>
      <c r="D233" s="15"/>
      <c r="E233" s="42">
        <v>-23</v>
      </c>
      <c r="F233" s="42">
        <v>0</v>
      </c>
      <c r="G233" s="15"/>
      <c r="H233" s="15"/>
      <c r="I233" s="1"/>
      <c r="J233" s="1"/>
    </row>
    <row r="234" ht="15" customHeight="1">
      <c r="A234" s="1"/>
      <c r="B234" s="1" t="s">
        <v>836</v>
      </c>
      <c r="C234" s="15"/>
      <c r="D234" s="15"/>
      <c r="E234" s="42">
        <v>-13</v>
      </c>
      <c r="F234" s="42">
        <v>-1</v>
      </c>
      <c r="G234" s="15"/>
      <c r="H234" s="15"/>
      <c r="I234" s="1"/>
      <c r="J234" s="1"/>
    </row>
    <row r="235" ht="15" customHeight="1">
      <c r="A235" s="1"/>
      <c r="B235" s="1" t="s">
        <v>837</v>
      </c>
      <c r="C235" s="15"/>
      <c r="D235" s="15"/>
      <c r="E235" s="42">
        <v>-289</v>
      </c>
      <c r="F235" s="42">
        <v>-431</v>
      </c>
      <c r="G235" s="15"/>
      <c r="H235" s="15"/>
      <c r="I235" s="1"/>
      <c r="J235" s="1"/>
    </row>
    <row r="236" ht="15" customHeight="1">
      <c r="A236" s="1"/>
      <c r="B236" s="1" t="s">
        <v>838</v>
      </c>
      <c r="C236" s="15"/>
      <c r="D236" s="15"/>
      <c r="E236" s="42">
        <v>-118</v>
      </c>
      <c r="F236" s="42">
        <v>-117</v>
      </c>
      <c r="G236" s="15"/>
      <c r="H236" s="15"/>
      <c r="I236" s="1"/>
      <c r="J236" s="1"/>
    </row>
    <row r="237" ht="15" customHeight="1">
      <c r="A237" s="1"/>
      <c r="B237" s="1" t="s">
        <v>839</v>
      </c>
      <c r="C237" s="15"/>
      <c r="D237" s="15"/>
      <c r="E237" s="42">
        <v>2</v>
      </c>
      <c r="F237" s="42">
        <v>23</v>
      </c>
      <c r="G237" s="15"/>
      <c r="H237" s="15"/>
      <c r="I237" s="1"/>
      <c r="J237" s="1"/>
    </row>
    <row r="238" ht="15" customHeight="1">
      <c r="A238" s="1"/>
      <c r="B238" s="1" t="s">
        <v>840</v>
      </c>
      <c r="C238" s="15"/>
      <c r="D238" s="15"/>
      <c r="E238" s="42">
        <v>457</v>
      </c>
      <c r="F238" s="42">
        <v>542</v>
      </c>
      <c r="G238" s="15"/>
      <c r="H238" s="15"/>
      <c r="I238" s="1"/>
      <c r="J238" s="1"/>
    </row>
    <row r="239" ht="15" customHeight="1">
      <c r="A239" s="1"/>
      <c r="B239" s="1" t="s">
        <v>841</v>
      </c>
      <c r="C239" s="15"/>
      <c r="D239" s="15"/>
      <c r="E239" s="15"/>
      <c r="F239" s="42">
        <v>22090</v>
      </c>
      <c r="G239" s="15"/>
      <c r="H239" s="15"/>
      <c r="I239" s="1"/>
      <c r="J239" s="1"/>
    </row>
    <row r="240" ht="15" customHeight="1">
      <c r="A240" s="1"/>
      <c r="B240" s="1" t="s">
        <v>842</v>
      </c>
      <c r="C240" s="47"/>
      <c r="D240" s="47"/>
      <c r="E240" s="47"/>
      <c r="F240" s="52">
        <v>1713</v>
      </c>
      <c r="G240" s="47"/>
      <c r="H240" s="47"/>
      <c r="I240" s="1"/>
      <c r="J240" s="1"/>
    </row>
    <row r="241" ht="15" customHeight="1">
      <c r="A241" s="1"/>
      <c r="B241" s="1" t="s">
        <v>401</v>
      </c>
      <c r="C241" s="15"/>
      <c r="D241" s="15"/>
      <c r="E241" s="42">
        <v>1082</v>
      </c>
      <c r="F241" s="42">
        <v>116</v>
      </c>
      <c r="G241" s="15"/>
      <c r="H241" s="15"/>
      <c r="I241" s="1"/>
      <c r="J241" s="1"/>
    </row>
    <row r="242" ht="1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ht="1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2026-10-20T01:11:12Z</dcterms:created>
</cp:coreProperties>
</file>