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Share Count" sheetId="6" r:id="rId7"/>
    <sheet name="Guidance" sheetId="7" r:id="rId8"/>
    <sheet name="Sources" sheetId="8" r:id="rId9"/>
    <sheet name="Inputs" sheetId="9" r:id="rId10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17" authorId="0">
      <text>
        <t>S4 UNP 4Q25 earnings release (8-K Ex.99.1, 27-Jan-2026) | 2025 quarterly tables, 3rd Qtr | 215</t>
      </text>
    </comment>
    <comment ref="D17" authorId="0">
      <text>
        <t>S4 UNP 4Q25 earnings release (8-K Ex.99.1, 27-Jan-2026) | 4th Quarter 2025 column | 235</t>
      </text>
    </comment>
    <comment ref="E17" authorId="0">
      <text>
        <t>S4 UNP 4Q25 earnings release (8-K Ex.99.1, 27-Jan-2026) | Full Year 2025 column | 880</t>
      </text>
    </comment>
    <comment ref="F17" authorId="0">
      <text>
        <t>S5 UNP 1Q26 earnings release (8-K Ex.99.1, 23-Apr-2026) | 1st quarter 2026 column | 243</t>
      </text>
    </comment>
    <comment ref="G17" authorId="0">
      <text>
        <t>S6 UNP 2Q26 earnings release (8-K Ex.99.1, 23-Jul-2026) | 2nd quarter 2026 column | 242</t>
      </text>
    </comment>
    <comment ref="C20" authorId="0">
      <text>
        <t>S4 UNP 4Q25 earnings release (8-K Ex.99.1, 27-Jan-2026) | 2025 quarterly tables, 3rd Qtr | 58</t>
      </text>
    </comment>
    <comment ref="D20" authorId="0">
      <text>
        <t>S4 UNP 4Q25 earnings release (8-K Ex.99.1, 27-Jan-2026) | 4th Quarter 2025 column | 54</t>
      </text>
    </comment>
    <comment ref="E20" authorId="0">
      <text>
        <t>S4 UNP 4Q25 earnings release (8-K Ex.99.1, 27-Jan-2026) | Full Year 2025 column | 216</t>
      </text>
    </comment>
    <comment ref="F20" authorId="0">
      <text>
        <t>S5 UNP 1Q26 earnings release (8-K Ex.99.1, 23-Apr-2026) | 1st quarter 2026 column | 52</t>
      </text>
    </comment>
    <comment ref="G20" authorId="0">
      <text>
        <t>S6 UNP 2Q26 earnings release (8-K Ex.99.1, 23-Jul-2026) | 2nd quarter 2026 column | 54</t>
      </text>
    </comment>
    <comment ref="C23" authorId="0">
      <text>
        <t>S4 UNP 4Q25 earnings release (8-K Ex.99.1, 27-Jan-2026) | 2025 quarterly tables, 3rd Qtr | 41</t>
      </text>
    </comment>
    <comment ref="D23" authorId="0">
      <text>
        <t>S4 UNP 4Q25 earnings release (8-K Ex.99.1, 27-Jan-2026) | 4th Quarter 2025 column | 36</t>
      </text>
    </comment>
    <comment ref="E23" authorId="0">
      <text>
        <t>S4 UNP 4Q25 earnings release (8-K Ex.99.1, 27-Jan-2026) | Full Year 2025 column | 163</t>
      </text>
    </comment>
    <comment ref="F23" authorId="0">
      <text>
        <t>S5 UNP 1Q26 earnings release (8-K Ex.99.1, 23-Apr-2026) | 1st quarter 2026 column | 39</t>
      </text>
    </comment>
    <comment ref="G23" authorId="0">
      <text>
        <t>S6 UNP 2Q26 earnings release (8-K Ex.99.1, 23-Jul-2026) | 2nd quarter 2026 column | 42</t>
      </text>
    </comment>
    <comment ref="C26" authorId="0">
      <text>
        <t>S4 UNP 4Q25 earnings release (8-K Ex.99.1, 27-Jan-2026) | 2025 quarterly tables, 3rd Qtr | 216</t>
      </text>
    </comment>
    <comment ref="D26" authorId="0">
      <text>
        <t>S4 UNP 4Q25 earnings release (8-K Ex.99.1, 27-Jan-2026) | 4th Quarter 2025 column | 191</t>
      </text>
    </comment>
    <comment ref="E26" authorId="0">
      <text>
        <t>S4 UNP 4Q25 earnings release (8-K Ex.99.1, 27-Jan-2026) | Full Year 2025 column | 797</t>
      </text>
    </comment>
    <comment ref="F26" authorId="0">
      <text>
        <t>S5 UNP 1Q26 earnings release (8-K Ex.99.1, 23-Apr-2026) | 1st quarter 2026 column | 214</t>
      </text>
    </comment>
    <comment ref="G26" authorId="0">
      <text>
        <t>S6 UNP 2Q26 earnings release (8-K Ex.99.1, 23-Jul-2026) | 2nd quarter 2026 column | 176</t>
      </text>
    </comment>
    <comment ref="C32" authorId="0">
      <text>
        <t>S4 UNP 4Q25 earnings release (8-K Ex.99.1, 27-Jan-2026) | 2025 quarterly tables, 3rd Qtr | 182</t>
      </text>
    </comment>
    <comment ref="D32" authorId="0">
      <text>
        <t>S4 UNP 4Q25 earnings release (8-K Ex.99.1, 27-Jan-2026) | 4th Quarter 2025 column | 176</t>
      </text>
    </comment>
    <comment ref="E32" authorId="0">
      <text>
        <t>S4 UNP 4Q25 earnings release (8-K Ex.99.1, 27-Jan-2026) | Full Year 2025 column | 704</t>
      </text>
    </comment>
    <comment ref="F32" authorId="0">
      <text>
        <t>S5 UNP 1Q26 earnings release (8-K Ex.99.1, 23-Apr-2026) | 1st quarter 2026 column | 181</t>
      </text>
    </comment>
    <comment ref="G32" authorId="0">
      <text>
        <t>S6 UNP 2Q26 earnings release (8-K Ex.99.1, 23-Jul-2026) | 2nd quarter 2026 column | 183</t>
      </text>
    </comment>
    <comment ref="C35" authorId="0">
      <text>
        <t>S4 UNP 4Q25 earnings release (8-K Ex.99.1, 27-Jan-2026) | 2025 quarterly tables, 3rd Qtr | 193</t>
      </text>
    </comment>
    <comment ref="D35" authorId="0">
      <text>
        <t>S4 UNP 4Q25 earnings release (8-K Ex.99.1, 27-Jan-2026) | 4th Quarter 2025 column | 189</t>
      </text>
    </comment>
    <comment ref="E35" authorId="0">
      <text>
        <t>S4 UNP 4Q25 earnings release (8-K Ex.99.1, 27-Jan-2026) | Full Year 2025 column | 747</t>
      </text>
    </comment>
    <comment ref="F35" authorId="0">
      <text>
        <t>S5 UNP 1Q26 earnings release (8-K Ex.99.1, 23-Apr-2026) | 1st quarter 2026 column | 183</t>
      </text>
    </comment>
    <comment ref="G35" authorId="0">
      <text>
        <t>S6 UNP 2Q26 earnings release (8-K Ex.99.1, 23-Jul-2026) | 2nd quarter 2026 column | 196</t>
      </text>
    </comment>
    <comment ref="C38" authorId="0">
      <text>
        <t>S4 UNP 4Q25 earnings release (8-K Ex.99.1, 27-Jan-2026) | 2025 quarterly tables, 3rd Qtr | 52</t>
      </text>
    </comment>
    <comment ref="D38" authorId="0">
      <text>
        <t>S4 UNP 4Q25 earnings release (8-K Ex.99.1, 27-Jan-2026) | 4th Quarter 2025 column | 48</t>
      </text>
    </comment>
    <comment ref="E38" authorId="0">
      <text>
        <t>S4 UNP 4Q25 earnings release (8-K Ex.99.1, 27-Jan-2026) | Full Year 2025 column | 203</t>
      </text>
    </comment>
    <comment ref="F38" authorId="0">
      <text>
        <t>S5 UNP 1Q26 earnings release (8-K Ex.99.1, 23-Apr-2026) | 1st quarter 2026 column | 49</t>
      </text>
    </comment>
    <comment ref="G38" authorId="0">
      <text>
        <t>S6 UNP 2Q26 earnings release (8-K Ex.99.1, 23-Jul-2026) | 2nd quarter 2026 column | 53</t>
      </text>
    </comment>
    <comment ref="C41" authorId="0">
      <text>
        <t>S4 UNP 4Q25 earnings release (8-K Ex.99.1, 27-Jan-2026) | 2025 quarterly tables, 3rd Qtr | 147</t>
      </text>
    </comment>
    <comment ref="D41" authorId="0">
      <text>
        <t>S4 UNP 4Q25 earnings release (8-K Ex.99.1, 27-Jan-2026) | 4th Quarter 2025 column | 148</t>
      </text>
    </comment>
    <comment ref="E41" authorId="0">
      <text>
        <t>S4 UNP 4Q25 earnings release (8-K Ex.99.1, 27-Jan-2026) | Full Year 2025 column | 587</t>
      </text>
    </comment>
    <comment ref="F41" authorId="0">
      <text>
        <t>S5 UNP 1Q26 earnings release (8-K Ex.99.1, 23-Apr-2026) | 1st quarter 2026 column | 147</t>
      </text>
    </comment>
    <comment ref="G41" authorId="0">
      <text>
        <t>S6 UNP 2Q26 earnings release (8-K Ex.99.1, 23-Jul-2026) | 2nd quarter 2026 column | 154</t>
      </text>
    </comment>
    <comment ref="C47" authorId="0">
      <text>
        <t>S4 UNP 4Q25 earnings release (8-K Ex.99.1, 27-Jan-2026) | 2025 quarterly tables, 3rd Qtr | 199</t>
      </text>
    </comment>
    <comment ref="D47" authorId="0">
      <text>
        <t>S4 UNP 4Q25 earnings release (8-K Ex.99.1, 27-Jan-2026) | 4th Quarter 2025 column | 190</t>
      </text>
    </comment>
    <comment ref="E47" authorId="0">
      <text>
        <t>S4 UNP 4Q25 earnings release (8-K Ex.99.1, 27-Jan-2026) | Full Year 2025 column | 793</t>
      </text>
    </comment>
    <comment ref="F47" authorId="0">
      <text>
        <t>S5 UNP 1Q26 earnings release (8-K Ex.99.1, 23-Apr-2026) | 1st quarter 2026 column | 183</t>
      </text>
    </comment>
    <comment ref="G47" authorId="0">
      <text>
        <t>S6 UNP 2Q26 earnings release (8-K Ex.99.1, 23-Jul-2026) | 2nd quarter 2026 column | 210</t>
      </text>
    </comment>
    <comment ref="C50" authorId="0">
      <text>
        <t>S4 UNP 4Q25 earnings release (8-K Ex.99.1, 27-Jan-2026) | 2025 quarterly tables, 3rd Qtr | 860</t>
      </text>
    </comment>
    <comment ref="D50" authorId="0">
      <text>
        <t>S4 UNP 4Q25 earnings release (8-K Ex.99.1, 27-Jan-2026) | 4th Quarter 2025 column | 806</t>
      </text>
    </comment>
    <comment ref="E50" authorId="0">
      <text>
        <t>S4 UNP 4Q25 earnings release (8-K Ex.99.1, 27-Jan-2026) | Full Year 2025 column | 3,357</t>
      </text>
    </comment>
    <comment ref="F50" authorId="0">
      <text>
        <t>S5 UNP 1Q26 earnings release (8-K Ex.99.1, 23-Apr-2026) | 1st quarter 2026 column | 792</t>
      </text>
    </comment>
    <comment ref="G50" authorId="0">
      <text>
        <t>S6 UNP 2Q26 earnings release (8-K Ex.99.1, 23-Jul-2026) | 2nd quarter 2026 column | 853</t>
      </text>
    </comment>
    <comment ref="C64" authorId="0">
      <text>
        <t>S17 EIA weekly U.S. on-highway diesel (via weeklydiesel.com 2024-2026 tables) | simple average of monthly averages, 3Q25A | 3.7569</t>
      </text>
    </comment>
    <comment ref="D64" authorId="0">
      <text>
        <t>S17 EIA weekly U.S. on-highway diesel (via weeklydiesel.com 2024-2026 tables) | simple average of monthly averages, 4Q25A | 3.7052</t>
      </text>
    </comment>
    <comment ref="E64" authorId="0">
      <text>
        <t>S17 EIA weekly U.S. on-highway diesel (via weeklydiesel.com 2024-2026 tables) | simple average of monthly averages, FY25A | 3.6621</t>
      </text>
    </comment>
    <comment ref="F64" authorId="0">
      <text>
        <t>S17 EIA weekly U.S. on-highway diesel (via weeklydiesel.com 2024-2026 tables) | simple average of monthly averages, 1Q26A | 4.0551</t>
      </text>
    </comment>
    <comment ref="G64" authorId="0">
      <text>
        <t>S17 EIA weekly U.S. on-highway diesel (via weeklydiesel.com 2024-2026 tables) | simple average of monthly averages, 2Q26A | 5.3748</t>
      </text>
    </comment>
    <comment ref="H64" authorId="0">
      <text>
        <t>S17 EIA weekly U.S. on-highway diesel (via weeklydiesel.com 2024-2026 tables) | simple average of monthly averages, 3Q26E | 5.5693</t>
      </text>
    </comment>
    <comment ref="C67" authorId="0">
      <text>
        <t>S17 EIA weekly U.S. on-highway diesel (via weeklydiesel.com 2024-2026 tables); S18 UP carload HDF surcharge (2nd month after basis month) | avg of months t-2 | 3.6255</t>
      </text>
    </comment>
    <comment ref="D67" authorId="0">
      <text>
        <t>S17 EIA weekly U.S. on-highway diesel (via weeklydiesel.com 2024-2026 tables); S18 UP carload HDF surcharge (2nd month after basis month) | avg of months t-2 | 3.7235</t>
      </text>
    </comment>
    <comment ref="E67" authorId="0">
      <text>
        <t>S17 EIA weekly U.S. on-highway diesel (via weeklydiesel.com 2024-2026 tables); S18 UP carload HDF surcharge (2nd month after basis month) | avg of months t-2 | 3.6270</t>
      </text>
    </comment>
    <comment ref="F67" authorId="0">
      <text>
        <t>S17 EIA weekly U.S. on-highway diesel (via weeklydiesel.com 2024-2026 tables); S18 UP carload HDF surcharge (2nd month after basis month) | avg of months t-2 | 3.6532</t>
      </text>
    </comment>
    <comment ref="G67" authorId="0">
      <text>
        <t>S17 EIA weekly U.S. on-highway diesel (via weeklydiesel.com 2024-2026 tables); S18 UP carload HDF surcharge (2nd month after basis month) | avg of months t-2 | 4.7147</t>
      </text>
    </comment>
    <comment ref="H67" authorId="0">
      <text>
        <t>S17 EIA weekly U.S. on-highway diesel (via weeklydiesel.com 2024-2026 tables); S18 UP carload HDF surcharge (2nd month after basis month) | avg of months t-2 | 5.1928</t>
      </text>
    </comment>
    <comment ref="C70" authorId="0">
      <text>
        <t>S17 EIA weekly U.S. on-highway diesel (via weeklydiesel.com 2024-2026 tables) | avg of current-quarter and 1-month-lagged quarter averages | 3.7320</t>
      </text>
    </comment>
    <comment ref="D70" authorId="0">
      <text>
        <t>S17 EIA weekly U.S. on-highway diesel (via weeklydiesel.com 2024-2026 tables) | avg of current-quarter and 1-month-lagged quarter averages | 3.7275</t>
      </text>
    </comment>
    <comment ref="E70" authorId="0">
      <text>
        <t>S17 EIA weekly U.S. on-highway diesel (via weeklydiesel.com 2024-2026 tables) | avg of current-quarter and 1-month-lagged quarter averages | 3.6570</t>
      </text>
    </comment>
    <comment ref="F70" authorId="0">
      <text>
        <t>S17 EIA weekly U.S. on-highway diesel (via weeklydiesel.com 2024-2026 tables) | avg of current-quarter and 1-month-lagged quarter averages | 3.8375</t>
      </text>
    </comment>
    <comment ref="G70" authorId="0">
      <text>
        <t>S17 EIA weekly U.S. on-highway diesel (via weeklydiesel.com 2024-2026 tables) | avg of current-quarter and 1-month-lagged quarter averages | 5.3576</t>
      </text>
    </comment>
    <comment ref="H70" authorId="0">
      <text>
        <t>S17 EIA weekly U.S. on-highway diesel (via weeklydiesel.com 2024-2026 tables) | avg of current-quarter and 1-month-lagged quarter averages | 5.3582</t>
      </text>
    </comment>
    <comment ref="C87" authorId="0">
      <text>
        <t>S4 UNP 4Q25 earnings release (8-K Ex.99.1, 27-Jan-2026) | 2025 quarterly tables, 3rd Qtr | 4,532</t>
      </text>
    </comment>
    <comment ref="D87" authorId="0">
      <text>
        <t>S4 UNP 4Q25 earnings release (8-K Ex.99.1, 27-Jan-2026) | 4th Quarter 2025 column | 4,414</t>
      </text>
    </comment>
    <comment ref="E87" authorId="0">
      <text>
        <t>S4 UNP 4Q25 earnings release (8-K Ex.99.1, 27-Jan-2026) | Full Year 2025 column | 4,461</t>
      </text>
    </comment>
    <comment ref="F87" authorId="0">
      <text>
        <t>S5 UNP 1Q26 earnings release (8-K Ex.99.1, 23-Apr-2026) | 1st quarter 2026 column | 4,345</t>
      </text>
    </comment>
    <comment ref="G87" authorId="0">
      <text>
        <t>S6 UNP 2Q26 earnings release (8-K Ex.99.1, 23-Jul-2026) | 2nd quarter 2026 column | 4,568</t>
      </text>
    </comment>
    <comment ref="C90" authorId="0">
      <text>
        <t>S4 UNP 4Q25 earnings release (8-K Ex.99.1, 27-Jan-2026) | 2025 quarterly tables, 3rd Qtr | 3,875</t>
      </text>
    </comment>
    <comment ref="D90" authorId="0">
      <text>
        <t>S4 UNP 4Q25 earnings release (8-K Ex.99.1, 27-Jan-2026) | 4th Quarter 2025 column | 4,095</t>
      </text>
    </comment>
    <comment ref="E90" authorId="0">
      <text>
        <t>S4 UNP 4Q25 earnings release (8-K Ex.99.1, 27-Jan-2026) | Full Year 2025 column | 3,970</t>
      </text>
    </comment>
    <comment ref="F90" authorId="0">
      <text>
        <t>S5 UNP 1Q26 earnings release (8-K Ex.99.1, 23-Apr-2026) | 1st quarter 2026 column | 4,564</t>
      </text>
    </comment>
    <comment ref="G90" authorId="0">
      <text>
        <t>S6 UNP 2Q26 earnings release (8-K Ex.99.1, 23-Jul-2026) | 2nd quarter 2026 column | 3,995</t>
      </text>
    </comment>
    <comment ref="C93" authorId="0">
      <text>
        <t>S4 UNP 4Q25 earnings release (8-K Ex.99.1, 27-Jan-2026) | 2025 quarterly tables, 3rd Qtr | 6,306</t>
      </text>
    </comment>
    <comment ref="D93" authorId="0">
      <text>
        <t>S4 UNP 4Q25 earnings release (8-K Ex.99.1, 27-Jan-2026) | 4th Quarter 2025 column | 6,352</t>
      </text>
    </comment>
    <comment ref="E93" authorId="0">
      <text>
        <t>S4 UNP 4Q25 earnings release (8-K Ex.99.1, 27-Jan-2026) | Full Year 2025 column | 6,233</t>
      </text>
    </comment>
    <comment ref="F93" authorId="0">
      <text>
        <t>S5 UNP 1Q26 earnings release (8-K Ex.99.1, 23-Apr-2026) | 1st quarter 2026 column | 6,414</t>
      </text>
    </comment>
    <comment ref="G93" authorId="0">
      <text>
        <t>S6 UNP 2Q26 earnings release (8-K Ex.99.1, 23-Jul-2026) | 2nd quarter 2026 column | 6,474</t>
      </text>
    </comment>
    <comment ref="C96" authorId="0">
      <text>
        <t>S4 UNP 4Q25 earnings release (8-K Ex.99.1, 27-Jan-2026) | 2025 quarterly tables, 3rd Qtr | 2,181</t>
      </text>
    </comment>
    <comment ref="D96" authorId="0">
      <text>
        <t>S4 UNP 4Q25 earnings release (8-K Ex.99.1, 27-Jan-2026) | 4th Quarter 2025 column | 2,255</t>
      </text>
    </comment>
    <comment ref="E96" authorId="0">
      <text>
        <t>S4 UNP 4Q25 earnings release (8-K Ex.99.1, 27-Jan-2026) | Full Year 2025 column | 2,241</t>
      </text>
    </comment>
    <comment ref="F96" authorId="0">
      <text>
        <t>S5 UNP 1Q26 earnings release (8-K Ex.99.1, 23-Apr-2026) | 1st quarter 2026 column | 2,270</t>
      </text>
    </comment>
    <comment ref="G96" authorId="0">
      <text>
        <t>S6 UNP 2Q26 earnings release (8-K Ex.99.1, 23-Jul-2026) | 2nd quarter 2026 column | 2,546</t>
      </text>
    </comment>
    <comment ref="C102" authorId="0">
      <text>
        <t>S4 UNP 4Q25 earnings release (8-K Ex.99.1, 27-Jan-2026) | 2025 quarterly tables, 3rd Qtr | 3,548</t>
      </text>
    </comment>
    <comment ref="D102" authorId="0">
      <text>
        <t>S4 UNP 4Q25 earnings release (8-K Ex.99.1, 27-Jan-2026) | 4th Quarter 2025 column | 3,478</t>
      </text>
    </comment>
    <comment ref="E102" authorId="0">
      <text>
        <t>S4 UNP 4Q25 earnings release (8-K Ex.99.1, 27-Jan-2026) | Full Year 2025 column | 3,568</t>
      </text>
    </comment>
    <comment ref="F102" authorId="0">
      <text>
        <t>S5 UNP 1Q26 earnings release (8-K Ex.99.1, 23-Apr-2026) | 1st quarter 2026 column | 3,620</t>
      </text>
    </comment>
    <comment ref="G102" authorId="0">
      <text>
        <t>S6 UNP 2Q26 earnings release (8-K Ex.99.1, 23-Jul-2026) | 2nd quarter 2026 column | 3,739</t>
      </text>
    </comment>
    <comment ref="C105" authorId="0">
      <text>
        <t>S4 UNP 4Q25 earnings release (8-K Ex.99.1, 27-Jan-2026) | 2025 quarterly tables, 3rd Qtr | 2,944</t>
      </text>
    </comment>
    <comment ref="D105" authorId="0">
      <text>
        <t>S4 UNP 4Q25 earnings release (8-K Ex.99.1, 27-Jan-2026) | 4th Quarter 2025 column | 2,863</t>
      </text>
    </comment>
    <comment ref="E105" authorId="0">
      <text>
        <t>S4 UNP 4Q25 earnings release (8-K Ex.99.1, 27-Jan-2026) | Full Year 2025 column | 2,935</t>
      </text>
    </comment>
    <comment ref="F105" authorId="0">
      <text>
        <t>S5 UNP 1Q26 earnings release (8-K Ex.99.1, 23-Apr-2026) | 1st quarter 2026 column | 3,028</t>
      </text>
    </comment>
    <comment ref="G105" authorId="0">
      <text>
        <t>S6 UNP 2Q26 earnings release (8-K Ex.99.1, 23-Jul-2026) | 2nd quarter 2026 column | 3,179</t>
      </text>
    </comment>
    <comment ref="C108" authorId="0">
      <text>
        <t>S4 UNP 4Q25 earnings release (8-K Ex.99.1, 27-Jan-2026) | 2025 quarterly tables, 3rd Qtr | 6,315</t>
      </text>
    </comment>
    <comment ref="D108" authorId="0">
      <text>
        <t>S4 UNP 4Q25 earnings release (8-K Ex.99.1, 27-Jan-2026) | 4th Quarter 2025 column | 6,387</t>
      </text>
    </comment>
    <comment ref="E108" authorId="0">
      <text>
        <t>S4 UNP 4Q25 earnings release (8-K Ex.99.1, 27-Jan-2026) | Full Year 2025 column | 6,369</t>
      </text>
    </comment>
    <comment ref="F108" authorId="0">
      <text>
        <t>S5 UNP 1Q26 earnings release (8-K Ex.99.1, 23-Apr-2026) | 1st quarter 2026 column | 6,505</t>
      </text>
    </comment>
    <comment ref="G108" authorId="0">
      <text>
        <t>S6 UNP 2Q26 earnings release (8-K Ex.99.1, 23-Jul-2026) | 2nd quarter 2026 column | 6,686</t>
      </text>
    </comment>
    <comment ref="C111" authorId="0">
      <text>
        <t>S4 UNP 4Q25 earnings release (8-K Ex.99.1, 27-Jan-2026) | 2025 quarterly tables, 3rd Qtr | 4,462</t>
      </text>
    </comment>
    <comment ref="D111" authorId="0">
      <text>
        <t>S4 UNP 4Q25 earnings release (8-K Ex.99.1, 27-Jan-2026) | 4th Quarter 2025 column | 4,450</t>
      </text>
    </comment>
    <comment ref="E111" authorId="0">
      <text>
        <t>S4 UNP 4Q25 earnings release (8-K Ex.99.1, 27-Jan-2026) | Full Year 2025 column | 4,446</t>
      </text>
    </comment>
    <comment ref="F111" authorId="0">
      <text>
        <t>S5 UNP 1Q26 earnings release (8-K Ex.99.1, 23-Apr-2026) | 1st quarter 2026 column | 4,505</t>
      </text>
    </comment>
    <comment ref="G111" authorId="0">
      <text>
        <t>S6 UNP 2Q26 earnings release (8-K Ex.99.1, 23-Jul-2026) | 2nd quarter 2026 column | 4,711</t>
      </text>
    </comment>
    <comment ref="C117" authorId="0">
      <text>
        <t>S4 UNP 4Q25 earnings release (8-K Ex.99.1, 27-Jan-2026) | 2025 quarterly tables, 3rd Qtr | 3,027</t>
      </text>
    </comment>
    <comment ref="D117" authorId="0">
      <text>
        <t>S4 UNP 4Q25 earnings release (8-K Ex.99.1, 27-Jan-2026) | 4th Quarter 2025 column | 3,065</t>
      </text>
    </comment>
    <comment ref="E117" authorId="0">
      <text>
        <t>S4 UNP 4Q25 earnings release (8-K Ex.99.1, 27-Jan-2026) | Full Year 2025 column | 3,024</t>
      </text>
    </comment>
    <comment ref="F117" authorId="0">
      <text>
        <t>S5 UNP 1Q26 earnings release (8-K Ex.99.1, 23-Apr-2026) | 1st quarter 2026 column | 3,058</t>
      </text>
    </comment>
    <comment ref="G117" authorId="0">
      <text>
        <t>S6 UNP 2Q26 earnings release (8-K Ex.99.1, 23-Jul-2026) | 2nd quarter 2026 column | 3,350</t>
      </text>
    </comment>
    <comment ref="C120" authorId="0">
      <text>
        <t>S4 UNP 4Q25 earnings release (8-K Ex.99.1, 27-Jan-2026) | 2025 quarterly tables, 3rd Qtr | 1,393</t>
      </text>
    </comment>
    <comment ref="D120" authorId="0">
      <text>
        <t>S4 UNP 4Q25 earnings release (8-K Ex.99.1, 27-Jan-2026) | 4th Quarter 2025 column | 1,418</t>
      </text>
    </comment>
    <comment ref="E120" authorId="0">
      <text>
        <t>S4 UNP 4Q25 earnings release (8-K Ex.99.1, 27-Jan-2026) | Full Year 2025 column | 1,380</t>
      </text>
    </comment>
    <comment ref="F120" authorId="0">
      <text>
        <t>S5 UNP 1Q26 earnings release (8-K Ex.99.1, 23-Apr-2026) | 1st quarter 2026 column | 1,408</t>
      </text>
    </comment>
    <comment ref="G120" authorId="0">
      <text>
        <t>S6 UNP 2Q26 earnings release (8-K Ex.99.1, 23-Jul-2026) | 2nd quarter 2026 column | 1,626</t>
      </text>
    </comment>
    <comment ref="C131" authorId="0">
      <text>
        <t>S4 UNP 4Q25 earnings release (8-K Ex.99.1, 27-Jan-2026) | 2025 quarterly tables, 3rd Qtr | 975</t>
      </text>
    </comment>
    <comment ref="D131" authorId="0">
      <text>
        <t>S4 UNP 4Q25 earnings release (8-K Ex.99.1, 27-Jan-2026) | 4th Quarter 2025 column | 1,037</t>
      </text>
    </comment>
    <comment ref="E131" authorId="0">
      <text>
        <t>S4 UNP 4Q25 earnings release (8-K Ex.99.1, 27-Jan-2026) | Full Year 2025 column | 3,926</t>
      </text>
    </comment>
    <comment ref="F131" authorId="0">
      <text>
        <t>S5 UNP 1Q26 earnings release (8-K Ex.99.1, 23-Apr-2026) | 1st quarter 2026 column | 1,057</t>
      </text>
    </comment>
    <comment ref="G131" authorId="0">
      <text>
        <t>S6 UNP 2Q26 earnings release (8-K Ex.99.1, 23-Jul-2026) | 2nd quarter 2026 column | 1,106</t>
      </text>
    </comment>
    <comment ref="C138" authorId="0">
      <text>
        <t>S4 UNP 4Q25 earnings release (8-K Ex.99.1, 27-Jan-2026) | 2025 quarterly tables, 3rd Qtr | 227</t>
      </text>
    </comment>
    <comment ref="D138" authorId="0">
      <text>
        <t>S4 UNP 4Q25 earnings release (8-K Ex.99.1, 27-Jan-2026) | 4th Quarter 2025 column | 218</t>
      </text>
    </comment>
    <comment ref="E138" authorId="0">
      <text>
        <t>S4 UNP 4Q25 earnings release (8-K Ex.99.1, 27-Jan-2026) | Full Year 2025 column | 856</t>
      </text>
    </comment>
    <comment ref="F138" authorId="0">
      <text>
        <t>S5 UNP 1Q26 earnings release (8-K Ex.99.1, 23-Apr-2026) | 1st quarter 2026 column | 236</t>
      </text>
    </comment>
    <comment ref="G138" authorId="0">
      <text>
        <t>S6 UNP 2Q26 earnings release (8-K Ex.99.1, 23-Jul-2026) | 2nd quarter 2026 column | 217</t>
      </text>
    </comment>
    <comment ref="C145" authorId="0">
      <text>
        <t>S4 UNP 4Q25 earnings release (8-K Ex.99.1, 27-Jan-2026) | 2025 quarterly tables, 3rd Qtr | 258</t>
      </text>
    </comment>
    <comment ref="D145" authorId="0">
      <text>
        <t>S4 UNP 4Q25 earnings release (8-K Ex.99.1, 27-Jan-2026) | 4th Quarter 2025 column | 233</t>
      </text>
    </comment>
    <comment ref="E145" authorId="0">
      <text>
        <t>S4 UNP 4Q25 earnings release (8-K Ex.99.1, 27-Jan-2026) | Full Year 2025 column | 1,018</t>
      </text>
    </comment>
    <comment ref="F145" authorId="0">
      <text>
        <t>S5 UNP 1Q26 earnings release (8-K Ex.99.1, 23-Apr-2026) | 1st quarter 2026 column | 247</t>
      </text>
    </comment>
    <comment ref="G145" authorId="0">
      <text>
        <t>S6 UNP 2Q26 earnings release (8-K Ex.99.1, 23-Jul-2026) | 2nd quarter 2026 column | 272</t>
      </text>
    </comment>
    <comment ref="C152" authorId="0">
      <text>
        <t>S4 UNP 4Q25 earnings release (8-K Ex.99.1, 27-Jan-2026) | 2025 quarterly tables, 3rd Qtr | 470</t>
      </text>
    </comment>
    <comment ref="D152" authorId="0">
      <text>
        <t>S4 UNP 4Q25 earnings release (8-K Ex.99.1, 27-Jan-2026) | 4th Quarter 2025 column | 431</t>
      </text>
    </comment>
    <comment ref="E152" authorId="0">
      <text>
        <t>S4 UNP 4Q25 earnings release (8-K Ex.99.1, 27-Jan-2026) | Full Year 2025 column | 1,786</t>
      </text>
    </comment>
    <comment ref="F152" authorId="0">
      <text>
        <t>S5 UNP 1Q26 earnings release (8-K Ex.99.1, 23-Apr-2026) | 1st quarter 2026 column | 486</t>
      </text>
    </comment>
    <comment ref="G152" authorId="0">
      <text>
        <t>S6 UNP 2Q26 earnings release (8-K Ex.99.1, 23-Jul-2026) | 2nd quarter 2026 column | 448</t>
      </text>
    </comment>
    <comment ref="C166" authorId="0">
      <text>
        <t>S4 UNP 4Q25 earnings release (8-K Ex.99.1, 27-Jan-2026) | 2025 quarterly tables, 3rd Qtr | 647</t>
      </text>
    </comment>
    <comment ref="D166" authorId="0">
      <text>
        <t>S4 UNP 4Q25 earnings release (8-K Ex.99.1, 27-Jan-2026) | 4th Quarter 2025 column | 612</t>
      </text>
    </comment>
    <comment ref="E166" authorId="0">
      <text>
        <t>S4 UNP 4Q25 earnings release (8-K Ex.99.1, 27-Jan-2026) | Full Year 2025 column | 2,512</t>
      </text>
    </comment>
    <comment ref="F166" authorId="0">
      <text>
        <t>S5 UNP 1Q26 earnings release (8-K Ex.99.1, 23-Apr-2026) | 1st quarter 2026 column | 655</t>
      </text>
    </comment>
    <comment ref="G166" authorId="0">
      <text>
        <t>S6 UNP 2Q26 earnings release (8-K Ex.99.1, 23-Jul-2026) | 2nd quarter 2026 column | 685</t>
      </text>
    </comment>
    <comment ref="C173" authorId="0">
      <text>
        <t>S4 UNP 4Q25 earnings release (8-K Ex.99.1, 27-Jan-2026) | 2025 quarterly tables, 3rd Qtr | 568</t>
      </text>
    </comment>
    <comment ref="D173" authorId="0">
      <text>
        <t>S4 UNP 4Q25 earnings release (8-K Ex.99.1, 27-Jan-2026) | 4th Quarter 2025 column | 543</t>
      </text>
    </comment>
    <comment ref="E173" authorId="0">
      <text>
        <t>S4 UNP 4Q25 earnings release (8-K Ex.99.1, 27-Jan-2026) | Full Year 2025 column | 2,193</t>
      </text>
    </comment>
    <comment ref="F173" authorId="0">
      <text>
        <t>S5 UNP 1Q26 earnings release (8-K Ex.99.1, 23-Apr-2026) | 1st quarter 2026 column | 555</t>
      </text>
    </comment>
    <comment ref="G173" authorId="0">
      <text>
        <t>S6 UNP 2Q26 earnings release (8-K Ex.99.1, 23-Jul-2026) | 2nd quarter 2026 column | 621</t>
      </text>
    </comment>
    <comment ref="C180" authorId="0">
      <text>
        <t>S4 UNP 4Q25 earnings release (8-K Ex.99.1, 27-Jan-2026) | 2025 quarterly tables, 3rd Qtr | 327</t>
      </text>
    </comment>
    <comment ref="D180" authorId="0">
      <text>
        <t>S4 UNP 4Q25 earnings release (8-K Ex.99.1, 27-Jan-2026) | 4th Quarter 2025 column | 302</t>
      </text>
    </comment>
    <comment ref="E180" authorId="0">
      <text>
        <t>S4 UNP 4Q25 earnings release (8-K Ex.99.1, 27-Jan-2026) | Full Year 2025 column | 1,290</t>
      </text>
    </comment>
    <comment ref="F180" authorId="0">
      <text>
        <t>S5 UNP 1Q26 earnings release (8-K Ex.99.1, 23-Apr-2026) | 1st quarter 2026 column | 318</t>
      </text>
    </comment>
    <comment ref="G180" authorId="0">
      <text>
        <t>S6 UNP 2Q26 earnings release (8-K Ex.99.1, 23-Jul-2026) | 2nd quarter 2026 column | 356</t>
      </text>
    </comment>
    <comment ref="C187" authorId="0">
      <text>
        <t>S4 UNP 4Q25 earnings release (8-K Ex.99.1, 27-Jan-2026) | 2025 quarterly tables, 3rd Qtr | 652</t>
      </text>
    </comment>
    <comment ref="D187" authorId="0">
      <text>
        <t>S4 UNP 4Q25 earnings release (8-K Ex.99.1, 27-Jan-2026) | 4th Quarter 2025 column | 659</t>
      </text>
    </comment>
    <comment ref="E187" authorId="0">
      <text>
        <t>S4 UNP 4Q25 earnings release (8-K Ex.99.1, 27-Jan-2026) | Full Year 2025 column | 2,609</t>
      </text>
    </comment>
    <comment ref="F187" authorId="0">
      <text>
        <t>S5 UNP 1Q26 earnings release (8-K Ex.99.1, 23-Apr-2026) | 1st quarter 2026 column | 663</t>
      </text>
    </comment>
    <comment ref="G187" authorId="0">
      <text>
        <t>S6 UNP 2Q26 earnings release (8-K Ex.99.1, 23-Jul-2026) | 2nd quarter 2026 column | 724</t>
      </text>
    </comment>
    <comment ref="C201" authorId="0">
      <text>
        <t>S4 UNP 4Q25 earnings release (8-K Ex.99.1, 27-Jan-2026) | 2025 quarterly tables, 3rd Qtr | 604</t>
      </text>
    </comment>
    <comment ref="D201" authorId="0">
      <text>
        <t>S4 UNP 4Q25 earnings release (8-K Ex.99.1, 27-Jan-2026) | 4th Quarter 2025 column | 581</t>
      </text>
    </comment>
    <comment ref="E201" authorId="0">
      <text>
        <t>S4 UNP 4Q25 earnings release (8-K Ex.99.1, 27-Jan-2026) | Full Year 2025 column | 2,398</t>
      </text>
    </comment>
    <comment ref="F201" authorId="0">
      <text>
        <t>S5 UNP 1Q26 earnings release (8-K Ex.99.1, 23-Apr-2026) | 1st quarter 2026 column | 560</t>
      </text>
    </comment>
    <comment ref="G201" authorId="0">
      <text>
        <t>S6 UNP 2Q26 earnings release (8-K Ex.99.1, 23-Jul-2026) | 2nd quarter 2026 column | 703</t>
      </text>
    </comment>
    <comment ref="C208" authorId="0">
      <text>
        <t>S4 UNP 4Q25 earnings release (8-K Ex.99.1, 27-Jan-2026) | 2025 quarterly tables, 3rd Qtr | 1,199</t>
      </text>
    </comment>
    <comment ref="D208" authorId="0">
      <text>
        <t>S4 UNP 4Q25 earnings release (8-K Ex.99.1, 27-Jan-2026) | 4th Quarter 2025 column | 1,143</t>
      </text>
    </comment>
    <comment ref="E208" authorId="0">
      <text>
        <t>S4 UNP 4Q25 earnings release (8-K Ex.99.1, 27-Jan-2026) | Full Year 2025 column | 4,632</t>
      </text>
    </comment>
    <comment ref="F208" authorId="0">
      <text>
        <t>S5 UNP 1Q26 earnings release (8-K Ex.99.1, 23-Apr-2026) | 1st quarter 2026 column | 1,116</t>
      </text>
    </comment>
    <comment ref="G208" authorId="0">
      <text>
        <t>S6 UNP 2Q26 earnings release (8-K Ex.99.1, 23-Jul-2026) | 2nd quarter 2026 column | 1,386</t>
      </text>
    </comment>
    <comment ref="C223" authorId="0">
      <text>
        <t>S4 UNP 4Q25 earnings release (8-K Ex.99.1, 27-Jan-2026) | 2025 quarterly tables, 3rd Qtr | 5,927</t>
      </text>
    </comment>
    <comment ref="D223" authorId="0">
      <text>
        <t>S4 UNP 4Q25 earnings release (8-K Ex.99.1, 27-Jan-2026) | 4th Quarter 2025 column | 5,759</t>
      </text>
    </comment>
    <comment ref="E223" authorId="0">
      <text>
        <t>S4 UNP 4Q25 earnings release (8-K Ex.99.1, 27-Jan-2026) | Full Year 2025 column | 23,220</t>
      </text>
    </comment>
    <comment ref="F223" authorId="0">
      <text>
        <t>S5 UNP 1Q26 earnings release (8-K Ex.99.1, 23-Apr-2026) | 1st quarter 2026 column | 5,893</t>
      </text>
    </comment>
    <comment ref="G223" authorId="0">
      <text>
        <t>S6 UNP 2Q26 earnings release (8-K Ex.99.1, 23-Jul-2026) | 2nd quarter 2026 column | 6,518</t>
      </text>
    </comment>
    <comment ref="C236" authorId="0">
      <text>
        <t>S13 UNP 3Q25 earnings presentation | Third Quarter Income Statement, Fuel Surcharge 2025 | 602</t>
      </text>
    </comment>
    <comment ref="D236" authorId="0">
      <text>
        <t>S14 UNP 4Q25 earnings presentation | Fourth Quarter Income Statement, Fuel Surcharge 2025 | 603</t>
      </text>
    </comment>
    <comment ref="F236" authorId="0">
      <text>
        <t>S15 UNP 1Q26 earnings presentation | First Quarter Income Statement, Fuel Surcharge 2026 | 608</t>
      </text>
    </comment>
    <comment ref="G236" authorId="0">
      <text>
        <t>S16 UNP 2Q26 earnings presentation | Second Quarter Income Statement, Fuel Surcharge 2026 | 1,028</t>
      </text>
    </comment>
    <comment ref="C253" authorId="0">
      <text>
        <t>S4 UNP 4Q25 earnings release (8-K Ex.99.1, 27-Jan-2026) | 2025 quarterly tables, 3rd Qtr | 317</t>
      </text>
    </comment>
    <comment ref="D253" authorId="0">
      <text>
        <t>S4 UNP 4Q25 earnings release (8-K Ex.99.1, 27-Jan-2026) | 4th Quarter 2025 column | 326</t>
      </text>
    </comment>
    <comment ref="E253" authorId="0">
      <text>
        <t>S4 UNP 4Q25 earnings release (8-K Ex.99.1, 27-Jan-2026) | Full Year 2025 column | 1,290</t>
      </text>
    </comment>
    <comment ref="F253" authorId="0">
      <text>
        <t>S5 UNP 1Q26 earnings release (8-K Ex.99.1, 23-Apr-2026) | 1st quarter 2026 column | 324</t>
      </text>
    </comment>
    <comment ref="G253" authorId="0">
      <text>
        <t>S6 UNP 2Q26 earnings release (8-K Ex.99.1, 23-Jul-2026) | 2nd quarter 2026 column | 346</t>
      </text>
    </comment>
    <comment ref="C271" authorId="0">
      <text>
        <t>S7 UNP 3Q25 Form 10-Q | Note 3 / MD&amp;A Mexico business | $752 million</t>
      </text>
    </comment>
    <comment ref="E271" authorId="0">
      <text>
        <t>S9 UNP FY2025 Form 10-K | MD&amp;A Mexico business | $2.9 billion</t>
      </text>
    </comment>
    <comment ref="F271" authorId="0">
      <text>
        <t>S10 UNP 1Q26 Form 10-Q | MD&amp;A Mexico business | $729 million</t>
      </text>
    </comment>
    <comment ref="G271" authorId="0">
      <text>
        <t>S8 UNP 2Q26 Form 10-Q | MD&amp;A Mexico business | $828 million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16" authorId="0">
      <text>
        <t>S4 UNP 4Q25 earnings release (8-K Ex.99.1, 27-Jan-2026) | 2025 quarterly tables, 3rd Qtr | 1,214</t>
      </text>
    </comment>
    <comment ref="D16" authorId="0">
      <text>
        <t>S4 UNP 4Q25 earnings release (8-K Ex.99.1, 27-Jan-2026) | 4th Quarter 2025 column | 1,222</t>
      </text>
    </comment>
    <comment ref="E16" authorId="0">
      <text>
        <t>S4 UNP 4Q25 earnings release (8-K Ex.99.1, 27-Jan-2026) | Full Year 2025 column | 4,897</t>
      </text>
    </comment>
    <comment ref="F16" authorId="0">
      <text>
        <t>S5 UNP 1Q26 earnings release (8-K Ex.99.1, 23-Apr-2026) | 1st quarter 2026 column | 1,227</t>
      </text>
    </comment>
    <comment ref="G16" authorId="0">
      <text>
        <t>S6 UNP 2Q26 earnings release (8-K Ex.99.1, 23-Jul-2026) | 2nd quarter 2026 column | 1,240</t>
      </text>
    </comment>
    <comment ref="C19" authorId="0">
      <text>
        <t>S4 UNP 4Q25 earnings release (8-K Ex.99.1, 27-Jan-2026) | 2025 quarterly tables, 3rd Qtr | 616</t>
      </text>
    </comment>
    <comment ref="D19" authorId="0">
      <text>
        <t>S4 UNP 4Q25 earnings release (8-K Ex.99.1, 27-Jan-2026) | 4th Quarter 2025 column | 595</t>
      </text>
    </comment>
    <comment ref="E19" authorId="0">
      <text>
        <t>S4 UNP 4Q25 earnings release (8-K Ex.99.1, 27-Jan-2026) | Full Year 2025 column | 2,390</t>
      </text>
    </comment>
    <comment ref="F19" authorId="0">
      <text>
        <t>S5 UNP 1Q26 earnings release (8-K Ex.99.1, 23-Apr-2026) | 1st quarter 2026 column | 643</t>
      </text>
    </comment>
    <comment ref="G19" authorId="0">
      <text>
        <t>S6 UNP 2Q26 earnings release (8-K Ex.99.1, 23-Jul-2026) | 2nd quarter 2026 column | 938</t>
      </text>
    </comment>
    <comment ref="C22" authorId="0">
      <text>
        <t>S4 UNP 4Q25 earnings release (8-K Ex.99.1, 27-Jan-2026) | 2025 quarterly tables, 3rd Qtr | 683</t>
      </text>
    </comment>
    <comment ref="D22" authorId="0">
      <text>
        <t>S4 UNP 4Q25 earnings release (8-K Ex.99.1, 27-Jan-2026) | 4th Quarter 2025 column | 670</t>
      </text>
    </comment>
    <comment ref="E22" authorId="0">
      <text>
        <t>S4 UNP 4Q25 earnings release (8-K Ex.99.1, 27-Jan-2026) | Full Year 2025 column | 2,626</t>
      </text>
    </comment>
    <comment ref="F22" authorId="0">
      <text>
        <t>S5 UNP 1Q26 earnings release (8-K Ex.99.1, 23-Apr-2026) | 1st quarter 2026 column | 673</t>
      </text>
    </comment>
    <comment ref="G22" authorId="0">
      <text>
        <t>S6 UNP 2Q26 earnings release (8-K Ex.99.1, 23-Jul-2026) | 2nd quarter 2026 column | 709</t>
      </text>
    </comment>
    <comment ref="C28" authorId="0">
      <text>
        <t>S4 UNP 4Q25 earnings release (8-K Ex.99.1, 27-Jan-2026) | 2025 quarterly tables, 3rd Qtr | 212</t>
      </text>
    </comment>
    <comment ref="D28" authorId="0">
      <text>
        <t>S4 UNP 4Q25 earnings release (8-K Ex.99.1, 27-Jan-2026) | 4th Quarter 2025 column | 229</t>
      </text>
    </comment>
    <comment ref="E28" authorId="0">
      <text>
        <t>S4 UNP 4Q25 earnings release (8-K Ex.99.1, 27-Jan-2026) | Full Year 2025 column | 912</t>
      </text>
    </comment>
    <comment ref="F28" authorId="0">
      <text>
        <t>S5 UNP 1Q26 earnings release (8-K Ex.99.1, 23-Apr-2026) | 1st quarter 2026 column | 219</t>
      </text>
    </comment>
    <comment ref="G28" authorId="0">
      <text>
        <t>S6 UNP 2Q26 earnings release (8-K Ex.99.1, 23-Jul-2026) | 2nd quarter 2026 column | 214</t>
      </text>
    </comment>
    <comment ref="C31" authorId="0">
      <text>
        <t>S4 UNP 4Q25 earnings release (8-K Ex.99.1, 27-Jan-2026) | 2025 quarterly tables, 3rd Qtr | 352</t>
      </text>
    </comment>
    <comment ref="D31" authorId="0">
      <text>
        <t>S4 UNP 4Q25 earnings release (8-K Ex.99.1, 27-Jan-2026) | 4th Quarter 2025 column | 344</t>
      </text>
    </comment>
    <comment ref="E31" authorId="0">
      <text>
        <t>S4 UNP 4Q25 earnings release (8-K Ex.99.1, 27-Jan-2026) | Full Year 2025 column | 1,374</t>
      </text>
    </comment>
    <comment ref="F31" authorId="0">
      <text>
        <t>S5 UNP 1Q26 earnings release (8-K Ex.99.1, 23-Apr-2026) | 1st quarter 2026 column | 364</t>
      </text>
    </comment>
    <comment ref="G31" authorId="0">
      <text>
        <t>S6 UNP 2Q26 earnings release (8-K Ex.99.1, 23-Jul-2026) | 2nd quarter 2026 column | 362</t>
      </text>
    </comment>
    <comment ref="C45" authorId="0">
      <text>
        <t>S7 UNP 3Q25 Form 10-Q | Note 6 Other Income, three months 2025 | 74</t>
      </text>
    </comment>
    <comment ref="F45" authorId="0">
      <text>
        <t>S10 UNP 1Q26 Form 10-Q | Note 6 Other Income, 2026 | 76</t>
      </text>
    </comment>
    <comment ref="G45" authorId="0">
      <text>
        <t>S8 UNP 2Q26 Form 10-Q | Note 6 Other Income, three months 2026 | 80</t>
      </text>
    </comment>
    <comment ref="C46" authorId="0">
      <text>
        <t>S7 UNP 3Q25 Form 10-Q | Note 6 Other Income, three months 2025 | 12</t>
      </text>
    </comment>
    <comment ref="F46" authorId="0">
      <text>
        <t>S10 UNP 1Q26 Form 10-Q | Note 6 Other Income, 2026 | 15</t>
      </text>
    </comment>
    <comment ref="G46" authorId="0">
      <text>
        <t>S8 UNP 2Q26 Form 10-Q | Note 6 Other Income, three months 2026 | 16</t>
      </text>
    </comment>
    <comment ref="C47" authorId="0">
      <text>
        <t>S7 UNP 3Q25 Form 10-Q | Note 6 Other Income, three months 2025 | 13</t>
      </text>
    </comment>
    <comment ref="F47" authorId="0">
      <text>
        <t>S10 UNP 1Q26 Form 10-Q | Note 6 Other Income, 2026 | 15</t>
      </text>
    </comment>
    <comment ref="G47" authorId="0">
      <text>
        <t>S8 UNP 2Q26 Form 10-Q | Note 6 Other Income, three months 2026 | 15</t>
      </text>
    </comment>
    <comment ref="C48" authorId="0">
      <text>
        <t>S7 UNP 3Q25 Form 10-Q | Note 6 Other Income, three months 2025 | (6)</t>
      </text>
    </comment>
    <comment ref="F48" authorId="0">
      <text>
        <t>S10 UNP 1Q26 Form 10-Q | Note 6 Other Income, 2026 | (11)</t>
      </text>
    </comment>
    <comment ref="G48" authorId="0">
      <text>
        <t>S8 UNP 2Q26 Form 10-Q | Note 6 Other Income, three months 2026 | (8)</t>
      </text>
    </comment>
    <comment ref="C49" authorId="0">
      <text>
        <t>S7 UNP 3Q25 Form 10-Q | Note 6 Other Income, three months 2025 | 3</t>
      </text>
    </comment>
    <comment ref="F49" authorId="0">
      <text>
        <t>S10 UNP 1Q26 Form 10-Q | Note 6 Other Income, 2026 | (4)</t>
      </text>
    </comment>
    <comment ref="G49" authorId="0">
      <text>
        <t>S8 UNP 2Q26 Form 10-Q | Note 6 Other Income, three months 2026 | 2</t>
      </text>
    </comment>
    <comment ref="C52" authorId="0">
      <text>
        <t>S4 UNP 4Q25 earnings release (8-K Ex.99.1, 27-Jan-2026) | 2025 quarterly tables, 3rd Qtr | (327)</t>
      </text>
    </comment>
    <comment ref="D52" authorId="0">
      <text>
        <t>S4 UNP 4Q25 earnings release (8-K Ex.99.1, 27-Jan-2026) | 4th Quarter 2025 column | (325)</t>
      </text>
    </comment>
    <comment ref="E52" authorId="0">
      <text>
        <t>S4 UNP 4Q25 earnings release (8-K Ex.99.1, 27-Jan-2026) | Full Year 2025 column | (1,309)</t>
      </text>
    </comment>
    <comment ref="F52" authorId="0">
      <text>
        <t>S5 UNP 1Q26 earnings release (8-K Ex.99.1, 23-Apr-2026) | 1st quarter 2026 column | (320)</t>
      </text>
    </comment>
    <comment ref="G52" authorId="0">
      <text>
        <t>S6 UNP 2Q26 earnings release (8-K Ex.99.1, 23-Jul-2026) | 2nd quarter 2026 column | (313)</t>
      </text>
    </comment>
    <comment ref="C56" authorId="0">
      <text>
        <t>S4 UNP 4Q25 earnings release (8-K Ex.99.1, 27-Jan-2026) | 2025 quarterly tables, 3rd Qtr | (530)</t>
      </text>
    </comment>
    <comment ref="D56" authorId="0">
      <text>
        <t>S4 UNP 4Q25 earnings release (8-K Ex.99.1, 27-Jan-2026) | 4th Quarter 2025 column | (560)</t>
      </text>
    </comment>
    <comment ref="E56" authorId="0">
      <text>
        <t>S4 UNP 4Q25 earnings release (8-K Ex.99.1, 27-Jan-2026) | Full Year 2025 column | (2,028)</t>
      </text>
    </comment>
    <comment ref="F56" authorId="0">
      <text>
        <t>S5 UNP 1Q26 earnings release (8-K Ex.99.1, 23-Apr-2026) | 1st quarter 2026 column | (528)</t>
      </text>
    </comment>
    <comment ref="G56" authorId="0">
      <text>
        <t>S6 UNP 2Q26 earnings release (8-K Ex.99.1, 23-Jul-2026) | 2nd quarter 2026 column | (562)</t>
      </text>
    </comment>
    <comment ref="E71" authorId="0">
      <text>
        <t>S4 UNP 4Q25 earnings release (8-K Ex.99.1, 27-Jan-2026) | Full Year 2025 column | $11.98</t>
      </text>
    </comment>
    <comment ref="C73" authorId="0">
      <text>
        <t>S4 UNP 4Q25 earnings release (8-K Ex.99.1, 27-Jan-2026) | 2025 quarterly tables, 3rd Qtr | $1.38</t>
      </text>
    </comment>
    <comment ref="D73" authorId="0">
      <text>
        <t>S4 UNP 4Q25 earnings release (8-K Ex.99.1, 27-Jan-2026) | 4th Quarter 2025 column | $1.38</t>
      </text>
    </comment>
    <comment ref="E73" authorId="0">
      <text>
        <t>S4 UNP 4Q25 earnings release (8-K Ex.99.1, 27-Jan-2026) | Full Year 2025 column | $5.44</t>
      </text>
    </comment>
    <comment ref="F73" authorId="0">
      <text>
        <t>S5 UNP 1Q26 earnings release (8-K Ex.99.1, 23-Apr-2026) | 1st quarter 2026 column | $1.38</t>
      </text>
    </comment>
    <comment ref="G73" authorId="0">
      <text>
        <t>S6 UNP 2Q26 earnings release (8-K Ex.99.1, 23-Jul-2026) | 2nd quarter 2026 column | $1.38</t>
      </text>
    </comment>
    <comment ref="H73" authorId="0">
      <text>
        <t>S19 UNP press release 29-Jul-2026 (3% dividend increase) | quarterly dividend | $1.42 per share</t>
      </text>
    </comment>
    <comment ref="C80" authorId="0">
      <text>
        <t>S3 UNP 3Q25 earnings release | Non-GAAP reconciliation, three months 2025 | 0</t>
      </text>
    </comment>
    <comment ref="D80" authorId="0">
      <text>
        <t>S4 UNP 4Q25 earnings release | Non-GAAP reconciliation, three months Dec 31 2025 | 0</t>
      </text>
    </comment>
    <comment ref="E80" authorId="0">
      <text>
        <t>S4 UNP 4Q25 earnings release | Non-GAAP reconciliation, year ended Dec 31 2025 | 0</t>
      </text>
    </comment>
    <comment ref="F80" authorId="0">
      <text>
        <t>S5 UNP 1Q26 earnings release | Non-GAAP reconciliation, three months 2026 | 0</t>
      </text>
    </comment>
    <comment ref="G80" authorId="0">
      <text>
        <t>S6 UNP 2Q26 earnings release | Non-GAAP reconciliation, three months June 30 2026 | 0</t>
      </text>
    </comment>
    <comment ref="C81" authorId="0">
      <text>
        <t>S3 UNP 3Q25 earnings release | Non-GAAP reconciliation, three months 2025 | 0</t>
      </text>
    </comment>
    <comment ref="D81" authorId="0">
      <text>
        <t>S4 UNP 4Q25 earnings release | Non-GAAP reconciliation, three months Dec 31 2025 | (234)</t>
      </text>
    </comment>
    <comment ref="E81" authorId="0">
      <text>
        <t>S4 UNP 4Q25 earnings release | Non-GAAP reconciliation, year ended Dec 31 2025 | (250)</t>
      </text>
    </comment>
    <comment ref="F81" authorId="0">
      <text>
        <t>S5 UNP 1Q26 earnings release | Non-GAAP reconciliation, three months 2026 | 0</t>
      </text>
    </comment>
    <comment ref="G81" authorId="0">
      <text>
        <t>S6 UNP 2Q26 earnings release | Non-GAAP reconciliation, three months June 30 2026 | 0</t>
      </text>
    </comment>
    <comment ref="C82" authorId="0">
      <text>
        <t>S3 UNP 3Q25 earnings release | Non-GAAP reconciliation, three months 2025 | 0</t>
      </text>
    </comment>
    <comment ref="D82" authorId="0">
      <text>
        <t>S4 UNP 4Q25 earnings release | Non-GAAP reconciliation, three months Dec 31 2025 | 56</t>
      </text>
    </comment>
    <comment ref="E82" authorId="0">
      <text>
        <t>S4 UNP 4Q25 earnings release | Non-GAAP reconciliation, year ended Dec 31 2025 | 60</t>
      </text>
    </comment>
    <comment ref="F82" authorId="0">
      <text>
        <t>S5 UNP 1Q26 earnings release | Non-GAAP reconciliation, three months 2026 | 0</t>
      </text>
    </comment>
    <comment ref="G82" authorId="0">
      <text>
        <t>S6 UNP 2Q26 earnings release | Non-GAAP reconciliation, three months June 30 2026 | 0</t>
      </text>
    </comment>
    <comment ref="C83" authorId="0">
      <text>
        <t>S3 UNP 3Q25 earnings release | Non-GAAP reconciliation, three months 2025 | 0</t>
      </text>
    </comment>
    <comment ref="D83" authorId="0">
      <text>
        <t>S4 UNP 4Q25 earnings release | Non-GAAP reconciliation, three months Dec 31 2025 | 0</t>
      </text>
    </comment>
    <comment ref="E83" authorId="0">
      <text>
        <t>S4 UNP 4Q25 earnings release | Non-GAAP reconciliation, year ended Dec 31 2025 | (115)</t>
      </text>
    </comment>
    <comment ref="F83" authorId="0">
      <text>
        <t>S5 UNP 1Q26 earnings release | Non-GAAP reconciliation, three months 2026 | 0</t>
      </text>
    </comment>
    <comment ref="G83" authorId="0">
      <text>
        <t>S6 UNP 2Q26 earnings release | Non-GAAP reconciliation, three months June 30 2026 | 0</t>
      </text>
    </comment>
    <comment ref="C84" authorId="0">
      <text>
        <t>S3 UNP 3Q25 earnings release | Non-GAAP reconciliation, three months 2025 | 0</t>
      </text>
    </comment>
    <comment ref="D84" authorId="0">
      <text>
        <t>S4 UNP 4Q25 earnings release | Non-GAAP reconciliation, three months Dec 31 2025 | 0</t>
      </text>
    </comment>
    <comment ref="E84" authorId="0">
      <text>
        <t>S4 UNP 4Q25 earnings release | Non-GAAP reconciliation, year ended Dec 31 2025 | 55</t>
      </text>
    </comment>
    <comment ref="F84" authorId="0">
      <text>
        <t>S5 UNP 1Q26 earnings release | Non-GAAP reconciliation, three months 2026 | 0</t>
      </text>
    </comment>
    <comment ref="G84" authorId="0">
      <text>
        <t>S6 UNP 2Q26 earnings release | Non-GAAP reconciliation, three months June 30 2026 | 0</t>
      </text>
    </comment>
    <comment ref="C85" authorId="0">
      <text>
        <t>S3 UNP 3Q25 earnings release | Non-GAAP reconciliation, three months 2025 | 0</t>
      </text>
    </comment>
    <comment ref="D85" authorId="0">
      <text>
        <t>S4 UNP 4Q25 earnings release | Non-GAAP reconciliation, three months Dec 31 2025 | 0</t>
      </text>
    </comment>
    <comment ref="E85" authorId="0">
      <text>
        <t>S4 UNP 4Q25 earnings release | Non-GAAP reconciliation, year ended Dec 31 2025 | (13)</t>
      </text>
    </comment>
    <comment ref="F85" authorId="0">
      <text>
        <t>S5 UNP 1Q26 earnings release | Non-GAAP reconciliation, three months 2026 | 0</t>
      </text>
    </comment>
    <comment ref="G85" authorId="0">
      <text>
        <t>S6 UNP 2Q26 earnings release | Non-GAAP reconciliation, three months June 30 2026 | 0</t>
      </text>
    </comment>
    <comment ref="E90" authorId="0">
      <text>
        <t>S4 UNP 4Q25 earnings release | Non-GAAP reconciliation, year ended Dec 31 2025 | $11.66</t>
      </text>
    </comment>
    <comment ref="C104" authorId="0">
      <text>
        <t>S4 UNP 4Q25 earnings release (8-K Ex.99.1, 27-Jan-2026) | 2025 quarterly tables, 3rd Qtr | 28,871</t>
      </text>
    </comment>
    <comment ref="D104" authorId="0">
      <text>
        <t>S4 UNP 4Q25 earnings release (8-K Ex.99.1, 27-Jan-2026) | 4th Quarter 2025 column | 28,418</t>
      </text>
    </comment>
    <comment ref="E104" authorId="0">
      <text>
        <t>S4 UNP 4Q25 earnings release (8-K Ex.99.1, 27-Jan-2026) | Full Year 2025 column | 29,287</t>
      </text>
    </comment>
    <comment ref="F104" authorId="0">
      <text>
        <t>S5 UNP 1Q26 earnings release (8-K Ex.99.1, 23-Apr-2026) | 1st quarter 2026 column | 28,647</t>
      </text>
    </comment>
    <comment ref="G104" authorId="0">
      <text>
        <t>S6 UNP 2Q26 earnings release (8-K Ex.99.1, 23-Jul-2026) | 2nd quarter 2026 column | 28,786</t>
      </text>
    </comment>
    <comment ref="C111" authorId="0">
      <text>
        <t>S4 UNP 4Q25 earnings release (8-K Ex.99.1, 27-Jan-2026) | 2025 quarterly tables, 3rd Qtr | 223,029</t>
      </text>
    </comment>
    <comment ref="D111" authorId="0">
      <text>
        <t>S4 UNP 4Q25 earnings release (8-K Ex.99.1, 27-Jan-2026) | 4th Quarter 2025 column | 217,566</t>
      </text>
    </comment>
    <comment ref="E111" authorId="0">
      <text>
        <t>S4 UNP 4Q25 earnings release (8-K Ex.99.1, 27-Jan-2026) | Full Year 2025 column | 873,644</t>
      </text>
    </comment>
    <comment ref="F111" authorId="0">
      <text>
        <t>S5 UNP 1Q26 earnings release (8-K Ex.99.1, 23-Apr-2026) | 1st quarter 2026 column | 220,582</t>
      </text>
    </comment>
    <comment ref="G111" authorId="0">
      <text>
        <t>S6 UNP 2Q26 earnings release (8-K Ex.99.1, 23-Jul-2026) | 2nd quarter 2026 column | 225,163</t>
      </text>
    </comment>
    <comment ref="C114" authorId="0">
      <text>
        <t>S4 UNP 4Q25 earnings release (8-K Ex.99.1, 27-Jan-2026) | 2025 quarterly tables, 3rd Qtr | 1.052</t>
      </text>
    </comment>
    <comment ref="D114" authorId="0">
      <text>
        <t>S4 UNP 4Q25 earnings release (8-K Ex.99.1, 27-Jan-2026) | 4th Quarter 2025 column | 1.074</t>
      </text>
    </comment>
    <comment ref="E114" authorId="0">
      <text>
        <t>S4 UNP 4Q25 earnings release (8-K Ex.99.1, 27-Jan-2026) | Full Year 2025 column | 1.072</t>
      </text>
    </comment>
    <comment ref="F114" authorId="0">
      <text>
        <t>S5 UNP 1Q26 earnings release (8-K Ex.99.1, 23-Apr-2026) | 1st quarter 2026 column | 1.064</t>
      </text>
    </comment>
    <comment ref="G114" authorId="0">
      <text>
        <t>S6 UNP 2Q26 earnings release (8-K Ex.99.1, 23-Jul-2026) | 2nd quarter 2026 column | 1.051</t>
      </text>
    </comment>
    <comment ref="C117" authorId="0">
      <text>
        <t>S4 UNP 4Q25 earnings release (8-K Ex.99.1, 27-Jan-2026) | 2025 quarterly tables, 3rd Qtr | 235</t>
      </text>
    </comment>
    <comment ref="D117" authorId="0">
      <text>
        <t>S4 UNP 4Q25 earnings release (8-K Ex.99.1, 27-Jan-2026) | 4th Quarter 2025 column | 234</t>
      </text>
    </comment>
    <comment ref="E117" authorId="0">
      <text>
        <t>S4 UNP 4Q25 earnings release (8-K Ex.99.1, 27-Jan-2026) | Full Year 2025 column | 937</t>
      </text>
    </comment>
    <comment ref="F117" authorId="0">
      <text>
        <t>S5 UNP 1Q26 earnings release (8-K Ex.99.1, 23-Apr-2026) | 1st quarter 2026 column | 235</t>
      </text>
    </comment>
    <comment ref="G117" authorId="0">
      <text>
        <t>S6 UNP 2Q26 earnings release (8-K Ex.99.1, 23-Jul-2026) | 2nd quarter 2026 column | 237</t>
      </text>
    </comment>
    <comment ref="C120" authorId="0">
      <text>
        <t>S4 UNP 4Q25 earnings release (8-K Ex.99.1, 27-Jan-2026) | 2025 quarterly tables, 3rd Qtr | $2.56</t>
      </text>
    </comment>
    <comment ref="D120" authorId="0">
      <text>
        <t>S4 UNP 4Q25 earnings release (8-K Ex.99.1, 27-Jan-2026) | 4th Quarter 2025 column | $2.49</t>
      </text>
    </comment>
    <comment ref="E120" authorId="0">
      <text>
        <t>S4 UNP 4Q25 earnings release (8-K Ex.99.1, 27-Jan-2026) | Full Year 2025 column | $2.49</t>
      </text>
    </comment>
    <comment ref="F120" authorId="0">
      <text>
        <t>S5 UNP 1Q26 earnings release (8-K Ex.99.1, 23-Apr-2026) | 1st quarter 2026 column | $2.69</t>
      </text>
    </comment>
    <comment ref="G120" authorId="0">
      <text>
        <t>S6 UNP 2Q26 earnings release (8-K Ex.99.1, 23-Jul-2026) | 2nd quarter 2026 column | $3.86</t>
      </text>
    </comment>
    <comment ref="H120" authorId="0">
      <text>
        <t>S11 Morgan Stanley Laguna conference transcript, 16-Sep-2026 | CFO J. Hamann | "around $4.25 or so for the quarter"</t>
      </text>
    </comment>
    <comment ref="C131" authorId="0">
      <text>
        <t>S3 UNP 3Q25 earnings release | Non-GAAP reconciliation, three months 2025 | 41</t>
      </text>
    </comment>
    <comment ref="D131" authorId="0">
      <text>
        <t>S4 UNP 4Q25 earnings release | Non-GAAP reconciliation, three months Dec 31 2025 | 30</t>
      </text>
    </comment>
    <comment ref="E131" authorId="0">
      <text>
        <t>S4 UNP 4Q25 earnings release | Non-GAAP reconciliation, year ended Dec 31 2025 | 72</t>
      </text>
    </comment>
    <comment ref="F131" authorId="0">
      <text>
        <t>S5 UNP 1Q26 earnings release | Non-GAAP reconciliation, three months 2026 | 36</t>
      </text>
    </comment>
    <comment ref="G131" authorId="0">
      <text>
        <t>S6 UNP 2Q26 earnings release | Non-GAAP reconciliation, three months June 30 2026 | 35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0" authorId="0">
      <text>
        <t>S3 UNP 3Q25 earnings release | Condensed Consolidated Statements of Financial Position, Sep. 30, 2025 | 808</t>
      </text>
    </comment>
    <comment ref="D10" authorId="0">
      <text>
        <t>S4 UNP 4Q25 earnings release | Condensed Consolidated Statements of Financial Position, Dec. 31, 2025 | 1,266</t>
      </text>
    </comment>
    <comment ref="F10" authorId="0">
      <text>
        <t>S5 UNP 1Q26 earnings release | Condensed Consolidated Statements of Financial Position, Mar. 31, 2026 | 735</t>
      </text>
    </comment>
    <comment ref="G10" authorId="0">
      <text>
        <t>S6 UNP 2Q26 earnings release | Condensed Consolidated Statements of Financial Position, Jun. 30, 2026 | 1,614</t>
      </text>
    </comment>
    <comment ref="C11" authorId="0">
      <text>
        <t>S3 UNP 3Q25 earnings release | Condensed Consolidated Statements of Financial Position, Sep. 30, 2025 | 3,096</t>
      </text>
    </comment>
    <comment ref="D11" authorId="0">
      <text>
        <t>S4 UNP 4Q25 earnings release | Condensed Consolidated Statements of Financial Position, Dec. 31, 2025 | 3,289</t>
      </text>
    </comment>
    <comment ref="F11" authorId="0">
      <text>
        <t>S5 UNP 1Q26 earnings release | Condensed Consolidated Statements of Financial Position, Mar. 31, 2026 | 3,480</t>
      </text>
    </comment>
    <comment ref="G11" authorId="0">
      <text>
        <t>S6 UNP 2Q26 earnings release | Condensed Consolidated Statements of Financial Position, Jun. 30, 2026 | 3,919</t>
      </text>
    </comment>
    <comment ref="C12" authorId="0">
      <text>
        <t>S3 UNP 3Q25 earnings release | Condensed Consolidated Statements of Financial Position, Sep. 30, 2025 | 2,841</t>
      </text>
    </comment>
    <comment ref="D12" authorId="0">
      <text>
        <t>S4 UNP 4Q25 earnings release | Condensed Consolidated Statements of Financial Position, Dec. 31, 2025 | 2,885</t>
      </text>
    </comment>
    <comment ref="F12" authorId="0">
      <text>
        <t>S5 UNP 1Q26 earnings release | Condensed Consolidated Statements of Financial Position, Mar. 31, 2026 | 2,954</t>
      </text>
    </comment>
    <comment ref="G12" authorId="0">
      <text>
        <t>S6 UNP 2Q26 earnings release | Condensed Consolidated Statements of Financial Position, Jun. 30, 2026 | 2,977</t>
      </text>
    </comment>
    <comment ref="C13" authorId="0">
      <text>
        <t>S3 UNP 3Q25 earnings release | Condensed Consolidated Statements of Financial Position, Sep. 30, 2025 | 59,392</t>
      </text>
    </comment>
    <comment ref="D13" authorId="0">
      <text>
        <t>S4 UNP 4Q25 earnings release | Condensed Consolidated Statements of Financial Position, Dec. 31, 2025 | 59,645</t>
      </text>
    </comment>
    <comment ref="F13" authorId="0">
      <text>
        <t>S5 UNP 1Q26 earnings release | Condensed Consolidated Statements of Financial Position, Mar. 31, 2026 | 59,955</t>
      </text>
    </comment>
    <comment ref="G13" authorId="0">
      <text>
        <t>S6 UNP 2Q26 earnings release | Condensed Consolidated Statements of Financial Position, Jun. 30, 2026 | 60,199</t>
      </text>
    </comment>
    <comment ref="C14" authorId="0">
      <text>
        <t>S3 UNP 3Q25 earnings release | Condensed Consolidated Statements of Financial Position, Sep. 30, 2025 | 1,090</t>
      </text>
    </comment>
    <comment ref="D14" authorId="0">
      <text>
        <t>S4 UNP 4Q25 earnings release | Condensed Consolidated Statements of Financial Position, Dec. 31, 2025 | 1,036</t>
      </text>
    </comment>
    <comment ref="F14" authorId="0">
      <text>
        <t>S5 UNP 1Q26 earnings release | Condensed Consolidated Statements of Financial Position, Mar. 31, 2026 | 907</t>
      </text>
    </comment>
    <comment ref="G14" authorId="0">
      <text>
        <t>S6 UNP 2Q26 earnings release | Condensed Consolidated Statements of Financial Position, Jun. 30, 2026 | 875</t>
      </text>
    </comment>
    <comment ref="C15" authorId="0">
      <text>
        <t>S3 UNP 3Q25 earnings release | Condensed Consolidated Statements of Financial Position, Sep. 30, 2025 | 1,420</t>
      </text>
    </comment>
    <comment ref="D15" authorId="0">
      <text>
        <t>S4 UNP 4Q25 earnings release | Condensed Consolidated Statements of Financial Position, Dec. 31, 2025 | 1,577</t>
      </text>
    </comment>
    <comment ref="F15" authorId="0">
      <text>
        <t>S5 UNP 1Q26 earnings release | Condensed Consolidated Statements of Financial Position, Mar. 31, 2026 | 1,613</t>
      </text>
    </comment>
    <comment ref="G15" authorId="0">
      <text>
        <t>S6 UNP 2Q26 earnings release | Condensed Consolidated Statements of Financial Position, Jun. 30, 2026 | 1,627</t>
      </text>
    </comment>
    <comment ref="C18" authorId="0">
      <text>
        <t>S3 UNP 3Q25 earnings release | Condensed Consolidated Statements of Financial Position, Sep. 30, 2025 | 1,521</t>
      </text>
    </comment>
    <comment ref="D18" authorId="0">
      <text>
        <t>S4 UNP 4Q25 earnings release | Condensed Consolidated Statements of Financial Position, Dec. 31, 2025 | 1,520</t>
      </text>
    </comment>
    <comment ref="F18" authorId="0">
      <text>
        <t>S5 UNP 1Q26 earnings release | Condensed Consolidated Statements of Financial Position, Mar. 31, 2026 | 867</t>
      </text>
    </comment>
    <comment ref="G18" authorId="0">
      <text>
        <t>S6 UNP 2Q26 earnings release | Condensed Consolidated Statements of Financial Position, Jun. 30, 2026 | 1,288</t>
      </text>
    </comment>
    <comment ref="C19" authorId="0">
      <text>
        <t>S3 UNP 3Q25 earnings release | Condensed Consolidated Statements of Financial Position, Sep. 30, 2025 | 3,699</t>
      </text>
    </comment>
    <comment ref="D19" authorId="0">
      <text>
        <t>S4 UNP 4Q25 earnings release | Condensed Consolidated Statements of Financial Position, Dec. 31, 2025 | 3,494</t>
      </text>
    </comment>
    <comment ref="F19" authorId="0">
      <text>
        <t>S5 UNP 1Q26 earnings release | Condensed Consolidated Statements of Financial Position, Mar. 31, 2026 | 3,735</t>
      </text>
    </comment>
    <comment ref="G19" authorId="0">
      <text>
        <t>S6 UNP 2Q26 earnings release | Condensed Consolidated Statements of Financial Position, Jun. 30, 2026 | 4,324</t>
      </text>
    </comment>
    <comment ref="C20" authorId="0">
      <text>
        <t>S3 UNP 3Q25 earnings release | Condensed Consolidated Statements of Financial Position, Sep. 30, 2025 | 30,286</t>
      </text>
    </comment>
    <comment ref="D20" authorId="0">
      <text>
        <t>S4 UNP 4Q25 earnings release | Condensed Consolidated Statements of Financial Position, Dec. 31, 2025 | 30,294</t>
      </text>
    </comment>
    <comment ref="F20" authorId="0">
      <text>
        <t>S5 UNP 1Q26 earnings release | Condensed Consolidated Statements of Financial Position, Mar. 31, 2026 | 29,784</t>
      </text>
    </comment>
    <comment ref="G20" authorId="0">
      <text>
        <t>S6 UNP 2Q26 earnings release | Condensed Consolidated Statements of Financial Position, Jun. 30, 2026 | 29,039</t>
      </text>
    </comment>
    <comment ref="C21" authorId="0">
      <text>
        <t>S3 UNP 3Q25 earnings release | Condensed Consolidated Statements of Financial Position, Sep. 30, 2025 | 764</t>
      </text>
    </comment>
    <comment ref="D21" authorId="0">
      <text>
        <t>S4 UNP 4Q25 earnings release | Condensed Consolidated Statements of Financial Position, Dec. 31, 2025 | 738</t>
      </text>
    </comment>
    <comment ref="F21" authorId="0">
      <text>
        <t>S5 UNP 1Q26 earnings release | Condensed Consolidated Statements of Financial Position, Mar. 31, 2026 | 619</t>
      </text>
    </comment>
    <comment ref="G21" authorId="0">
      <text>
        <t>S6 UNP 2Q26 earnings release | Condensed Consolidated Statements of Financial Position, Jun. 30, 2026 | 609</t>
      </text>
    </comment>
    <comment ref="C22" authorId="0">
      <text>
        <t>S3 UNP 3Q25 earnings release | Condensed Consolidated Statements of Financial Position, Sep. 30, 2025 | 13,329</t>
      </text>
    </comment>
    <comment ref="D22" authorId="0">
      <text>
        <t>S4 UNP 4Q25 earnings release | Condensed Consolidated Statements of Financial Position, Dec. 31, 2025 | 13,421</t>
      </text>
    </comment>
    <comment ref="F22" authorId="0">
      <text>
        <t>S5 UNP 1Q26 earnings release | Condensed Consolidated Statements of Financial Position, Mar. 31, 2026 | 13,475</t>
      </text>
    </comment>
    <comment ref="G22" authorId="0">
      <text>
        <t>S6 UNP 2Q26 earnings release | Condensed Consolidated Statements of Financial Position, Jun. 30, 2026 | 13,525</t>
      </text>
    </comment>
    <comment ref="C23" authorId="0">
      <text>
        <t>S3 UNP 3Q25 earnings release | Condensed Consolidated Statements of Financial Position, Sep. 30, 2025 | 1,744</t>
      </text>
    </comment>
    <comment ref="D23" authorId="0">
      <text>
        <t>S4 UNP 4Q25 earnings release | Condensed Consolidated Statements of Financial Position, Dec. 31, 2025 | 1,764</t>
      </text>
    </comment>
    <comment ref="F23" authorId="0">
      <text>
        <t>S5 UNP 1Q26 earnings release | Condensed Consolidated Statements of Financial Position, Mar. 31, 2026 | 1,746</t>
      </text>
    </comment>
    <comment ref="G23" authorId="0">
      <text>
        <t>S6 UNP 2Q26 earnings release | Condensed Consolidated Statements of Financial Position, Jun. 30, 2026 | 1,753</t>
      </text>
    </comment>
    <comment ref="C25" authorId="0">
      <text>
        <t>S3 UNP 3Q25 earnings release | Condensed Consolidated Statements of Financial Position, Sep. 30, 2025 | 17,304</t>
      </text>
    </comment>
    <comment ref="D25" authorId="0">
      <text>
        <t>S4 UNP 4Q25 earnings release | Condensed Consolidated Statements of Financial Position, Dec. 31, 2025 | 18,467</t>
      </text>
    </comment>
    <comment ref="F25" authorId="0">
      <text>
        <t>S5 UNP 1Q26 earnings release | Condensed Consolidated Statements of Financial Position, Mar. 31, 2026 | 19,418</t>
      </text>
    </comment>
    <comment ref="G25" authorId="0">
      <text>
        <t>S6 UNP 2Q26 earnings release | Condensed Consolidated Statements of Financial Position, Jun. 30, 2026 | 20,673</t>
      </text>
    </comment>
    <comment ref="C32" authorId="0">
      <text>
        <t>S7 UNP 3Q25 Form 10-Q | Reconciliation of cash, cash equivalents, and restricted cash | 17 + 5</t>
      </text>
    </comment>
    <comment ref="D32" authorId="0">
      <text>
        <t>S9 UNP FY2025 10-K | Cash, cash equivalents and restricted cash $1,280 less cash $1,266 | 14</t>
      </text>
    </comment>
    <comment ref="F32" authorId="0">
      <text>
        <t>S10 UNP 1Q26 Form 10-Q | Reconciliation of cash, cash equivalents, and restricted cash | 9 + 7</t>
      </text>
    </comment>
    <comment ref="G32" authorId="0">
      <text>
        <t>S8 UNP 2Q26 Form 10-Q | Reconciliation of cash, cash equivalents, and restricted cash | 2 + 7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0" authorId="0">
      <text>
        <t>S4 UNP 4Q25 earnings release (8-K Ex.99.1, 27-Jan-2026) | 2025 quarterly tables, 3rd Qtr | 592.4</t>
      </text>
    </comment>
    <comment ref="D10" authorId="0">
      <text>
        <t>S4 UNP 4Q25 earnings release (8-K Ex.99.1, 27-Jan-2026) | 4th Quarter 2025 column | 592.5</t>
      </text>
    </comment>
    <comment ref="E10" authorId="0">
      <text>
        <t>S4 UNP 4Q25 earnings release (8-K Ex.99.1, 27-Jan-2026) | Full Year 2025 column | 595</t>
      </text>
    </comment>
    <comment ref="F10" authorId="0">
      <text>
        <t>S5 UNP 1Q26 earnings release (8-K Ex.99.1, 23-Apr-2026) | 1st quarter 2026 column | 593</t>
      </text>
    </comment>
    <comment ref="G10" authorId="0">
      <text>
        <t>S6 UNP 2Q26 earnings release (8-K Ex.99.1, 23-Jul-2026) | 2nd quarter 2026 column | 593.4</t>
      </text>
    </comment>
    <comment ref="C16" authorId="0">
      <text>
        <t>S4 UNP 4Q25 earnings release (8-K Ex.99.1, 27-Jan-2026) | 2025 quarterly tables, 3rd Qtr | 593.2</t>
      </text>
    </comment>
    <comment ref="D16" authorId="0">
      <text>
        <t>S4 UNP 4Q25 earnings release (8-K Ex.99.1, 27-Jan-2026) | 4th Quarter 2025 column | 593.5</t>
      </text>
    </comment>
    <comment ref="E16" authorId="0">
      <text>
        <t>S4 UNP 4Q25 earnings release (8-K Ex.99.1, 27-Jan-2026) | Full Year 2025 column | 595.9</t>
      </text>
    </comment>
    <comment ref="F16" authorId="0">
      <text>
        <t>S5 UNP 1Q26 earnings release (8-K Ex.99.1, 23-Apr-2026) | 1st quarter 2026 column | 593.6</t>
      </text>
    </comment>
    <comment ref="G16" authorId="0">
      <text>
        <t>S6 UNP 2Q26 earnings release (8-K Ex.99.1, 23-Jul-2026) | 2nd quarter 2026 column | 594</t>
      </text>
    </comment>
    <comment ref="C20" authorId="0">
      <text>
        <t>S7 UNP 3Q25 Form 10-Q | Cover, as of October 17, 2025 | 593,160,889</t>
      </text>
    </comment>
    <comment ref="D20" authorId="0">
      <text>
        <t>S9 UNP FY2025 Form 10-K | Cover, as of January 30, 2026 | 593,391,460</t>
      </text>
    </comment>
    <comment ref="F20" authorId="0">
      <text>
        <t>S10 UNP 1Q26 Form 10-Q | Cover, as of April 17, 2026 | 593,713,213</t>
      </text>
    </comment>
    <comment ref="G20" authorId="0">
      <text>
        <t>S8 UNP 2Q26 Form 10-Q | Cover, as of July 17, 2026 | 594,075,498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E23" authorId="0">
      <text>
        <t>S12 Quartr summary of Laguna conference, 16-Sep-2026 | Financial impacts | Merger costs for the quarter reported at $20 million</t>
      </text>
    </comment>
    <comment ref="F23" authorId="0">
      <text>
        <t>S12 Quartr summary of Laguna conference, 16-Sep-2026 | Financial impacts | Merger costs for the quarter reported at $20 million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17" authorId="0">
      <text>
        <t>UNP_consensus.json | analyst_count | 21</t>
      </text>
    </comment>
    <comment ref="C18" authorId="0">
      <text>
        <t>UNP_consensus.json | consensus_eps | 3.47</t>
      </text>
    </comment>
    <comment ref="C20" authorId="0">
      <text>
        <t>UNP_consensus.json | consensus_revenue_m | 7117.07</t>
      </text>
    </comment>
    <comment ref="C40" authorId="0">
      <text>
        <t>UNP_consensus.json | summary_row.eps_normalized_estimates | 21</t>
      </text>
    </comment>
    <comment ref="C41" authorId="0">
      <text>
        <t>UNP_consensus.json | summary_row.eps_normalized_contributors | 21</t>
      </text>
    </comment>
    <comment ref="C43" authorId="0">
      <text>
        <t>UNP_consensus.json | summary_row.eps_normalized_mean | 3.47</t>
      </text>
    </comment>
    <comment ref="C44" authorId="0">
      <text>
        <t>UNP_consensus.json | summary_row.eps_normalized_median | 3.48</t>
      </text>
    </comment>
    <comment ref="C45" authorId="0">
      <text>
        <t>UNP_consensus.json | summary_row.eps_normalized_high | 3.59</t>
      </text>
    </comment>
    <comment ref="C46" authorId="0">
      <text>
        <t>UNP_consensus.json | summary_row.eps_normalized_low | 3.29</t>
      </text>
    </comment>
    <comment ref="C47" authorId="0">
      <text>
        <t>UNP_consensus.json | summary_row.eps_normalized_std_dev | 0.06</t>
      </text>
    </comment>
    <comment ref="C48" authorId="0">
      <text>
        <t>UNP_consensus.json | summary_row.eps_normalized_n_est | 21</t>
      </text>
    </comment>
    <comment ref="C52" authorId="0">
      <text>
        <t>UNP_consensus.json | summary_row.eps_gaap_mean | 3.43</t>
      </text>
    </comment>
    <comment ref="C53" authorId="0">
      <text>
        <t>UNP_consensus.json | summary_row.eps_gaap_median | 3.45</t>
      </text>
    </comment>
    <comment ref="C54" authorId="0">
      <text>
        <t>UNP_consensus.json | summary_row.eps_gaap_high | 3.53</t>
      </text>
    </comment>
    <comment ref="C55" authorId="0">
      <text>
        <t>UNP_consensus.json | summary_row.eps_gaap_low | 3.29</t>
      </text>
    </comment>
    <comment ref="C56" authorId="0">
      <text>
        <t>UNP_consensus.json | summary_row.eps_gaap_std_dev | 0.06</t>
      </text>
    </comment>
    <comment ref="C57" authorId="0">
      <text>
        <t>UNP_consensus.json | summary_row.eps_gaap_n_est | 13</t>
      </text>
    </comment>
    <comment ref="C61" authorId="0">
      <text>
        <t>UNP_consensus.json | summary_row.revenue_mean | 7117.07</t>
      </text>
    </comment>
    <comment ref="C62" authorId="0">
      <text>
        <t>UNP_consensus.json | summary_row.revenue_median | 7160.0</t>
      </text>
    </comment>
    <comment ref="C63" authorId="0">
      <text>
        <t>UNP_consensus.json | summary_row.revenue_high | 7314.4</t>
      </text>
    </comment>
    <comment ref="C64" authorId="0">
      <text>
        <t>UNP_consensus.json | summary_row.revenue_low | 6768.0</t>
      </text>
    </comment>
    <comment ref="C65" authorId="0">
      <text>
        <t>UNP_consensus.json | summary_row.revenue_std_dev | 130.78</t>
      </text>
    </comment>
    <comment ref="C66" authorId="0">
      <text>
        <t>UNP_consensus.json | summary_row.revenue_n_est | 19</t>
      </text>
    </comment>
    <comment ref="C70" authorId="0">
      <text>
        <t>UNP_consensus.json | summary_row.ebitda | 3579.76</t>
      </text>
    </comment>
    <comment ref="C71" authorId="0">
      <text>
        <t>UNP_consensus.json | summary_row.ebit | 2912.29</t>
      </text>
    </comment>
    <comment ref="C72" authorId="0">
      <text>
        <t>UNP_consensus.json | summary_row.ebt_excl_excep | 2698.91</t>
      </text>
    </comment>
    <comment ref="C73" authorId="0">
      <text>
        <t>UNP_consensus.json | summary_row.ebt_gaap | 2685.4</t>
      </text>
    </comment>
    <comment ref="C74" authorId="0">
      <text>
        <t>UNP_consensus.json | summary_row.net_income_excl_excep | 2055.59</t>
      </text>
    </comment>
    <comment ref="C75" authorId="0">
      <text>
        <t>UNP_consensus.json | summary_row.net_income_gaap | 2047.36</t>
      </text>
    </comment>
    <comment ref="C78" authorId="0">
      <text>
        <t>UNP_consensus.json | summary_row.d_and_a | 641.18</t>
      </text>
    </comment>
    <comment ref="C82" authorId="0">
      <text>
        <t>UNP_consensus.json | summary_row.interest_expense | -309.27</t>
      </text>
    </comment>
    <comment ref="C83" authorId="0">
      <text>
        <t>UNP_consensus.json | summary_row.net_debt | 27454.0</t>
      </text>
    </comment>
    <comment ref="C86" authorId="0">
      <text>
        <t>UNP_consensus.json | summary_row.target_price_mean | 327.63</t>
      </text>
    </comment>
    <comment ref="C87" authorId="0">
      <text>
        <t>UNP_consensus.json | summary_row.target_price_median | 334.0</t>
      </text>
    </comment>
    <comment ref="C88" authorId="0">
      <text>
        <t>UNP_consensus.json | summary_row.target_price_high | 375.0</t>
      </text>
    </comment>
    <comment ref="C89" authorId="0">
      <text>
        <t>UNP_consensus.json | summary_row.target_price_low | 245.0</t>
      </text>
    </comment>
    <comment ref="C90" authorId="0">
      <text>
        <t>UNP_consensus.json | summary_row.target_price_std_dev | 28.69</t>
      </text>
    </comment>
    <comment ref="C91" authorId="0">
      <text>
        <t>UNP_consensus.json | summary_row.target_price_n_est | 24</t>
      </text>
    </comment>
    <comment ref="C93" authorId="0">
      <text>
        <t>UNP_consensus.json | summary_row.recommendation_score | 1.72</t>
      </text>
    </comment>
    <comment ref="C94" authorId="0">
      <text>
        <t>UNP_consensus.json | summary_row.last_close_price | 289.04</t>
      </text>
    </comment>
    <comment ref="D102" authorId="0">
      <text>
        <t>UNP_history.csv | row 2 eps_normalized_consensus | 2.73</t>
      </text>
    </comment>
    <comment ref="E102" authorId="0">
      <text>
        <t>UNP_history.csv | row 2 eps_normalized_actual | 2.7</t>
      </text>
    </comment>
    <comment ref="F102" authorId="0">
      <text>
        <t>UNP_history.csv | row 2 eps_gaap_consensus | 2.74</t>
      </text>
    </comment>
    <comment ref="G102" authorId="0">
      <text>
        <t>UNP_history.csv | row 2 eps_gaap_actual | 2.7</t>
      </text>
    </comment>
    <comment ref="H102" authorId="0">
      <text>
        <t>UNP_history.csv | row 2 revenue_m_consensus | 6074.31</t>
      </text>
    </comment>
    <comment ref="I102" authorId="0">
      <text>
        <t>UNP_history.csv | row 2 revenue_m_actual | 6027.0</t>
      </text>
    </comment>
    <comment ref="D103" authorId="0">
      <text>
        <t>UNP_history.csv | row 3 eps_normalized_consensus | 2.91</t>
      </text>
    </comment>
    <comment ref="E103" authorId="0">
      <text>
        <t>UNP_history.csv | row 3 eps_normalized_actual | 3.03</t>
      </text>
    </comment>
    <comment ref="F103" authorId="0">
      <text>
        <t>UNP_history.csv | row 3 eps_gaap_consensus | 2.91</t>
      </text>
    </comment>
    <comment ref="G103" authorId="0">
      <text>
        <t>UNP_history.csv | row 3 eps_gaap_actual | 3.15</t>
      </text>
    </comment>
    <comment ref="H103" authorId="0">
      <text>
        <t>UNP_history.csv | row 3 revenue_m_consensus | 6167.62</t>
      </text>
    </comment>
    <comment ref="I103" authorId="0">
      <text>
        <t>UNP_history.csv | row 3 revenue_m_actual | 6154.0</t>
      </text>
    </comment>
    <comment ref="D104" authorId="0">
      <text>
        <t>UNP_history.csv | row 4 eps_normalized_consensus | 3.0</t>
      </text>
    </comment>
    <comment ref="E104" authorId="0">
      <text>
        <t>UNP_history.csv | row 4 eps_normalized_actual | 3.08</t>
      </text>
    </comment>
    <comment ref="F104" authorId="0">
      <text>
        <t>UNP_history.csv | row 4 eps_gaap_consensus | 2.98</t>
      </text>
    </comment>
    <comment ref="G104" authorId="0">
      <text>
        <t>UNP_history.csv | row 4 eps_gaap_actual | 3.01</t>
      </text>
    </comment>
    <comment ref="H104" authorId="0">
      <text>
        <t>UNP_history.csv | row 4 revenue_m_consensus | 6250.43</t>
      </text>
    </comment>
    <comment ref="I104" authorId="0">
      <text>
        <t>UNP_history.csv | row 4 revenue_m_actual | 6244.0</t>
      </text>
    </comment>
    <comment ref="D105" authorId="0">
      <text>
        <t>UNP_history.csv | row 5 eps_normalized_consensus | 2.87</t>
      </text>
    </comment>
    <comment ref="E105" authorId="0">
      <text>
        <t>UNP_history.csv | row 5 eps_normalized_actual | 2.86</t>
      </text>
    </comment>
    <comment ref="F105" authorId="0">
      <text>
        <t>UNP_history.csv | row 5 eps_gaap_consensus | 2.86</t>
      </text>
    </comment>
    <comment ref="G105" authorId="0">
      <text>
        <t>UNP_history.csv | row 5 eps_gaap_actual | 3.11</t>
      </text>
    </comment>
    <comment ref="H105" authorId="0">
      <text>
        <t>UNP_history.csv | row 5 revenue_m_consensus | 6121.01</t>
      </text>
    </comment>
    <comment ref="I105" authorId="0">
      <text>
        <t>UNP_history.csv | row 5 revenue_m_actual | 6085.0</t>
      </text>
    </comment>
    <comment ref="D106" authorId="0">
      <text>
        <t>UNP_history.csv | row 6 eps_normalized_consensus | 2.86</t>
      </text>
    </comment>
    <comment ref="E106" authorId="0">
      <text>
        <t>UNP_history.csv | row 6 eps_normalized_actual | 2.93</t>
      </text>
    </comment>
    <comment ref="F106" authorId="0">
      <text>
        <t>UNP_history.csv | row 6 eps_gaap_consensus | 2.86</t>
      </text>
    </comment>
    <comment ref="G106" authorId="0">
      <text>
        <t>UNP_history.csv | row 6 eps_gaap_actual | 2.87</t>
      </text>
    </comment>
    <comment ref="H106" authorId="0">
      <text>
        <t>UNP_history.csv | row 6 revenue_m_consensus | 6225.48</t>
      </text>
    </comment>
    <comment ref="I106" authorId="0">
      <text>
        <t>UNP_history.csv | row 6 revenue_m_actual | 6217.0</t>
      </text>
    </comment>
    <comment ref="D107" authorId="0">
      <text>
        <t>UNP_history.csv | row 7 eps_normalized_consensus | 3.24</t>
      </text>
    </comment>
    <comment ref="E107" authorId="0">
      <text>
        <t>UNP_history.csv | row 7 eps_normalized_actual | 3.41</t>
      </text>
    </comment>
    <comment ref="F107" authorId="0">
      <text>
        <t>UNP_history.csv | row 7 eps_gaap_consensus | 3.2</t>
      </text>
    </comment>
    <comment ref="G107" authorId="0">
      <text>
        <t>UNP_history.csv | row 7 eps_gaap_actual | 3.36</t>
      </text>
    </comment>
    <comment ref="H107" authorId="0">
      <text>
        <t>UNP_history.csv | row 7 revenue_m_consensus | 6712.8</t>
      </text>
    </comment>
    <comment ref="I107" authorId="0">
      <text>
        <t>UNP_history.csv | row 7 revenue_m_actual | 6864.0</t>
      </text>
    </comment>
    <comment ref="C112" authorId="0">
      <text>
        <t>S3 UNP 3Q25 earnings release (8-K Ex.99.1, 23-Oct-2025) | 3rd quarter 2024 column | 923</t>
      </text>
    </comment>
    <comment ref="D112" authorId="0">
      <text>
        <t>S4 UNP 4Q25 earnings release (8-K Ex.99.1, 27-Jan-2026) | 4th Quarter 2024 column | 1,061</t>
      </text>
    </comment>
    <comment ref="E112" authorId="0">
      <text>
        <t>S4 UNP 4Q25 earnings release (8-K Ex.99.1, 27-Jan-2026) | Full Year 2024 column | 3,828</t>
      </text>
    </comment>
    <comment ref="F112" authorId="0">
      <text>
        <t>S4 UNP 4Q25 earnings release (8-K Ex.99.1, 27-Jan-2026) | 2025 quarterly tables, 1st Qtr | 950</t>
      </text>
    </comment>
    <comment ref="G112" authorId="0">
      <text>
        <t>S4 UNP 4Q25 earnings release (8-K Ex.99.1, 27-Jan-2026) | 2025 quarterly tables, 2nd Qtr | 964</t>
      </text>
    </comment>
    <comment ref="C113" authorId="0">
      <text>
        <t>S3 UNP 3Q25 earnings release (8-K Ex.99.1, 23-Oct-2025) | 3rd quarter 2024 column | 208</t>
      </text>
    </comment>
    <comment ref="D113" authorId="0">
      <text>
        <t>S4 UNP 4Q25 earnings release (8-K Ex.99.1, 27-Jan-2026) | 4th Quarter 2024 column | 199</t>
      </text>
    </comment>
    <comment ref="E113" authorId="0">
      <text>
        <t>S4 UNP 4Q25 earnings release (8-K Ex.99.1, 27-Jan-2026) | Full Year 2024 column | 811</t>
      </text>
    </comment>
    <comment ref="F113" authorId="0">
      <text>
        <t>S4 UNP 4Q25 earnings release (8-K Ex.99.1, 27-Jan-2026) | 2025 quarterly tables, 1st Qtr | 210</t>
      </text>
    </comment>
    <comment ref="G113" authorId="0">
      <text>
        <t>S4 UNP 4Q25 earnings release (8-K Ex.99.1, 27-Jan-2026) | 2025 quarterly tables, 2nd Qtr | 201</t>
      </text>
    </comment>
    <comment ref="C114" authorId="0">
      <text>
        <t>S3 UNP 3Q25 earnings release (8-K Ex.99.1, 23-Oct-2025) | 3rd quarter 2024 column | 269</t>
      </text>
    </comment>
    <comment ref="D114" authorId="0">
      <text>
        <t>S4 UNP 4Q25 earnings release (8-K Ex.99.1, 27-Jan-2026) | 4th Quarter 2024 column | 253</t>
      </text>
    </comment>
    <comment ref="E114" authorId="0">
      <text>
        <t>S4 UNP 4Q25 earnings release (8-K Ex.99.1, 27-Jan-2026) | Full Year 2024 column | 1,085</t>
      </text>
    </comment>
    <comment ref="F114" authorId="0">
      <text>
        <t>S4 UNP 4Q25 earnings release (8-K Ex.99.1, 27-Jan-2026) | 2025 quarterly tables, 1st Qtr | 260</t>
      </text>
    </comment>
    <comment ref="G114" authorId="0">
      <text>
        <t>S4 UNP 4Q25 earnings release (8-K Ex.99.1, 27-Jan-2026) | 2025 quarterly tables, 2nd Qtr | 267</t>
      </text>
    </comment>
    <comment ref="C115" authorId="0">
      <text>
        <t>S3 UNP 3Q25 earnings release (8-K Ex.99.1, 23-Oct-2025) | 3rd quarter 2024 column | 405</t>
      </text>
    </comment>
    <comment ref="D115" authorId="0">
      <text>
        <t>S4 UNP 4Q25 earnings release (8-K Ex.99.1, 27-Jan-2026) | 4th Quarter 2024 column | 351</t>
      </text>
    </comment>
    <comment ref="E115" authorId="0">
      <text>
        <t>S4 UNP 4Q25 earnings release (8-K Ex.99.1, 27-Jan-2026) | Full Year 2024 column | 1,483</t>
      </text>
    </comment>
    <comment ref="F115" authorId="0">
      <text>
        <t>S4 UNP 4Q25 earnings release (8-K Ex.99.1, 27-Jan-2026) | 2025 quarterly tables, 1st Qtr | 416</t>
      </text>
    </comment>
    <comment ref="G115" authorId="0">
      <text>
        <t>S4 UNP 4Q25 earnings release (8-K Ex.99.1, 27-Jan-2026) | 2025 quarterly tables, 2nd Qtr | 469</t>
      </text>
    </comment>
    <comment ref="C116" authorId="0">
      <text>
        <t>S3 UNP 3Q25 earnings release (8-K Ex.99.1, 23-Oct-2025) | 3rd quarter 2024 column | 598</t>
      </text>
    </comment>
    <comment ref="D116" authorId="0">
      <text>
        <t>S4 UNP 4Q25 earnings release (8-K Ex.99.1, 27-Jan-2026) | 4th Quarter 2024 column | 582</t>
      </text>
    </comment>
    <comment ref="E116" authorId="0">
      <text>
        <t>S4 UNP 4Q25 earnings release (8-K Ex.99.1, 27-Jan-2026) | Full Year 2024 column | 2,345</t>
      </text>
    </comment>
    <comment ref="F116" authorId="0">
      <text>
        <t>S4 UNP 4Q25 earnings release (8-K Ex.99.1, 27-Jan-2026) | 2025 quarterly tables, 1st Qtr | 607</t>
      </text>
    </comment>
    <comment ref="G116" authorId="0">
      <text>
        <t>S4 UNP 4Q25 earnings release (8-K Ex.99.1, 27-Jan-2026) | 2025 quarterly tables, 2nd Qtr | 646</t>
      </text>
    </comment>
    <comment ref="C117" authorId="0">
      <text>
        <t>S3 UNP 3Q25 earnings release (8-K Ex.99.1, 23-Oct-2025) | 3rd quarter 2024 column | 529</t>
      </text>
    </comment>
    <comment ref="D117" authorId="0">
      <text>
        <t>S4 UNP 4Q25 earnings release (8-K Ex.99.1, 27-Jan-2026) | 4th Quarter 2024 column | 507</t>
      </text>
    </comment>
    <comment ref="E117" authorId="0">
      <text>
        <t>S4 UNP 4Q25 earnings release (8-K Ex.99.1, 27-Jan-2026) | Full Year 2024 column | 2,081</t>
      </text>
    </comment>
    <comment ref="F117" authorId="0">
      <text>
        <t>S4 UNP 4Q25 earnings release (8-K Ex.99.1, 27-Jan-2026) | 2025 quarterly tables, 1st Qtr | 521</t>
      </text>
    </comment>
    <comment ref="G117" authorId="0">
      <text>
        <t>S4 UNP 4Q25 earnings release (8-K Ex.99.1, 27-Jan-2026) | 2025 quarterly tables, 2nd Qtr | 561</t>
      </text>
    </comment>
    <comment ref="C118" authorId="0">
      <text>
        <t>S3 UNP 3Q25 earnings release (8-K Ex.99.1, 23-Oct-2025) | 3rd quarter 2024 column | 322</t>
      </text>
    </comment>
    <comment ref="D118" authorId="0">
      <text>
        <t>S4 UNP 4Q25 earnings release (8-K Ex.99.1, 27-Jan-2026) | 4th Quarter 2024 column | 324</t>
      </text>
    </comment>
    <comment ref="E118" authorId="0">
      <text>
        <t>S4 UNP 4Q25 earnings release (8-K Ex.99.1, 27-Jan-2026) | Full Year 2024 column | 1,326</t>
      </text>
    </comment>
    <comment ref="F118" authorId="0">
      <text>
        <t>S4 UNP 4Q25 earnings release (8-K Ex.99.1, 27-Jan-2026) | 2025 quarterly tables, 1st Qtr | 321</t>
      </text>
    </comment>
    <comment ref="G118" authorId="0">
      <text>
        <t>S4 UNP 4Q25 earnings release (8-K Ex.99.1, 27-Jan-2026) | 2025 quarterly tables, 2nd Qtr | 340</t>
      </text>
    </comment>
    <comment ref="C119" authorId="0">
      <text>
        <t>S3 UNP 3Q25 earnings release (8-K Ex.99.1, 23-Oct-2025) | 3rd quarter 2024 column | 672</t>
      </text>
    </comment>
    <comment ref="D119" authorId="0">
      <text>
        <t>S4 UNP 4Q25 earnings release (8-K Ex.99.1, 27-Jan-2026) | 4th Quarter 2024 column | 679</t>
      </text>
    </comment>
    <comment ref="E119" authorId="0">
      <text>
        <t>S4 UNP 4Q25 earnings release (8-K Ex.99.1, 27-Jan-2026) | Full Year 2024 column | 2,688</t>
      </text>
    </comment>
    <comment ref="F119" authorId="0">
      <text>
        <t>S4 UNP 4Q25 earnings release (8-K Ex.99.1, 27-Jan-2026) | 2025 quarterly tables, 1st Qtr | 633</t>
      </text>
    </comment>
    <comment ref="G119" authorId="0">
      <text>
        <t>S4 UNP 4Q25 earnings release (8-K Ex.99.1, 27-Jan-2026) | 2025 quarterly tables, 2nd Qtr | 665</t>
      </text>
    </comment>
    <comment ref="C120" authorId="0">
      <text>
        <t>S3 UNP 3Q25 earnings release (8-K Ex.99.1, 23-Oct-2025) | 3rd quarter 2024 column | 601</t>
      </text>
    </comment>
    <comment ref="D120" authorId="0">
      <text>
        <t>S4 UNP 4Q25 earnings release (8-K Ex.99.1, 27-Jan-2026) | 4th Quarter 2024 column | 581</t>
      </text>
    </comment>
    <comment ref="E120" authorId="0">
      <text>
        <t>S4 UNP 4Q25 earnings release (8-K Ex.99.1, 27-Jan-2026) | Full Year 2024 column | 2,452</t>
      </text>
    </comment>
    <comment ref="F120" authorId="0">
      <text>
        <t>S4 UNP 4Q25 earnings release (8-K Ex.99.1, 27-Jan-2026) | 2025 quarterly tables, 1st Qtr | 581</t>
      </text>
    </comment>
    <comment ref="G120" authorId="0">
      <text>
        <t>S4 UNP 4Q25 earnings release (8-K Ex.99.1, 27-Jan-2026) | 2025 quarterly tables, 2nd Qtr | 632</t>
      </text>
    </comment>
    <comment ref="C121" authorId="0">
      <text>
        <t>S3 UNP 3Q25 earnings release (8-K Ex.99.1, 23-Oct-2025) | 3rd quarter 2024 column | 1,241</t>
      </text>
    </comment>
    <comment ref="D121" authorId="0">
      <text>
        <t>S4 UNP 4Q25 earnings release (8-K Ex.99.1, 27-Jan-2026) | 4th Quarter 2024 column | 1,252</t>
      </text>
    </comment>
    <comment ref="E121" authorId="0">
      <text>
        <t>S4 UNP 4Q25 earnings release (8-K Ex.99.1, 27-Jan-2026) | Full Year 2024 column | 4,712</t>
      </text>
    </comment>
    <comment ref="F121" authorId="0">
      <text>
        <t>S4 UNP 4Q25 earnings release (8-K Ex.99.1, 27-Jan-2026) | 2025 quarterly tables, 1st Qtr | 1,192</t>
      </text>
    </comment>
    <comment ref="G121" authorId="0">
      <text>
        <t>S4 UNP 4Q25 earnings release (8-K Ex.99.1, 27-Jan-2026) | 2025 quarterly tables, 2nd Qtr | 1,098</t>
      </text>
    </comment>
    <comment ref="C126" authorId="0">
      <text>
        <t>S3 UNP 3Q25 earnings release (8-K Ex.99.1, 23-Oct-2025) | 3rd quarter 2024 column | 323</t>
      </text>
    </comment>
    <comment ref="D126" authorId="0">
      <text>
        <t>S4 UNP 4Q25 earnings release (8-K Ex.99.1, 27-Jan-2026) | 4th Quarter 2024 column | 332</t>
      </text>
    </comment>
    <comment ref="E126" authorId="0">
      <text>
        <t>S4 UNP 4Q25 earnings release (8-K Ex.99.1, 27-Jan-2026) | Full Year 2024 column | 1,439</t>
      </text>
    </comment>
    <comment ref="F126" authorId="0">
      <text>
        <t>S4 UNP 4Q25 earnings release (8-K Ex.99.1, 27-Jan-2026) | 2025 quarterly tables, 1st Qtr | 336</t>
      </text>
    </comment>
    <comment ref="G126" authorId="0">
      <text>
        <t>S4 UNP 4Q25 earnings release (8-K Ex.99.1, 27-Jan-2026) | 2025 quarterly tables, 2nd Qtr | 311</t>
      </text>
    </comment>
    <comment ref="C128" authorId="0">
      <text>
        <t>S13 UNP 3Q25 earnings presentation (23-Oct-2025) | Third Quarter Income Statement, Fuel Surcharge 2024 | 635</t>
      </text>
    </comment>
    <comment ref="D128" authorId="0">
      <text>
        <t>S14 UNP 4Q25 earnings presentation (27-Jan-2026) | Fourth Quarter Income Statement, Fuel Surcharge 2024 | 588</t>
      </text>
    </comment>
    <comment ref="F128" authorId="0">
      <text>
        <t>S15 UNP 1Q26 earnings presentation (23-Apr-2026) | First Quarter Income Statement, Fuel Surcharge 2025 | 565</t>
      </text>
    </comment>
    <comment ref="G128" authorId="0">
      <text>
        <t>S16 UNP 2Q26 earnings presentation (23-Jul-2026) | Second Quarter Income Statement, Fuel Surcharge 2025 | 569</t>
      </text>
    </comment>
    <comment ref="C129" authorId="0">
      <text>
        <t>S17 EIA weekly U.S. on-highway diesel (weeklydiesel.com 2024/2025 tables) | quarter/annual average | 3.6892</t>
      </text>
    </comment>
    <comment ref="D129" authorId="0">
      <text>
        <t>S17 EIA weekly U.S. on-highway diesel (weeklydiesel.com 2024/2025 tables) | quarter/annual average | 3.5337</t>
      </text>
    </comment>
    <comment ref="E129" authorId="0">
      <text>
        <t>S17 EIA weekly U.S. on-highway diesel (weeklydiesel.com 2024/2025 tables) | quarter/annual average | 3.760</t>
      </text>
    </comment>
    <comment ref="F129" authorId="0">
      <text>
        <t>S17 EIA weekly U.S. on-highway diesel (weeklydiesel.com 2024/2025 tables) | quarter/annual average | 3.6313</t>
      </text>
    </comment>
    <comment ref="G129" authorId="0">
      <text>
        <t>S17 EIA weekly U.S. on-highway diesel (weeklydiesel.com 2024/2025 tables) | quarter/annual average | 3.5548</t>
      </text>
    </comment>
    <comment ref="C130" authorId="0">
      <text>
        <t>S17 EIA weekly U.S. on-highway diesel (weeklydiesel.com 2024/2025 tables) | avg of months t-2 | 3.7848</t>
      </text>
    </comment>
    <comment ref="D130" authorId="0">
      <text>
        <t>S17 EIA weekly U.S. on-highway diesel (weeklydiesel.com 2024/2025 tables) | avg of months t-2 | 3.6142</t>
      </text>
    </comment>
    <comment ref="F130" authorId="0">
      <text>
        <t>S17 EIA weekly U.S. on-highway diesel (weeklydiesel.com 2024/2025 tables) | avg of months t-2 | 3.5501</t>
      </text>
    </comment>
    <comment ref="G130" authorId="0">
      <text>
        <t>S17 EIA weekly U.S. on-highway diesel (weeklydiesel.com 2024/2025 tables) | avg of months t-2 | 3.6088</t>
      </text>
    </comment>
    <comment ref="C131" authorId="0">
      <text>
        <t>S17 EIA weekly U.S. on-highway diesel (weeklydiesel.com 2024/2025 tables) | avg of 0- and 1-month lagged quarter averages | 3.7165</t>
      </text>
    </comment>
    <comment ref="D131" authorId="0">
      <text>
        <t>S17 EIA weekly U.S. on-highway diesel (weeklydiesel.com 2024/2025 tables) | avg of 0- and 1-month lagged quarter averages | 3.5443</t>
      </text>
    </comment>
    <comment ref="F131" authorId="0">
      <text>
        <t>S17 EIA weekly U.S. on-highway diesel (weeklydiesel.com 2024/2025 tables) | avg of 0- and 1-month lagged quarter averages | 3.6162</t>
      </text>
    </comment>
    <comment ref="G131" authorId="0">
      <text>
        <t>S17 EIA weekly U.S. on-highway diesel (weeklydiesel.com 2024/2025 tables) | avg of 0- and 1-month lagged quarter averages | 3.5525</t>
      </text>
    </comment>
    <comment ref="C132" authorId="0">
      <text>
        <t>S9 UNP FY2025 10-K | merger agreement dated 28-Jul-2025; no 2024 costs | 0</t>
      </text>
    </comment>
    <comment ref="D132" authorId="0">
      <text>
        <t>S9 UNP FY2025 10-K | no 2024 costs | 0</t>
      </text>
    </comment>
    <comment ref="E132" authorId="0">
      <text>
        <t>S9 UNP FY2025 10-K | no 2024 costs | 0</t>
      </text>
    </comment>
    <comment ref="F132" authorId="0">
      <text>
        <t>S10 UNP 1Q26 10-Q | Note 18 acquisition-related expense, 2025 column | -</t>
      </text>
    </comment>
    <comment ref="G132" authorId="0">
      <text>
        <t>S8 UNP 2Q26 10-Q | Note 18 acquisition-related expense, three months 2025 | 1</t>
      </text>
    </comment>
    <comment ref="C133" authorId="0">
      <text>
        <t>S3 UNP 3Q25 release | 3Q24 reported (no 3Q24 adjustments) | 2,416</t>
      </text>
    </comment>
    <comment ref="D133" authorId="0">
      <text>
        <t>S4 UNP 4Q25 release | Non-GAAP 4Q24 adjusted operating income | 2,565</t>
      </text>
    </comment>
    <comment ref="E133" authorId="0">
      <text>
        <t>S4 UNP 4Q25 release | Non-GAAP FY2024 adjusted operating income | 9,730</t>
      </text>
    </comment>
    <comment ref="F133" authorId="0">
      <text>
        <t>S4 UNP 4Q25 release | 1Q25 reported (no adjustments) | 2,371</t>
      </text>
    </comment>
    <comment ref="G133" authorId="0">
      <text>
        <t>S6 UNP 2Q26 release | Non-GAAP 2Q25 adjusted operating income | 2,580</t>
      </text>
    </comment>
    <comment ref="D134" authorId="0">
      <text>
        <t>S4 UNP 4Q25 release | Debt / net income table, 2024 debt | $31,192</t>
      </text>
    </comment>
    <comment ref="E134" authorId="0">
      <text>
        <t>S4 UNP 4Q25 release | Debt / net income table, 2024 debt | $31,192</t>
      </text>
    </comment>
    <comment ref="C136" authorId="0">
      <text>
        <t>S3 UNP 3Q25 earnings release (8-K Ex.99.1, 23-Oct-2025) | 3rd quarter 2024 column | 206</t>
      </text>
    </comment>
    <comment ref="D136" authorId="0">
      <text>
        <t>S4 UNP 4Q25 earnings release (8-K Ex.99.1, 27-Jan-2026) | 4th Quarter 2024 column | 234</t>
      </text>
    </comment>
    <comment ref="E136" authorId="0">
      <text>
        <t>S4 UNP 4Q25 earnings release (8-K Ex.99.1, 27-Jan-2026) | Full Year 2024 column | 850</t>
      </text>
    </comment>
    <comment ref="F136" authorId="0">
      <text>
        <t>S4 UNP 4Q25 earnings release (8-K Ex.99.1, 27-Jan-2026) | 2025 quarterly tables, 1st Qtr | 214</t>
      </text>
    </comment>
    <comment ref="G136" authorId="0">
      <text>
        <t>S4 UNP 4Q25 earnings release (8-K Ex.99.1, 27-Jan-2026) | 2025 quarterly tables, 2nd Qtr | 216</t>
      </text>
    </comment>
    <comment ref="C137" authorId="0">
      <text>
        <t>S3 UNP 3Q25 earnings release (8-K Ex.99.1, 23-Oct-2025) | 3rd quarter 2024 column | 53</t>
      </text>
    </comment>
    <comment ref="D137" authorId="0">
      <text>
        <t>S4 UNP 4Q25 earnings release (8-K Ex.99.1, 27-Jan-2026) | 4th Quarter 2024 column | 51</t>
      </text>
    </comment>
    <comment ref="E137" authorId="0">
      <text>
        <t>S4 UNP 4Q25 earnings release (8-K Ex.99.1, 27-Jan-2026) | Full Year 2024 column | 213</t>
      </text>
    </comment>
    <comment ref="F137" authorId="0">
      <text>
        <t>S4 UNP 4Q25 earnings release (8-K Ex.99.1, 27-Jan-2026) | 2025 quarterly tables, 1st Qtr | 49</t>
      </text>
    </comment>
    <comment ref="G137" authorId="0">
      <text>
        <t>S4 UNP 4Q25 earnings release (8-K Ex.99.1, 27-Jan-2026) | 2025 quarterly tables, 2nd Qtr | 55</t>
      </text>
    </comment>
    <comment ref="C138" authorId="0">
      <text>
        <t>S3 UNP 3Q25 earnings release (8-K Ex.99.1, 23-Oct-2025) | 3rd quarter 2024 column | 45</t>
      </text>
    </comment>
    <comment ref="D138" authorId="0">
      <text>
        <t>S4 UNP 4Q25 earnings release (8-K Ex.99.1, 27-Jan-2026) | 4th Quarter 2024 column | 40</t>
      </text>
    </comment>
    <comment ref="E138" authorId="0">
      <text>
        <t>S4 UNP 4Q25 earnings release (8-K Ex.99.1, 27-Jan-2026) | Full Year 2024 column | 177</t>
      </text>
    </comment>
    <comment ref="F138" authorId="0">
      <text>
        <t>S4 UNP 4Q25 earnings release (8-K Ex.99.1, 27-Jan-2026) | 2025 quarterly tables, 1st Qtr | 43</t>
      </text>
    </comment>
    <comment ref="G138" authorId="0">
      <text>
        <t>S4 UNP 4Q25 earnings release (8-K Ex.99.1, 27-Jan-2026) | 2025 quarterly tables, 2nd Qtr | 43</t>
      </text>
    </comment>
    <comment ref="C139" authorId="0">
      <text>
        <t>S3 UNP 3Q25 earnings release (8-K Ex.99.1, 23-Oct-2025) | 3rd quarter 2024 column | 192</t>
      </text>
    </comment>
    <comment ref="D139" authorId="0">
      <text>
        <t>S4 UNP 4Q25 earnings release (8-K Ex.99.1, 27-Jan-2026) | 4th Quarter 2024 column | 175</t>
      </text>
    </comment>
    <comment ref="E139" authorId="0">
      <text>
        <t>S4 UNP 4Q25 earnings release (8-K Ex.99.1, 27-Jan-2026) | Full Year 2024 column | 702</t>
      </text>
    </comment>
    <comment ref="F139" authorId="0">
      <text>
        <t>S4 UNP 4Q25 earnings release (8-K Ex.99.1, 27-Jan-2026) | 2025 quarterly tables, 1st Qtr | 185</t>
      </text>
    </comment>
    <comment ref="G139" authorId="0">
      <text>
        <t>S4 UNP 4Q25 earnings release (8-K Ex.99.1, 27-Jan-2026) | 2025 quarterly tables, 2nd Qtr | 205</t>
      </text>
    </comment>
    <comment ref="C140" authorId="0">
      <text>
        <t>S3 UNP 3Q25 earnings release (8-K Ex.99.1, 23-Oct-2025) | 3rd quarter 2024 column | 169</t>
      </text>
    </comment>
    <comment ref="D140" authorId="0">
      <text>
        <t>S4 UNP 4Q25 earnings release (8-K Ex.99.1, 27-Jan-2026) | 4th Quarter 2024 column | 170</t>
      </text>
    </comment>
    <comment ref="E140" authorId="0">
      <text>
        <t>S4 UNP 4Q25 earnings release (8-K Ex.99.1, 27-Jan-2026) | Full Year 2024 column | 672</t>
      </text>
    </comment>
    <comment ref="F140" authorId="0">
      <text>
        <t>S4 UNP 4Q25 earnings release (8-K Ex.99.1, 27-Jan-2026) | 2025 quarterly tables, 1st Qtr | 169</t>
      </text>
    </comment>
    <comment ref="G140" authorId="0">
      <text>
        <t>S4 UNP 4Q25 earnings release (8-K Ex.99.1, 27-Jan-2026) | 2025 quarterly tables, 2nd Qtr | 177</t>
      </text>
    </comment>
    <comment ref="C141" authorId="0">
      <text>
        <t>S3 UNP 3Q25 earnings release (8-K Ex.99.1, 23-Oct-2025) | 3rd quarter 2024 column | 186</t>
      </text>
    </comment>
    <comment ref="D141" authorId="0">
      <text>
        <t>S4 UNP 4Q25 earnings release (8-K Ex.99.1, 27-Jan-2026) | 4th Quarter 2024 column | 179</t>
      </text>
    </comment>
    <comment ref="E141" authorId="0">
      <text>
        <t>S4 UNP 4Q25 earnings release (8-K Ex.99.1, 27-Jan-2026) | Full Year 2024 column | 719</t>
      </text>
    </comment>
    <comment ref="F141" authorId="0">
      <text>
        <t>S4 UNP 4Q25 earnings release (8-K Ex.99.1, 27-Jan-2026) | 2025 quarterly tables, 1st Qtr | 174</t>
      </text>
    </comment>
    <comment ref="G141" authorId="0">
      <text>
        <t>S4 UNP 4Q25 earnings release (8-K Ex.99.1, 27-Jan-2026) | 2025 quarterly tables, 2nd Qtr | 191</t>
      </text>
    </comment>
    <comment ref="C142" authorId="0">
      <text>
        <t>S3 UNP 3Q25 earnings release (8-K Ex.99.1, 23-Oct-2025) | 3rd quarter 2024 column | 53</t>
      </text>
    </comment>
    <comment ref="D142" authorId="0">
      <text>
        <t>S4 UNP 4Q25 earnings release (8-K Ex.99.1, 27-Jan-2026) | 4th Quarter 2024 column | 52</t>
      </text>
    </comment>
    <comment ref="E142" authorId="0">
      <text>
        <t>S4 UNP 4Q25 earnings release (8-K Ex.99.1, 27-Jan-2026) | Full Year 2024 column | 213</t>
      </text>
    </comment>
    <comment ref="F142" authorId="0">
      <text>
        <t>S4 UNP 4Q25 earnings release (8-K Ex.99.1, 27-Jan-2026) | 2025 quarterly tables, 1st Qtr | 51</t>
      </text>
    </comment>
    <comment ref="G142" authorId="0">
      <text>
        <t>S4 UNP 4Q25 earnings release (8-K Ex.99.1, 27-Jan-2026) | 2025 quarterly tables, 2nd Qtr | 52</t>
      </text>
    </comment>
    <comment ref="C143" authorId="0">
      <text>
        <t>S3 UNP 3Q25 earnings release (8-K Ex.99.1, 23-Oct-2025) | 3rd quarter 2024 column | 152</t>
      </text>
    </comment>
    <comment ref="D143" authorId="0">
      <text>
        <t>S4 UNP 4Q25 earnings release (8-K Ex.99.1, 27-Jan-2026) | 4th Quarter 2024 column | 154</t>
      </text>
    </comment>
    <comment ref="E143" authorId="0">
      <text>
        <t>S4 UNP 4Q25 earnings release (8-K Ex.99.1, 27-Jan-2026) | Full Year 2024 column | 607</t>
      </text>
    </comment>
    <comment ref="F143" authorId="0">
      <text>
        <t>S4 UNP 4Q25 earnings release (8-K Ex.99.1, 27-Jan-2026) | 2025 quarterly tables, 1st Qtr | 143</t>
      </text>
    </comment>
    <comment ref="G143" authorId="0">
      <text>
        <t>S4 UNP 4Q25 earnings release (8-K Ex.99.1, 27-Jan-2026) | 2025 quarterly tables, 2nd Qtr | 149</t>
      </text>
    </comment>
    <comment ref="C144" authorId="0">
      <text>
        <t>S3 UNP 3Q25 earnings release (8-K Ex.99.1, 23-Oct-2025) | 3rd quarter 2024 column | 202</t>
      </text>
    </comment>
    <comment ref="D144" authorId="0">
      <text>
        <t>S4 UNP 4Q25 earnings release (8-K Ex.99.1, 27-Jan-2026) | 4th Quarter 2024 column | 197</t>
      </text>
    </comment>
    <comment ref="E144" authorId="0">
      <text>
        <t>S4 UNP 4Q25 earnings release (8-K Ex.99.1, 27-Jan-2026) | Full Year 2024 column | 824</t>
      </text>
    </comment>
    <comment ref="F144" authorId="0">
      <text>
        <t>S4 UNP 4Q25 earnings release (8-K Ex.99.1, 27-Jan-2026) | 2025 quarterly tables, 1st Qtr | 195</t>
      </text>
    </comment>
    <comment ref="G144" authorId="0">
      <text>
        <t>S4 UNP 4Q25 earnings release (8-K Ex.99.1, 27-Jan-2026) | 2025 quarterly tables, 2nd Qtr | 209</t>
      </text>
    </comment>
    <comment ref="C145" authorId="0">
      <text>
        <t>S3 UNP 3Q25 earnings release (8-K Ex.99.1, 23-Oct-2025) | 3rd quarter 2024 column | 909</t>
      </text>
    </comment>
    <comment ref="D145" authorId="0">
      <text>
        <t>S4 UNP 4Q25 earnings release (8-K Ex.99.1, 27-Jan-2026) | 4th Quarter 2024 column | 911</t>
      </text>
    </comment>
    <comment ref="E145" authorId="0">
      <text>
        <t>S4 UNP 4Q25 earnings release (8-K Ex.99.1, 27-Jan-2026) | Full Year 2024 column | 3,357</t>
      </text>
    </comment>
    <comment ref="F145" authorId="0">
      <text>
        <t>S4 UNP 4Q25 earnings release (8-K Ex.99.1, 27-Jan-2026) | 2025 quarterly tables, 1st Qtr | 874</t>
      </text>
    </comment>
    <comment ref="G145" authorId="0">
      <text>
        <t>S4 UNP 4Q25 earnings release (8-K Ex.99.1, 27-Jan-2026) | 2025 quarterly tables, 2nd Qtr | 817</t>
      </text>
    </comment>
    <comment ref="C151" authorId="0">
      <text>
        <t>S3 UNP 3Q25 earnings release (8-K Ex.99.1, 23-Oct-2025) | 3rd quarter 2024 column | 4,498</t>
      </text>
    </comment>
    <comment ref="D151" authorId="0">
      <text>
        <t>S4 UNP 4Q25 earnings release (8-K Ex.99.1, 27-Jan-2026) | 4th Quarter 2024 column | 4,532</t>
      </text>
    </comment>
    <comment ref="E151" authorId="0">
      <text>
        <t>S4 UNP 4Q25 earnings release (8-K Ex.99.1, 27-Jan-2026) | Full Year 2024 column | 4,505</t>
      </text>
    </comment>
    <comment ref="F151" authorId="0">
      <text>
        <t>S4 UNP 4Q25 earnings release (8-K Ex.99.1, 27-Jan-2026) | 2025 quarterly tables, 1st Qtr | 4,434</t>
      </text>
    </comment>
    <comment ref="G151" authorId="0">
      <text>
        <t>S4 UNP 4Q25 earnings release (8-K Ex.99.1, 27-Jan-2026) | 2025 quarterly tables, 2nd Qtr | 4,467</t>
      </text>
    </comment>
    <comment ref="C152" authorId="0">
      <text>
        <t>S3 UNP 3Q25 earnings release (8-K Ex.99.1, 23-Oct-2025) | 3rd quarter 2024 column | 3,872</t>
      </text>
    </comment>
    <comment ref="D152" authorId="0">
      <text>
        <t>S4 UNP 4Q25 earnings release (8-K Ex.99.1, 27-Jan-2026) | 4th Quarter 2024 column | 3,918</t>
      </text>
    </comment>
    <comment ref="E152" authorId="0">
      <text>
        <t>S4 UNP 4Q25 earnings release (8-K Ex.99.1, 27-Jan-2026) | Full Year 2024 column | 3,809</t>
      </text>
    </comment>
    <comment ref="F152" authorId="0">
      <text>
        <t>S4 UNP 4Q25 earnings release (8-K Ex.99.1, 27-Jan-2026) | 2025 quarterly tables, 1st Qtr | 4,339</t>
      </text>
    </comment>
    <comment ref="G152" authorId="0">
      <text>
        <t>S4 UNP 4Q25 earnings release (8-K Ex.99.1, 27-Jan-2026) | 2025 quarterly tables, 2nd Qtr | 3,627</t>
      </text>
    </comment>
    <comment ref="C153" authorId="0">
      <text>
        <t>S3 UNP 3Q25 earnings release (8-K Ex.99.1, 23-Oct-2025) | 3rd quarter 2024 column | 6,099</t>
      </text>
    </comment>
    <comment ref="D153" authorId="0">
      <text>
        <t>S4 UNP 4Q25 earnings release (8-K Ex.99.1, 27-Jan-2026) | 4th Quarter 2024 column | 6,152</t>
      </text>
    </comment>
    <comment ref="E153" authorId="0">
      <text>
        <t>S4 UNP 4Q25 earnings release (8-K Ex.99.1, 27-Jan-2026) | Full Year 2024 column | 6,104</t>
      </text>
    </comment>
    <comment ref="F153" authorId="0">
      <text>
        <t>S4 UNP 4Q25 earnings release (8-K Ex.99.1, 27-Jan-2026) | 2025 quarterly tables, 1st Qtr | 6,058</t>
      </text>
    </comment>
    <comment ref="G153" authorId="0">
      <text>
        <t>S4 UNP 4Q25 earnings release (8-K Ex.99.1, 27-Jan-2026) | 2025 quarterly tables, 2nd Qtr | 6,237</t>
      </text>
    </comment>
    <comment ref="C154" authorId="0">
      <text>
        <t>S3 UNP 3Q25 earnings release (8-K Ex.99.1, 23-Oct-2025) | 3rd quarter 2024 column | 2,101</t>
      </text>
    </comment>
    <comment ref="D154" authorId="0">
      <text>
        <t>S4 UNP 4Q25 earnings release (8-K Ex.99.1, 27-Jan-2026) | 4th Quarter 2024 column | 2,012</t>
      </text>
    </comment>
    <comment ref="E154" authorId="0">
      <text>
        <t>S4 UNP 4Q25 earnings release (8-K Ex.99.1, 27-Jan-2026) | Full Year 2024 column | 2,113</t>
      </text>
    </comment>
    <comment ref="F154" authorId="0">
      <text>
        <t>S4 UNP 4Q25 earnings release (8-K Ex.99.1, 27-Jan-2026) | 2025 quarterly tables, 1st Qtr | 2,250</t>
      </text>
    </comment>
    <comment ref="G154" authorId="0">
      <text>
        <t>S4 UNP 4Q25 earnings release (8-K Ex.99.1, 27-Jan-2026) | 2025 quarterly tables, 2nd Qtr | 2,283</t>
      </text>
    </comment>
    <comment ref="C155" authorId="0">
      <text>
        <t>S3 UNP 3Q25 earnings release (8-K Ex.99.1, 23-Oct-2025) | 3rd quarter 2024 column | 3,534</t>
      </text>
    </comment>
    <comment ref="D155" authorId="0">
      <text>
        <t>S4 UNP 4Q25 earnings release (8-K Ex.99.1, 27-Jan-2026) | 4th Quarter 2024 column | 3,445</t>
      </text>
    </comment>
    <comment ref="E155" authorId="0">
      <text>
        <t>S4 UNP 4Q25 earnings release (8-K Ex.99.1, 27-Jan-2026) | Full Year 2024 column | 3,493</t>
      </text>
    </comment>
    <comment ref="F155" authorId="0">
      <text>
        <t>S4 UNP 4Q25 earnings release (8-K Ex.99.1, 27-Jan-2026) | 2025 quarterly tables, 1st Qtr | 3,601</t>
      </text>
    </comment>
    <comment ref="G155" authorId="0">
      <text>
        <t>S4 UNP 4Q25 earnings release (8-K Ex.99.1, 27-Jan-2026) | 2025 quarterly tables, 2nd Qtr | 3,647</t>
      </text>
    </comment>
    <comment ref="C156" authorId="0">
      <text>
        <t>S3 UNP 3Q25 earnings release (8-K Ex.99.1, 23-Oct-2025) | 3rd quarter 2024 column | 2,847</t>
      </text>
    </comment>
    <comment ref="D156" authorId="0">
      <text>
        <t>S4 UNP 4Q25 earnings release (8-K Ex.99.1, 27-Jan-2026) | 4th Quarter 2024 column | 2,820</t>
      </text>
    </comment>
    <comment ref="E156" authorId="0">
      <text>
        <t>S4 UNP 4Q25 earnings release (8-K Ex.99.1, 27-Jan-2026) | Full Year 2024 column | 2,893</t>
      </text>
    </comment>
    <comment ref="F156" authorId="0">
      <text>
        <t>S4 UNP 4Q25 earnings release (8-K Ex.99.1, 27-Jan-2026) | 2025 quarterly tables, 1st Qtr | 2,986</t>
      </text>
    </comment>
    <comment ref="G156" authorId="0">
      <text>
        <t>S4 UNP 4Q25 earnings release (8-K Ex.99.1, 27-Jan-2026) | 2025 quarterly tables, 2nd Qtr | 2,950</t>
      </text>
    </comment>
    <comment ref="C157" authorId="0">
      <text>
        <t>S3 UNP 3Q25 earnings release (8-K Ex.99.1, 23-Oct-2025) | 3rd quarter 2024 column | 6,157</t>
      </text>
    </comment>
    <comment ref="D157" authorId="0">
      <text>
        <t>S4 UNP 4Q25 earnings release (8-K Ex.99.1, 27-Jan-2026) | 4th Quarter 2024 column | 6,210</t>
      </text>
    </comment>
    <comment ref="E157" authorId="0">
      <text>
        <t>S4 UNP 4Q25 earnings release (8-K Ex.99.1, 27-Jan-2026) | Full Year 2024 column | 6,229</t>
      </text>
    </comment>
    <comment ref="F157" authorId="0">
      <text>
        <t>S4 UNP 4Q25 earnings release (8-K Ex.99.1, 27-Jan-2026) | 2025 quarterly tables, 1st Qtr | 6,264</t>
      </text>
    </comment>
    <comment ref="G157" authorId="0">
      <text>
        <t>S4 UNP 4Q25 earnings release (8-K Ex.99.1, 27-Jan-2026) | 2025 quarterly tables, 2nd Qtr | 6,508</t>
      </text>
    </comment>
    <comment ref="C158" authorId="0">
      <text>
        <t>S3 UNP 3Q25 earnings release (8-K Ex.99.1, 23-Oct-2025) | 3rd quarter 2024 column | 4,415</t>
      </text>
    </comment>
    <comment ref="D158" authorId="0">
      <text>
        <t>S4 UNP 4Q25 earnings release (8-K Ex.99.1, 27-Jan-2026) | 4th Quarter 2024 column | 4,412</t>
      </text>
    </comment>
    <comment ref="E158" authorId="0">
      <text>
        <t>S4 UNP 4Q25 earnings release (8-K Ex.99.1, 27-Jan-2026) | Full Year 2024 column | 4,426</t>
      </text>
    </comment>
    <comment ref="F158" authorId="0">
      <text>
        <t>S4 UNP 4Q25 earnings release (8-K Ex.99.1, 27-Jan-2026) | 2025 quarterly tables, 1st Qtr | 4,433</t>
      </text>
    </comment>
    <comment ref="G158" authorId="0">
      <text>
        <t>S4 UNP 4Q25 earnings release (8-K Ex.99.1, 27-Jan-2026) | 2025 quarterly tables, 2nd Qtr | 4,439</t>
      </text>
    </comment>
    <comment ref="C159" authorId="0">
      <text>
        <t>S3 UNP 3Q25 earnings release (8-K Ex.99.1, 23-Oct-2025) | 3rd quarter 2024 column | 2,968</t>
      </text>
    </comment>
    <comment ref="D159" authorId="0">
      <text>
        <t>S4 UNP 4Q25 earnings release (8-K Ex.99.1, 27-Jan-2026) | 4th Quarter 2024 column | 2,952</t>
      </text>
    </comment>
    <comment ref="E159" authorId="0">
      <text>
        <t>S4 UNP 4Q25 earnings release (8-K Ex.99.1, 27-Jan-2026) | Full Year 2024 column | 2,976</t>
      </text>
    </comment>
    <comment ref="F159" authorId="0">
      <text>
        <t>S4 UNP 4Q25 earnings release (8-K Ex.99.1, 27-Jan-2026) | 2025 quarterly tables, 1st Qtr | 2,971</t>
      </text>
    </comment>
    <comment ref="G159" authorId="0">
      <text>
        <t>S4 UNP 4Q25 earnings release (8-K Ex.99.1, 27-Jan-2026) | 2025 quarterly tables, 2nd Qtr | 3,034</t>
      </text>
    </comment>
    <comment ref="C160" authorId="0">
      <text>
        <t>S3 UNP 3Q25 earnings release (8-K Ex.99.1, 23-Oct-2025) | 3rd quarter 2024 column | 1,365</t>
      </text>
    </comment>
    <comment ref="D160" authorId="0">
      <text>
        <t>S4 UNP 4Q25 earnings release (8-K Ex.99.1, 27-Jan-2026) | 4th Quarter 2024 column | 1,376</t>
      </text>
    </comment>
    <comment ref="E160" authorId="0">
      <text>
        <t>S4 UNP 4Q25 earnings release (8-K Ex.99.1, 27-Jan-2026) | Full Year 2024 column | 1,404</t>
      </text>
    </comment>
    <comment ref="F160" authorId="0">
      <text>
        <t>S4 UNP 4Q25 earnings release (8-K Ex.99.1, 27-Jan-2026) | 2025 quarterly tables, 1st Qtr | 1,364</t>
      </text>
    </comment>
    <comment ref="G160" authorId="0">
      <text>
        <t>S4 UNP 4Q25 earnings release (8-K Ex.99.1, 27-Jan-2026) | 2025 quarterly tables, 2nd Qtr | 1,345</t>
      </text>
    </comment>
    <comment ref="C166" authorId="0">
      <text>
        <t>S3 UNP 3Q25 earnings release (8-K Ex.99.1, 23-Oct-2025) | 3rd quarter 2024 column | 1,228</t>
      </text>
    </comment>
    <comment ref="D166" authorId="0">
      <text>
        <t>S4 UNP 4Q25 earnings release (8-K Ex.99.1, 27-Jan-2026) | 4th Quarter 2024 column | 1,261</t>
      </text>
    </comment>
    <comment ref="E166" authorId="0">
      <text>
        <t>S4 UNP 4Q25 earnings release (8-K Ex.99.1, 27-Jan-2026) | Full Year 2024 column | 4,899</t>
      </text>
    </comment>
    <comment ref="F166" authorId="0">
      <text>
        <t>S4 UNP 4Q25 earnings release (8-K Ex.99.1, 27-Jan-2026) | 2025 quarterly tables, 1st Qtr | 1,212</t>
      </text>
    </comment>
    <comment ref="G166" authorId="0">
      <text>
        <t>S4 UNP 4Q25 earnings release (8-K Ex.99.1, 27-Jan-2026) | 2025 quarterly tables, 2nd Qtr | 1,249</t>
      </text>
    </comment>
    <comment ref="C167" authorId="0">
      <text>
        <t>S3 UNP 3Q25 earnings release (8-K Ex.99.1, 23-Oct-2025) | 3rd quarter 2024 column | 610</t>
      </text>
    </comment>
    <comment ref="D167" authorId="0">
      <text>
        <t>S4 UNP 4Q25 earnings release (8-K Ex.99.1, 27-Jan-2026) | 4th Quarter 2024 column | 581</t>
      </text>
    </comment>
    <comment ref="E167" authorId="0">
      <text>
        <t>S4 UNP 4Q25 earnings release (8-K Ex.99.1, 27-Jan-2026) | Full Year 2024 column | 2,474</t>
      </text>
    </comment>
    <comment ref="F167" authorId="0">
      <text>
        <t>S4 UNP 4Q25 earnings release (8-K Ex.99.1, 27-Jan-2026) | 2025 quarterly tables, 1st Qtr | 603</t>
      </text>
    </comment>
    <comment ref="G167" authorId="0">
      <text>
        <t>S4 UNP 4Q25 earnings release (8-K Ex.99.1, 27-Jan-2026) | 2025 quarterly tables, 2nd Qtr | 576</t>
      </text>
    </comment>
    <comment ref="C168" authorId="0">
      <text>
        <t>S3 UNP 3Q25 earnings release (8-K Ex.99.1, 23-Oct-2025) | 3rd quarter 2024 column | 644</t>
      </text>
    </comment>
    <comment ref="D168" authorId="0">
      <text>
        <t>S4 UNP 4Q25 earnings release (8-K Ex.99.1, 27-Jan-2026) | 4th Quarter 2024 column | 619</t>
      </text>
    </comment>
    <comment ref="E168" authorId="0">
      <text>
        <t>S4 UNP 4Q25 earnings release (8-K Ex.99.1, 27-Jan-2026) | Full Year 2024 column | 2,520</t>
      </text>
    </comment>
    <comment ref="F168" authorId="0">
      <text>
        <t>S4 UNP 4Q25 earnings release (8-K Ex.99.1, 27-Jan-2026) | 2025 quarterly tables, 1st Qtr | 631</t>
      </text>
    </comment>
    <comment ref="G168" authorId="0">
      <text>
        <t>S4 UNP 4Q25 earnings release (8-K Ex.99.1, 27-Jan-2026) | 2025 quarterly tables, 2nd Qtr | 642</t>
      </text>
    </comment>
    <comment ref="C169" authorId="0">
      <text>
        <t>S3 UNP 3Q25 earnings release (8-K Ex.99.1, 23-Oct-2025) | 3rd quarter 2024 column | 602</t>
      </text>
    </comment>
    <comment ref="D169" authorId="0">
      <text>
        <t>S4 UNP 4Q25 earnings release (8-K Ex.99.1, 27-Jan-2026) | 4th Quarter 2024 column | 606</t>
      </text>
    </comment>
    <comment ref="E169" authorId="0">
      <text>
        <t>S4 UNP 4Q25 earnings release (8-K Ex.99.1, 27-Jan-2026) | Full Year 2024 column | 2,398</t>
      </text>
    </comment>
    <comment ref="F169" authorId="0">
      <text>
        <t>S4 UNP 4Q25 earnings release (8-K Ex.99.1, 27-Jan-2026) | 2025 quarterly tables, 1st Qtr | 610</t>
      </text>
    </comment>
    <comment ref="G169" authorId="0">
      <text>
        <t>S4 UNP 4Q25 earnings release (8-K Ex.99.1, 27-Jan-2026) | 2025 quarterly tables, 2nd Qtr | 613</t>
      </text>
    </comment>
    <comment ref="C170" authorId="0">
      <text>
        <t>S3 UNP 3Q25 earnings release (8-K Ex.99.1, 23-Oct-2025) | 3rd quarter 2024 column | 237</t>
      </text>
    </comment>
    <comment ref="D170" authorId="0">
      <text>
        <t>S4 UNP 4Q25 earnings release (8-K Ex.99.1, 27-Jan-2026) | 4th Quarter 2024 column | 248</t>
      </text>
    </comment>
    <comment ref="E170" authorId="0">
      <text>
        <t>S4 UNP 4Q25 earnings release (8-K Ex.99.1, 27-Jan-2026) | Full Year 2024 column | 920</t>
      </text>
    </comment>
    <comment ref="F170" authorId="0">
      <text>
        <t>S4 UNP 4Q25 earnings release (8-K Ex.99.1, 27-Jan-2026) | 2025 quarterly tables, 1st Qtr | 241</t>
      </text>
    </comment>
    <comment ref="G170" authorId="0">
      <text>
        <t>S4 UNP 4Q25 earnings release (8-K Ex.99.1, 27-Jan-2026) | 2025 quarterly tables, 2nd Qtr | 230</t>
      </text>
    </comment>
    <comment ref="C171" authorId="0">
      <text>
        <t>S3 UNP 3Q25 earnings release (8-K Ex.99.1, 23-Oct-2025) | 3rd quarter 2024 column | 354</t>
      </text>
    </comment>
    <comment ref="D171" authorId="0">
      <text>
        <t>S4 UNP 4Q25 earnings release (8-K Ex.99.1, 27-Jan-2026) | 4th Quarter 2024 column | 281</t>
      </text>
    </comment>
    <comment ref="E171" authorId="0">
      <text>
        <t>S4 UNP 4Q25 earnings release (8-K Ex.99.1, 27-Jan-2026) | Full Year 2024 column | 1,326</t>
      </text>
    </comment>
    <comment ref="F171" authorId="0">
      <text>
        <t>S4 UNP 4Q25 earnings release (8-K Ex.99.1, 27-Jan-2026) | 2025 quarterly tables, 1st Qtr | 359</t>
      </text>
    </comment>
    <comment ref="G171" authorId="0">
      <text>
        <t>S4 UNP 4Q25 earnings release (8-K Ex.99.1, 27-Jan-2026) | 2025 quarterly tables, 2nd Qtr | 319</t>
      </text>
    </comment>
    <comment ref="C174" authorId="0">
      <text>
        <t>S3 UNP 3Q25 earnings release (8-K Ex.99.1, 23-Oct-2025) | 3rd quarter 2024 column | 87</t>
      </text>
    </comment>
    <comment ref="D174" authorId="0">
      <text>
        <t>S4 UNP 4Q25 earnings release (8-K Ex.99.1, 27-Jan-2026) | 4th Quarter 2024 column | 68</t>
      </text>
    </comment>
    <comment ref="E174" authorId="0">
      <text>
        <t>S4 UNP 4Q25 earnings release (8-K Ex.99.1, 27-Jan-2026) | Full Year 2024 column | 350</t>
      </text>
    </comment>
    <comment ref="F174" authorId="0">
      <text>
        <t>S4 UNP 4Q25 earnings release (8-K Ex.99.1, 27-Jan-2026) | 2025 quarterly tables, 1st Qtr | 78</t>
      </text>
    </comment>
    <comment ref="G174" authorId="0">
      <text>
        <t>S4 UNP 4Q25 earnings release (8-K Ex.99.1, 27-Jan-2026) | 2025 quarterly tables, 2nd Qtr | 123</t>
      </text>
    </comment>
    <comment ref="C175" authorId="0">
      <text>
        <t>S3 UNP 3Q25 earnings release (8-K Ex.99.1, 23-Oct-2025) | 3rd quarter 2024 column | (314)</t>
      </text>
    </comment>
    <comment ref="D175" authorId="0">
      <text>
        <t>S4 UNP 4Q25 earnings release (8-K Ex.99.1, 27-Jan-2026) | 4th Quarter 2024 column | (312)</t>
      </text>
    </comment>
    <comment ref="E175" authorId="0">
      <text>
        <t>S4 UNP 4Q25 earnings release (8-K Ex.99.1, 27-Jan-2026) | Full Year 2024 column | (1,269)</t>
      </text>
    </comment>
    <comment ref="F175" authorId="0">
      <text>
        <t>S4 UNP 4Q25 earnings release (8-K Ex.99.1, 27-Jan-2026) | 2025 quarterly tables, 1st Qtr | (322)</t>
      </text>
    </comment>
    <comment ref="G175" authorId="0">
      <text>
        <t>S4 UNP 4Q25 earnings release (8-K Ex.99.1, 27-Jan-2026) | 2025 quarterly tables, 2nd Qtr | (335)</t>
      </text>
    </comment>
    <comment ref="C177" authorId="0">
      <text>
        <t>S3 UNP 3Q25 earnings release (8-K Ex.99.1, 23-Oct-2025) | 3rd quarter 2024 column | (518)</t>
      </text>
    </comment>
    <comment ref="D177" authorId="0">
      <text>
        <t>S4 UNP 4Q25 earnings release (8-K Ex.99.1, 27-Jan-2026) | 4th Quarter 2024 column | (519)</t>
      </text>
    </comment>
    <comment ref="E177" authorId="0">
      <text>
        <t>S4 UNP 4Q25 earnings release (8-K Ex.99.1, 27-Jan-2026) | Full Year 2024 column | (2,047)</t>
      </text>
    </comment>
    <comment ref="F177" authorId="0">
      <text>
        <t>S4 UNP 4Q25 earnings release (8-K Ex.99.1, 27-Jan-2026) | 2025 quarterly tables, 1st Qtr | (501)</t>
      </text>
    </comment>
    <comment ref="G177" authorId="0">
      <text>
        <t>S4 UNP 4Q25 earnings release (8-K Ex.99.1, 27-Jan-2026) | 2025 quarterly tables, 2nd Qtr | (437)</t>
      </text>
    </comment>
    <comment ref="C179" authorId="0">
      <text>
        <t>S3 UNP 3Q25 earnings release (8-K Ex.99.1, 23-Oct-2025) | 3rd quarter 2024 column | $2.75</t>
      </text>
    </comment>
    <comment ref="D179" authorId="0">
      <text>
        <t>S4 UNP 4Q25 earnings release (8-K Ex.99.1, 27-Jan-2026) | 4th Quarter 2024 column | $2.91</t>
      </text>
    </comment>
    <comment ref="E179" authorId="0">
      <text>
        <t>S4 UNP 4Q25 earnings release (8-K Ex.99.1, 27-Jan-2026) | Full Year 2024 column | $11.09</t>
      </text>
    </comment>
    <comment ref="C180" authorId="0">
      <text>
        <t>S3 UNP 3Q25 earnings release | 3Q24 reported EPS (no adjustments in 3Q24) | $2.75</t>
      </text>
    </comment>
    <comment ref="D180" authorId="0">
      <text>
        <t>S4 UNP 4Q25 earnings release | Non-GAAP reconciliation 4Q24 adjusted | $2.96</t>
      </text>
    </comment>
    <comment ref="E180" authorId="0">
      <text>
        <t>S4 UNP 4Q25 earnings release | Non-GAAP reconciliation FY2024 adjusted | $11.11</t>
      </text>
    </comment>
    <comment ref="C181" authorId="0">
      <text>
        <t>S3 UNP 3Q25 earnings release (8-K Ex.99.1, 23-Oct-2025) | 3rd quarter 2024 column | $1.34</t>
      </text>
    </comment>
    <comment ref="D181" authorId="0">
      <text>
        <t>S4 UNP 4Q25 earnings release (8-K Ex.99.1, 27-Jan-2026) | 4th Quarter 2024 column | $1.34</t>
      </text>
    </comment>
    <comment ref="E181" authorId="0">
      <text>
        <t>S4 UNP 4Q25 earnings release (8-K Ex.99.1, 27-Jan-2026) | Full Year 2024 column | $5.28</t>
      </text>
    </comment>
    <comment ref="F181" authorId="0">
      <text>
        <t>S4 UNP 4Q25 earnings release (8-K Ex.99.1, 27-Jan-2026) | 2025 quarterly tables, 1st Qtr | $1.34</t>
      </text>
    </comment>
    <comment ref="G181" authorId="0">
      <text>
        <t>S4 UNP 4Q25 earnings release (8-K Ex.99.1, 27-Jan-2026) | 2025 quarterly tables, 2nd Qtr | $1.34</t>
      </text>
    </comment>
    <comment ref="C182" authorId="0">
      <text>
        <t>S3 UNP 3Q25 earnings release (8-K Ex.99.1, 23-Oct-2025) | 3rd quarter 2024 column | 607.6</t>
      </text>
    </comment>
    <comment ref="D182" authorId="0">
      <text>
        <t>S4 UNP 4Q25 earnings release (8-K Ex.99.1, 27-Jan-2026) | 4th Quarter 2024 column | 604.2</t>
      </text>
    </comment>
    <comment ref="E182" authorId="0">
      <text>
        <t>S4 UNP 4Q25 earnings release (8-K Ex.99.1, 27-Jan-2026) | Full Year 2024 column | 607.6</t>
      </text>
    </comment>
    <comment ref="F182" authorId="0">
      <text>
        <t>S4 UNP 4Q25 earnings release (8-K Ex.99.1, 27-Jan-2026) | 2025 quarterly tables, 1st Qtr | 601</t>
      </text>
    </comment>
    <comment ref="G182" authorId="0">
      <text>
        <t>S4 UNP 4Q25 earnings release (8-K Ex.99.1, 27-Jan-2026) | 2025 quarterly tables, 2nd Qtr | 594.1</t>
      </text>
    </comment>
    <comment ref="C183" authorId="0">
      <text>
        <t>S3 UNP 3Q25 earnings release (8-K Ex.99.1, 23-Oct-2025) | 3rd quarter 2024 column | 608.6</t>
      </text>
    </comment>
    <comment ref="D183" authorId="0">
      <text>
        <t>S4 UNP 4Q25 earnings release (8-K Ex.99.1, 27-Jan-2026) | 4th Quarter 2024 column | 605.2</t>
      </text>
    </comment>
    <comment ref="E183" authorId="0">
      <text>
        <t>S4 UNP 4Q25 earnings release (8-K Ex.99.1, 27-Jan-2026) | Full Year 2024 column | 608.6</t>
      </text>
    </comment>
    <comment ref="F183" authorId="0">
      <text>
        <t>S4 UNP 4Q25 earnings release (8-K Ex.99.1, 27-Jan-2026) | 2025 quarterly tables, 1st Qtr | 601.9</t>
      </text>
    </comment>
    <comment ref="G183" authorId="0">
      <text>
        <t>S4 UNP 4Q25 earnings release (8-K Ex.99.1, 27-Jan-2026) | 2025 quarterly tables, 2nd Qtr | 594.8</t>
      </text>
    </comment>
    <comment ref="C185" authorId="0">
      <text>
        <t>S3 UNP 3Q25 earnings release | Operating and Performance Statistics, 3rd quarter 2024 | 29,946</t>
      </text>
    </comment>
    <comment ref="D185" authorId="0">
      <text>
        <t>S4 UNP 4Q25 earnings release | Operating and Performance Statistics, 4th Quarter 2024 | 29,789</t>
      </text>
    </comment>
    <comment ref="E185" authorId="0">
      <text>
        <t>S4 UNP 4Q25 earnings release | Operating and Performance Statistics, Full Year 2024 | 30,336</t>
      </text>
    </comment>
    <comment ref="F185" authorId="0">
      <text>
        <t>S5 UNP 1Q26 earnings release | Operating and Performance Statistics, 2025 column | 30,146</t>
      </text>
    </comment>
    <comment ref="G185" authorId="0">
      <text>
        <t>S6 UNP 2Q26 earnings release | Operating and Performance Statistics, 2nd quarter 2025 | 29,711</t>
      </text>
    </comment>
    <comment ref="C186" authorId="0">
      <text>
        <t>S3 UNP 3Q25 earnings release | Operating and Performance Statistics, 3rd quarter 2024 | 215,993</t>
      </text>
    </comment>
    <comment ref="D186" authorId="0">
      <text>
        <t>S4 UNP 4Q25 earnings release | Operating and Performance Statistics, 4th Quarter 2024 | 218,558</t>
      </text>
    </comment>
    <comment ref="E186" authorId="0">
      <text>
        <t>S4 UNP 4Q25 earnings release | Operating and Performance Statistics, Full Year 2024 | 847,386</t>
      </text>
    </comment>
    <comment ref="F186" authorId="0">
      <text>
        <t>S5 UNP 1Q26 earnings release | Operating and Performance Statistics, 2025 column | 212,792</t>
      </text>
    </comment>
    <comment ref="G186" authorId="0">
      <text>
        <t>S6 UNP 2Q26 earnings release | Operating and Performance Statistics, 2nd quarter 2025 | 220,258</t>
      </text>
    </comment>
    <comment ref="C187" authorId="0">
      <text>
        <t>S3 UNP 3Q25 earnings release | Operating and Performance Statistics, 3rd quarter 2024 | 1.058</t>
      </text>
    </comment>
    <comment ref="D187" authorId="0">
      <text>
        <t>S4 UNP 4Q25 earnings release | Operating and Performance Statistics, 4th Quarter 2024 | 1.078</t>
      </text>
    </comment>
    <comment ref="E187" authorId="0">
      <text>
        <t>S4 UNP 4Q25 earnings release | Operating and Performance Statistics, Full Year 2024 | 1.082</t>
      </text>
    </comment>
    <comment ref="F187" authorId="0">
      <text>
        <t>S5 UNP 1Q26 earnings release | Operating and Performance Statistics, 2025 column | 1.107</t>
      </text>
    </comment>
    <comment ref="G187" authorId="0">
      <text>
        <t>S6 UNP 2Q26 earnings release | Operating and Performance Statistics, 2nd quarter 2025 | 1.058</t>
      </text>
    </comment>
    <comment ref="C188" authorId="0">
      <text>
        <t>S3 UNP 3Q25 earnings release | Operating and Performance Statistics, 3rd quarter 2024 | 229</t>
      </text>
    </comment>
    <comment ref="D188" authorId="0">
      <text>
        <t>S4 UNP 4Q25 earnings release | Operating and Performance Statistics, 4th Quarter 2024 | 236</t>
      </text>
    </comment>
    <comment ref="E188" authorId="0">
      <text>
        <t>S4 UNP 4Q25 earnings release | Operating and Performance Statistics, Full Year 2024 | 917</t>
      </text>
    </comment>
    <comment ref="F188" authorId="0">
      <text>
        <t>S5 UNP 1Q26 earnings release | Operating and Performance Statistics, 2025 column | 236</t>
      </text>
    </comment>
    <comment ref="G188" authorId="0">
      <text>
        <t>S6 UNP 2Q26 earnings release | Operating and Performance Statistics, 2nd quarter 2025 | 232</t>
      </text>
    </comment>
    <comment ref="C189" authorId="0">
      <text>
        <t>S3 UNP 3Q25 earnings release | Operating and Performance Statistics, 3rd quarter 2024 | 2.6</t>
      </text>
    </comment>
    <comment ref="D189" authorId="0">
      <text>
        <t>S4 UNP 4Q25 earnings release | Operating and Performance Statistics, 4th Quarter 2024 | 2.41</t>
      </text>
    </comment>
    <comment ref="E189" authorId="0">
      <text>
        <t>S4 UNP 4Q25 earnings release | Operating and Performance Statistics, Full Year 2024 | 2.64</t>
      </text>
    </comment>
    <comment ref="F189" authorId="0">
      <text>
        <t>S5 UNP 1Q26 earnings release | Operating and Performance Statistics, 2025 column | 2.51</t>
      </text>
    </comment>
    <comment ref="G189" authorId="0">
      <text>
        <t>S6 UNP 2Q26 earnings release | Operating and Performance Statistics, 2nd quarter 2025 | 2.42</t>
      </text>
    </comment>
    <comment ref="C193" authorId="0">
      <text>
        <t>S6 UNP 2Q26 earnings release | Condensed Consolidated Statements of Cash Flows, Year-to-date 2025 | 3,502</t>
      </text>
    </comment>
    <comment ref="D193" authorId="0">
      <text>
        <t>S3 UNP 3Q25 earnings release | Condensed Consolidated Statements of Cash Flows, Year-to-date 2025 | 5,290</t>
      </text>
    </comment>
    <comment ref="E193" authorId="0">
      <text>
        <t>S4 UNP 4Q25 earnings release | Condensed Consolidated Statements of Cash Flows, Full Year 2025 | 7,138</t>
      </text>
    </comment>
    <comment ref="F193" authorId="0">
      <text>
        <t>S5 UNP 1Q26 earnings release | Condensed Consolidated Statements of Cash Flows, 2026 | 1,701</t>
      </text>
    </comment>
    <comment ref="G193" authorId="0">
      <text>
        <t>S6 UNP 2Q26 earnings release | Condensed Consolidated Statements of Cash Flows, Year-to-date 2026 | 3,694</t>
      </text>
    </comment>
    <comment ref="C194" authorId="0">
      <text>
        <t>S6 UNP 2Q26 earnings release | Condensed Consolidated Statements of Cash Flows, Year-to-date 2025 | 1,223</t>
      </text>
    </comment>
    <comment ref="D194" authorId="0">
      <text>
        <t>S3 UNP 3Q25 earnings release | Condensed Consolidated Statements of Cash Flows, Year-to-date 2025 | 1,841</t>
      </text>
    </comment>
    <comment ref="E194" authorId="0">
      <text>
        <t>S4 UNP 4Q25 earnings release | Condensed Consolidated Statements of Cash Flows, Full Year 2025 | 2,465</t>
      </text>
    </comment>
    <comment ref="F194" authorId="0">
      <text>
        <t>S5 UNP 1Q26 earnings release | Condensed Consolidated Statements of Cash Flows, 2026 | 633</t>
      </text>
    </comment>
    <comment ref="G194" authorId="0">
      <text>
        <t>S6 UNP 2Q26 earnings release | Condensed Consolidated Statements of Cash Flows, Year-to-date 2026 | 1,271</t>
      </text>
    </comment>
    <comment ref="C195" authorId="0">
      <text>
        <t>S6 UNP 2Q26 earnings release | Condensed Consolidated Statements of Cash Flows, Year-to-date 2025 | (123)</t>
      </text>
    </comment>
    <comment ref="D195" authorId="0">
      <text>
        <t>S3 UNP 3Q25 earnings release | Condensed Consolidated Statements of Cash Flows, Year-to-date 2025 | 172</t>
      </text>
    </comment>
    <comment ref="E195" authorId="0">
      <text>
        <t>S4 UNP 4Q25 earnings release | Condensed Consolidated Statements of Cash Flows, Full Year 2025 | 241</t>
      </text>
    </comment>
    <comment ref="F195" authorId="0">
      <text>
        <t>S5 UNP 1Q26 earnings release | Condensed Consolidated Statements of Cash Flows, 2026 | 54</t>
      </text>
    </comment>
    <comment ref="G195" authorId="0">
      <text>
        <t>S6 UNP 2Q26 earnings release | Condensed Consolidated Statements of Cash Flows, Year-to-date 2026 | 93</t>
      </text>
    </comment>
    <comment ref="C196" authorId="0">
      <text>
        <t>S6 UNP 2Q26 earnings release | Condensed Consolidated Statements of Cash Flows, Year-to-date 2025 | (59)</t>
      </text>
    </comment>
    <comment ref="D196" authorId="0">
      <text>
        <t>S3 UNP 3Q25 earnings release | Condensed Consolidated Statements of Cash Flows, Year-to-date 2025 | (238)</t>
      </text>
    </comment>
    <comment ref="E196" authorId="0">
      <text>
        <t>S4 UNP 4Q25 earnings release | Condensed Consolidated Statements of Cash Flows, Full Year 2025 | (554)</t>
      </text>
    </comment>
    <comment ref="F196" authorId="0">
      <text>
        <t>S5 UNP 1Q26 earnings release | Condensed Consolidated Statements of Cash Flows, 2026 | 52</t>
      </text>
    </comment>
    <comment ref="G196" authorId="0">
      <text>
        <t>S6 UNP 2Q26 earnings release | Condensed Consolidated Statements of Cash Flows, Year-to-date 2026 | 458</t>
      </text>
    </comment>
    <comment ref="C197" authorId="0">
      <text>
        <t>S6 UNP 2Q26 earnings release | Condensed Consolidated Statements of Cash Flows, Year-to-date 2025 | 4,543</t>
      </text>
    </comment>
    <comment ref="D197" authorId="0">
      <text>
        <t>S3 UNP 3Q25 earnings release | Condensed Consolidated Statements of Cash Flows, Year-to-date 2025 | 7,065</t>
      </text>
    </comment>
    <comment ref="E197" authorId="0">
      <text>
        <t>S4 UNP 4Q25 earnings release | Condensed Consolidated Statements of Cash Flows, Full Year 2025 | 9,290</t>
      </text>
    </comment>
    <comment ref="F197" authorId="0">
      <text>
        <t>S5 UNP 1Q26 earnings release | Condensed Consolidated Statements of Cash Flows, 2026 | 2,440</t>
      </text>
    </comment>
    <comment ref="G197" authorId="0">
      <text>
        <t>S6 UNP 2Q26 earnings release | Condensed Consolidated Statements of Cash Flows, Year-to-date 2026 | 5,516</t>
      </text>
    </comment>
    <comment ref="C198" authorId="0">
      <text>
        <t>S6 UNP 2Q26 earnings release | Condensed Consolidated Statements of Cash Flows, Year-to-date 2025 | (1,842)</t>
      </text>
    </comment>
    <comment ref="D198" authorId="0">
      <text>
        <t>S3 UNP 3Q25 earnings release | Condensed Consolidated Statements of Cash Flows, Year-to-date 2025 | (2,792)</t>
      </text>
    </comment>
    <comment ref="E198" authorId="0">
      <text>
        <t>S4 UNP 4Q25 earnings release | Condensed Consolidated Statements of Cash Flows, Full Year 2025 | (3,791)</t>
      </text>
    </comment>
    <comment ref="F198" authorId="0">
      <text>
        <t>S5 UNP 1Q26 earnings release | Condensed Consolidated Statements of Cash Flows, 2026 | (937)</t>
      </text>
    </comment>
    <comment ref="G198" authorId="0">
      <text>
        <t>S6 UNP 2Q26 earnings release | Condensed Consolidated Statements of Cash Flows, Year-to-date 2026 | (1,810)</t>
      </text>
    </comment>
    <comment ref="C199" authorId="0">
      <text>
        <t>S6 UNP 2Q26 earnings release | Condensed Consolidated Statements of Cash Flows, Year-to-date 2025 | 3</t>
      </text>
    </comment>
    <comment ref="D199" authorId="0">
      <text>
        <t>S3 UNP 3Q25 earnings release | Condensed Consolidated Statements of Cash Flows, Year-to-date 2025 | 1</t>
      </text>
    </comment>
    <comment ref="E199" authorId="0">
      <text>
        <t>S4 UNP 4Q25 earnings release | Condensed Consolidated Statements of Cash Flows, Full Year 2025 | 29</t>
      </text>
    </comment>
    <comment ref="F199" authorId="0">
      <text>
        <t>S5 UNP 1Q26 earnings release | Condensed Consolidated Statements of Cash Flows, 2026 | (51)</t>
      </text>
    </comment>
    <comment ref="G199" authorId="0">
      <text>
        <t>S6 UNP 2Q26 earnings release | Condensed Consolidated Statements of Cash Flows, Year-to-date 2026 | (254)</t>
      </text>
    </comment>
    <comment ref="C200" authorId="0">
      <text>
        <t>S6 UNP 2Q26 earnings release | Condensed Consolidated Statements of Cash Flows, Year-to-date 2025 | (1,839)</t>
      </text>
    </comment>
    <comment ref="D200" authorId="0">
      <text>
        <t>S3 UNP 3Q25 earnings release | Condensed Consolidated Statements of Cash Flows, Year-to-date 2025 | (2,791)</t>
      </text>
    </comment>
    <comment ref="E200" authorId="0">
      <text>
        <t>S4 UNP 4Q25 earnings release | Condensed Consolidated Statements of Cash Flows, Full Year 2025 | (3,762)</t>
      </text>
    </comment>
    <comment ref="F200" authorId="0">
      <text>
        <t>S5 UNP 1Q26 earnings release | Condensed Consolidated Statements of Cash Flows, 2026 | (988)</t>
      </text>
    </comment>
    <comment ref="G200" authorId="0">
      <text>
        <t>S6 UNP 2Q26 earnings release | Condensed Consolidated Statements of Cash Flows, Year-to-date 2026 | (2,064)</t>
      </text>
    </comment>
    <comment ref="C201" authorId="0">
      <text>
        <t>S6 UNP 2Q26 earnings release | Condensed Consolidated Statements of Cash Flows, Year-to-date 2025 | (1,599)</t>
      </text>
    </comment>
    <comment ref="D201" authorId="0">
      <text>
        <t>S3 UNP 3Q25 earnings release | Condensed Consolidated Statements of Cash Flows, Year-to-date 2025 | (2,418)</t>
      </text>
    </comment>
    <comment ref="E201" authorId="0">
      <text>
        <t>S4 UNP 4Q25 earnings release | Condensed Consolidated Statements of Cash Flows, Full Year 2025 | (3,236)</t>
      </text>
    </comment>
    <comment ref="F201" authorId="0">
      <text>
        <t>S5 UNP 1Q26 earnings release | Condensed Consolidated Statements of Cash Flows, 2026 | (821)</t>
      </text>
    </comment>
    <comment ref="G201" authorId="0">
      <text>
        <t>S6 UNP 2Q26 earnings release | Condensed Consolidated Statements of Cash Flows, Year-to-date 2026 | (1,640)</t>
      </text>
    </comment>
    <comment ref="C202" authorId="0">
      <text>
        <t>S6 UNP 2Q26 earnings release | Condensed Consolidated Statements of Cash Flows, Year-to-date 2025 | (2,679)</t>
      </text>
    </comment>
    <comment ref="D202" authorId="0">
      <text>
        <t>S3 UNP 3Q25 earnings release | Condensed Consolidated Statements of Cash Flows, Year-to-date 2025 | (2,679)</t>
      </text>
    </comment>
    <comment ref="E202" authorId="0">
      <text>
        <t>S4 UNP 4Q25 earnings release | Condensed Consolidated Statements of Cash Flows, Full Year 2025 | (2,679)</t>
      </text>
    </comment>
    <comment ref="F202" authorId="0">
      <text>
        <t>S5 UNP 1Q26 earnings release | Condensed Consolidated Statements of Cash Flows, 2026 | 0</t>
      </text>
    </comment>
    <comment ref="G202" authorId="0">
      <text>
        <t>S6 UNP 2Q26 earnings release | Condensed Consolidated Statements of Cash Flows, Year-to-date 2026 | (26)</t>
      </text>
    </comment>
    <comment ref="C203" authorId="0">
      <text>
        <t>S6 UNP 2Q26 earnings release | Condensed Consolidated Statements of Cash Flows, Year-to-date 2025 | 1,995</t>
      </text>
    </comment>
    <comment ref="D203" authorId="0">
      <text>
        <t>S3 UNP 3Q25 earnings release | Condensed Consolidated Statements of Cash Flows, Year-to-date 2025 | 1,995</t>
      </text>
    </comment>
    <comment ref="E203" authorId="0">
      <text>
        <t>S4 UNP 4Q25 earnings release | Condensed Consolidated Statements of Cash Flows, Full Year 2025 | 1,995</t>
      </text>
    </comment>
    <comment ref="F203" authorId="0">
      <text>
        <t>S5 UNP 1Q26 earnings release | Condensed Consolidated Statements of Cash Flows, 2026 | 0</t>
      </text>
    </comment>
    <comment ref="G203" authorId="0">
      <text>
        <t>S6 UNP 2Q26 earnings release | Condensed Consolidated Statements of Cash Flows, Year-to-date 2026 | 0</t>
      </text>
    </comment>
    <comment ref="C204" authorId="0">
      <text>
        <t>S6 UNP 2Q26 earnings release | Condensed Consolidated Statements of Cash Flows, Year-to-date 2025 | (409)</t>
      </text>
    </comment>
    <comment ref="D204" authorId="0">
      <text>
        <t>S3 UNP 3Q25 earnings release | Condensed Consolidated Statements of Cash Flows, Year-to-date 2025 | (1,424)</t>
      </text>
    </comment>
    <comment ref="E204" authorId="0">
      <text>
        <t>S4 UNP 4Q25 earnings release | Condensed Consolidated Statements of Cash Flows, Full Year 2025 | (1,428)</t>
      </text>
    </comment>
    <comment ref="F204" authorId="0">
      <text>
        <t>S5 UNP 1Q26 earnings release | Condensed Consolidated Statements of Cash Flows, 2026 | (1,172)</t>
      </text>
    </comment>
    <comment ref="G204" authorId="0">
      <text>
        <t>S6 UNP 2Q26 earnings release | Condensed Consolidated Statements of Cash Flows, Year-to-date 2026 | (1,506)</t>
      </text>
    </comment>
    <comment ref="C205" authorId="0">
      <text>
        <t>S6 UNP 2Q26 earnings release | Condensed Consolidated Statements of Cash Flows, Year-to-date 2025 | 43</t>
      </text>
    </comment>
    <comment ref="D205" authorId="0">
      <text>
        <t>S3 UNP 3Q25 earnings release | Condensed Consolidated Statements of Cash Flows, Year-to-date 2025 | 54</t>
      </text>
    </comment>
    <comment ref="E205" authorId="0">
      <text>
        <t>S4 UNP 4Q25 earnings release | Condensed Consolidated Statements of Cash Flows, Full Year 2025 | 72</t>
      </text>
    </comment>
    <comment ref="F205" authorId="0">
      <text>
        <t>S5 UNP 1Q26 earnings release | Condensed Consolidated Statements of Cash Flows, 2026 | 12</t>
      </text>
    </comment>
    <comment ref="G205" authorId="0">
      <text>
        <t>S6 UNP 2Q26 earnings release | Condensed Consolidated Statements of Cash Flows, Year-to-date 2026 | 63</t>
      </text>
    </comment>
    <comment ref="C206" authorId="0">
      <text>
        <t>S6 UNP 2Q26 earnings release | Condensed Consolidated Statements of Cash Flows, Year-to-date 2025 | (2,649)</t>
      </text>
    </comment>
    <comment ref="D206" authorId="0">
      <text>
        <t>S3 UNP 3Q25 earnings release | Condensed Consolidated Statements of Cash Flows, Year-to-date 2025 | (4,472)</t>
      </text>
    </comment>
    <comment ref="E206" authorId="0">
      <text>
        <t>S4 UNP 4Q25 earnings release | Condensed Consolidated Statements of Cash Flows, Full Year 2025 | (5,276)</t>
      </text>
    </comment>
    <comment ref="F206" authorId="0">
      <text>
        <t>S5 UNP 1Q26 earnings release | Condensed Consolidated Statements of Cash Flows, 2026 | (1,981)</t>
      </text>
    </comment>
    <comment ref="G206" authorId="0">
      <text>
        <t>S6 UNP 2Q26 earnings release | Condensed Consolidated Statements of Cash Flows, Year-to-date 2026 | (3,109)</t>
      </text>
    </comment>
    <comment ref="C207" authorId="0">
      <text>
        <t>S6 UNP 2Q26 earnings release | Condensed Consolidated Statements of Cash Flows, Year-to-date 2025 | 55</t>
      </text>
    </comment>
    <comment ref="D207" authorId="0">
      <text>
        <t>S3 UNP 3Q25 earnings release | Condensed Consolidated Statements of Cash Flows, Year-to-date 2025 | (198)</t>
      </text>
    </comment>
    <comment ref="E207" authorId="0">
      <text>
        <t>S4 UNP 4Q25 earnings release | Condensed Consolidated Statements of Cash Flows, Full Year 2025 | 252</t>
      </text>
    </comment>
    <comment ref="F207" authorId="0">
      <text>
        <t>S5 UNP 1Q26 earnings release | Condensed Consolidated Statements of Cash Flows, 2026 | (529)</t>
      </text>
    </comment>
    <comment ref="G207" authorId="0">
      <text>
        <t>S6 UNP 2Q26 earnings release | Condensed Consolidated Statements of Cash Flows, Year-to-date 2026 | 343</t>
      </text>
    </comment>
    <comment ref="C208" authorId="0">
      <text>
        <t>S6 UNP 2Q26 earnings release | Condensed Consolidated Statements of Cash Flows, Year-to-date 2025 | 1,028</t>
      </text>
    </comment>
    <comment ref="D208" authorId="0">
      <text>
        <t>S3 UNP 3Q25 earnings release | Condensed Consolidated Statements of Cash Flows, Year-to-date 2025 | 1,028</t>
      </text>
    </comment>
    <comment ref="E208" authorId="0">
      <text>
        <t>S4 UNP 4Q25 earnings release | Condensed Consolidated Statements of Cash Flows, Full Year 2025 | 1,028</t>
      </text>
    </comment>
    <comment ref="F208" authorId="0">
      <text>
        <t>S5 UNP 1Q26 earnings release | Condensed Consolidated Statements of Cash Flows, 2026 | 1,280</t>
      </text>
    </comment>
    <comment ref="G208" authorId="0">
      <text>
        <t>S6 UNP 2Q26 earnings release | Condensed Consolidated Statements of Cash Flows, Year-to-date 2026 | 1,280</t>
      </text>
    </comment>
    <comment ref="C209" authorId="0">
      <text>
        <t>S6 UNP 2Q26 earnings release | Condensed Consolidated Statements of Cash Flows, Year-to-date 2025 | 1,083</t>
      </text>
    </comment>
    <comment ref="D209" authorId="0">
      <text>
        <t>S3 UNP 3Q25 earnings release | Condensed Consolidated Statements of Cash Flows, Year-to-date 2025 | 830</t>
      </text>
    </comment>
    <comment ref="E209" authorId="0">
      <text>
        <t>S4 UNP 4Q25 earnings release | Condensed Consolidated Statements of Cash Flows, Full Year 2025 | 1,280</t>
      </text>
    </comment>
    <comment ref="F209" authorId="0">
      <text>
        <t>S5 UNP 1Q26 earnings release | Condensed Consolidated Statements of Cash Flows, 2026 | 751</t>
      </text>
    </comment>
    <comment ref="G209" authorId="0">
      <text>
        <t>S6 UNP 2Q26 earnings release | Condensed Consolidated Statements of Cash Flows, Year-to-date 2026 | 1,623</t>
      </text>
    </comment>
    <comment ref="C213" authorId="0">
      <text>
        <t>S7 UNP 3Q25 Form 10-Q | Note 6 Other Income, Nine months ended September 30, 2025 | 240</t>
      </text>
    </comment>
    <comment ref="D213" authorId="0">
      <text>
        <t>S9 UNP FY2025 Form 10-K (XBRL R72) | Other Income (Details), Dec. 31, 2025 | 558</t>
      </text>
    </comment>
    <comment ref="C214" authorId="0">
      <text>
        <t>S7 UNP 3Q25 Form 10-Q | Note 6 Other Income, Nine months ended September 30, 2025 | 42</t>
      </text>
    </comment>
    <comment ref="D214" authorId="0">
      <text>
        <t>S9 UNP FY2025 Form 10-K (XBRL R72) | Other Income (Details), Dec. 31, 2025 | 56</t>
      </text>
    </comment>
    <comment ref="C215" authorId="0">
      <text>
        <t>S7 UNP 3Q25 Form 10-Q | Note 6 Other Income, Nine months ended September 30, 2025 | 40</t>
      </text>
    </comment>
    <comment ref="D215" authorId="0">
      <text>
        <t>S9 UNP FY2025 Form 10-K (XBRL R72) | Other Income (Details), Dec. 31, 2025 | 55</t>
      </text>
    </comment>
    <comment ref="C216" authorId="0">
      <text>
        <t>S7 UNP 3Q25 Form 10-Q | Note 6 Other Income, Nine months ended September 30, 2025 | (18)</t>
      </text>
    </comment>
    <comment ref="D216" authorId="0">
      <text>
        <t>S9 UNP FY2025 Form 10-K (XBRL R72) | Other Income (Details), Dec. 31, 2025 | (32)</t>
      </text>
    </comment>
    <comment ref="C217" authorId="0">
      <text>
        <t>S7 UNP 3Q25 Form 10-Q | Note 6 Other Income, Nine months ended September 30, 2025 | (7)</t>
      </text>
    </comment>
    <comment ref="D217" authorId="0">
      <text>
        <t>S9 UNP FY2025 Form 10-K (XBRL R72) | Other Income (Details), Dec. 31, 2025 | (8)</t>
      </text>
    </comment>
    <comment ref="H223" authorId="0">
      <text>
        <t>S20 finhacker.cz UNP market cap history | October 16, 2026 | $171.68B</t>
      </text>
    </comment>
  </commentList>
</comments>
</file>

<file path=xl/sharedStrings.xml><?xml version="1.0" encoding="utf-8"?>
<sst xmlns="http://schemas.openxmlformats.org/spreadsheetml/2006/main" count="1227" uniqueCount="737">
  <si>
    <t>Union Pacific Corporation (NYSE: UNP)</t>
  </si>
  <si>
    <t>Cover — Company Model — built by Shortcut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</si>
  <si>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</si>
  <si>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</si>
  <si>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</si>
  <si>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</si>
  <si>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</si>
  <si>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</si>
  <si>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</si>
  <si>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</si>
  <si>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</si>
  <si>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</si>
  <si>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Notes</t>
  </si>
  <si>
    <t>Company Model — built by Shortcut</t>
  </si>
  <si>
    <t>3Q26E headline</t>
  </si>
  <si>
    <t>Estimate</t>
  </si>
  <si>
    <t>Consensus</t>
  </si>
  <si>
    <t>Variance</t>
  </si>
  <si>
    <t>Variance %</t>
  </si>
  <si>
    <t>Derived mid*</t>
  </si>
  <si>
    <t>Est. − mid</t>
  </si>
  <si>
    <t>Revenue ($M)</t>
  </si>
  <si>
    <t>n/a – not guided</t>
  </si>
  <si>
    <t>Net income – adjusted ($M)</t>
  </si>
  <si>
    <t>Net income – GAAP ($M)</t>
  </si>
  <si>
    <t>EPS – normalized diluted ($)</t>
  </si>
  <si>
    <t>n/a – GAAP only</t>
  </si>
  <si>
    <t>EPS – GAAP diluted ($)</t>
  </si>
  <si>
    <t>G16 derived, not guided (Guidance!G17): 2H26 implied reported EPS × 3Q25/(3Q25+4Q25) adjusted-EPS share. Not issuer GAAP EPS guidance.</t>
  </si>
  <si>
    <t>Overall check result</t>
  </si>
  <si>
    <t>PASS = historical revenue, EPS, adj. EPS and cash ties (C:G), FY25 sum-of-quarters, BS balance (incl. 3Q26E) and Cover links. CF memo ties (rows 16/18) and 3Q26E by-construction ties are not aggregated.</t>
  </si>
  <si>
    <t>P(beat consensus EPS)</t>
  </si>
  <si>
    <t>Confidence</t>
  </si>
  <si>
    <t>*Derived mid (not guided): issuer gives FY26 guidance only ("high-single-digit" reported EPS growth); the 3Q26 GAAP EPS figure in G16 is derived on the Guidance tab (G17) using adjusted-EPS seasonality, not issued by the company.</t>
  </si>
  <si>
    <t>Consensus = frozen S&amp;P Capital IQ snapshot captured 2026-10-18 (21 normalized EPS estimates; 19 revenue). Newer reference seen: Earnings Whispers whisper $3.45 (S25).</t>
  </si>
  <si>
    <t>Cover ties to statements</t>
  </si>
  <si>
    <t>Check flag (TRUE = pass)</t>
  </si>
  <si>
    <t>Company information</t>
  </si>
  <si>
    <t>Company</t>
  </si>
  <si>
    <t>Union Pacific Corporation</t>
  </si>
  <si>
    <t>Ticker</t>
  </si>
  <si>
    <t>UNP</t>
  </si>
  <si>
    <t>Exchange</t>
  </si>
  <si>
    <t>New York Stock Exchange (NYSE: UNP)</t>
  </si>
  <si>
    <t>Fiscal year end</t>
  </si>
  <si>
    <t>December 31 (FQ3 2026 = quarter ended 30-Sep-2026; supplied label 2026-09-30 is the actual period end)</t>
  </si>
  <si>
    <t>Reporting currency</t>
  </si>
  <si>
    <t>USD; amounts in $ millions, except per share</t>
  </si>
  <si>
    <t>EPS basis (scored)</t>
  </si>
  <si>
    <t>Normalized diluted EPS per common share, USD = issuer "adjusted diluted EPS" (excl. merger costs, land sales, one-off tax/labor items)</t>
  </si>
  <si>
    <t>Information cutoff</t>
  </si>
  <si>
    <t>2026-10-18T21:34:46Z</t>
  </si>
  <si>
    <t>Expected report date</t>
  </si>
  <si>
    <t>2026-10-22 (07:45 ET; issuer-confirmed 15-Oct-2026, S23; matches CapIQ)</t>
  </si>
  <si>
    <t>Author</t>
  </si>
  <si>
    <t>Shortcut — Company Model built by Shortcut</t>
  </si>
  <si>
    <t>Single reportable segment</t>
  </si>
  <si>
    <t>Railroad; commodity groups Bulk / Industrial / Premium shown as product lines</t>
  </si>
  <si>
    <t>Summary by period</t>
  </si>
  <si>
    <t>Total operating revenues ($M)</t>
  </si>
  <si>
    <t>Operating ratio (GAAP)</t>
  </si>
  <si>
    <t>Diluted EPS – GAAP</t>
  </si>
  <si>
    <t>Diluted EPS – adjusted (normalized)</t>
  </si>
  <si>
    <t>Revenue summary (single reportable segment: Railroad)</t>
  </si>
  <si>
    <t>Forecast assumptions (3Q26E; inputs in blue)</t>
  </si>
  <si>
    <t>Ex-fuel ARPC growth – carload lines</t>
  </si>
  <si>
    <t>Set to 2Q26 carload ex-fuel price/mix implied by FSC calibration (+2.1%); pricing dollars &gt; inflation (S6).</t>
  </si>
  <si>
    <t>Ex-fuel ARPC growth – intermodal</t>
  </si>
  <si>
    <t>2Q26 implied +3.9%; trimmed for intermodal mix (international up, S11) partly offset by peak-season box surcharges.</t>
  </si>
  <si>
    <t>Other revenues growth Y/Y</t>
  </si>
  <si>
    <t>2Q26 +11% on volume (subsidiary &amp; accessorial); 3Q volume +5%.</t>
  </si>
  <si>
    <t>M&amp;A / scope impact on revenue (all lines)</t>
  </si>
  <si>
    <t>No acquisition closed in any period shown; Norfolk Southern merger pending STB review, expected 2027 (10-Q Note 18, S8).</t>
  </si>
  <si>
    <t>FX impact on revenue (all lines)</t>
  </si>
  <si>
    <t>n/d</t>
  </si>
  <si>
    <t>Not disclosed by issuer; revenue is USD and from principally U.S.-domiciled customers. Organic growth therefore shown as n/a.</t>
  </si>
  <si>
    <t>Revenue carloads (000s) — volume ladder</t>
  </si>
  <si>
    <t xml:space="preserve">  Grain &amp; grain products</t>
  </si>
  <si>
    <t xml:space="preserve">    % Y/Y</t>
  </si>
  <si>
    <t xml:space="preserve">    Q/Q change (000s)</t>
  </si>
  <si>
    <t xml:space="preserve">  Fertilizer</t>
  </si>
  <si>
    <t xml:space="preserve">  Food &amp; refrigerated</t>
  </si>
  <si>
    <t xml:space="preserve">  Coal &amp; renewables</t>
  </si>
  <si>
    <t>Bulk carloads</t>
  </si>
  <si>
    <t xml:space="preserve">  Industrial chemicals &amp; plastics</t>
  </si>
  <si>
    <t xml:space="preserve">  Metals &amp; minerals</t>
  </si>
  <si>
    <t xml:space="preserve">  Forest products</t>
  </si>
  <si>
    <t xml:space="preserve">  Energy &amp; specialized markets</t>
  </si>
  <si>
    <t>Industrial carloads</t>
  </si>
  <si>
    <t xml:space="preserve">  Automotive</t>
  </si>
  <si>
    <t xml:space="preserve">  Intermodal</t>
  </si>
  <si>
    <t>Premium carloads</t>
  </si>
  <si>
    <t>Total revenue carloads</t>
  </si>
  <si>
    <t>Intermodal share of carloads</t>
  </si>
  <si>
    <t xml:space="preserve">    Change Y/Y (bp)</t>
  </si>
  <si>
    <t xml:space="preserve">    Change Q/Q (bp)</t>
  </si>
  <si>
    <t>Fuel surcharge (FSC) driver ladder</t>
  </si>
  <si>
    <t>EIA diesel (HDF), qtr avg ($/gal)</t>
  </si>
  <si>
    <t xml:space="preserve">    Change Y/Y ($/gal)</t>
  </si>
  <si>
    <t xml:space="preserve">    Q/Q change ($/gal)</t>
  </si>
  <si>
    <t>HDF basis – carload (2-mo lag)</t>
  </si>
  <si>
    <t>HDF basis – intermodal (0–1 mo lag)</t>
  </si>
  <si>
    <t>UP intermodal surcharge is a separate program (S18); effective lag assumed between 0 and 1 month.</t>
  </si>
  <si>
    <t>Carload FSC slope (% per $1/gal)</t>
  </si>
  <si>
    <t>Least-squares fit of modelled vs reported FSC, 2Q25–2Q26 (in-sample errors within ±$2M; out-of-sample 3Q24/4Q24/1Q25: −$17M/−$14M/−$8M).</t>
  </si>
  <si>
    <t>Carload FSC base price ($/gal)</t>
  </si>
  <si>
    <t>Intermodal FSC slope (% per $1/gal)</t>
  </si>
  <si>
    <t>Intermodal FSC base price ($/gal)</t>
  </si>
  <si>
    <t>Fixed by assumption; slope fitted.</t>
  </si>
  <si>
    <t>Carload FSC rate (% ex-fuel rev.)</t>
  </si>
  <si>
    <t>Intermodal FSC rate (% ex-fuel rev.)</t>
  </si>
  <si>
    <t>FSC uplift vs 3Q25 – carload ARPC</t>
  </si>
  <si>
    <t>FSC uplift vs 3Q25 – intermodal ARPC</t>
  </si>
  <si>
    <t>Average revenue per car ($, incl. fuel surcharge) — price ladder</t>
  </si>
  <si>
    <t xml:space="preserve">    Q/Q change ($)</t>
  </si>
  <si>
    <t>Bulk average</t>
  </si>
  <si>
    <t>Industrial average</t>
  </si>
  <si>
    <t>Premium average</t>
  </si>
  <si>
    <t>Average revenue per car – all freight</t>
  </si>
  <si>
    <t>Freight revenue by commodity ($M) — carloads × ARPC</t>
  </si>
  <si>
    <t>3Q26E lines = 3Q25 rounded carloads (000s) × reported ARPC × (1+g) × FSC uplift; rebuilt 3Q25 base differs from reported line revenue by rounding (total +$0.35M). Line Y/Y in H includes this base effect (up to ~1pt, e.g. fertilizer); assumptions unchanged.</t>
  </si>
  <si>
    <t xml:space="preserve">    % Q/Q</t>
  </si>
  <si>
    <t xml:space="preserve">    % of total operating revenue</t>
  </si>
  <si>
    <t xml:space="preserve">    M&amp;A / scope impact</t>
  </si>
  <si>
    <t xml:space="preserve">    FX impact</t>
  </si>
  <si>
    <t xml:space="preserve">    Organic growth</t>
  </si>
  <si>
    <t>Bulk freight revenue</t>
  </si>
  <si>
    <t xml:space="preserve">  % Y/Y</t>
  </si>
  <si>
    <t xml:space="preserve">  % Q/Q</t>
  </si>
  <si>
    <t xml:space="preserve">  % of total operating revenue</t>
  </si>
  <si>
    <t xml:space="preserve">  M&amp;A / scope impact</t>
  </si>
  <si>
    <t xml:space="preserve">  FX impact</t>
  </si>
  <si>
    <t xml:space="preserve">  Organic growth</t>
  </si>
  <si>
    <t>Industrial freight revenue</t>
  </si>
  <si>
    <t>Premium freight revenue</t>
  </si>
  <si>
    <t>Total freight revenue (sum of lines)</t>
  </si>
  <si>
    <t>Freight revenues – as reported</t>
  </si>
  <si>
    <t>Check: lines − reported (= 0)</t>
  </si>
  <si>
    <t>3Q26E (H): holds by construction (H is built from the compared cell) – not an independent test; excluded from Cover PASS.</t>
  </si>
  <si>
    <t xml:space="preserve">    Fuel surcharge contribution (pts)</t>
  </si>
  <si>
    <t xml:space="preserve">    Ex-fuel contribution (pts)</t>
  </si>
  <si>
    <t>Fuel surcharge revenue — reported vs modelled ($M)</t>
  </si>
  <si>
    <t>Fuel surcharge revenue (FSC)</t>
  </si>
  <si>
    <t>n/a</t>
  </si>
  <si>
    <t xml:space="preserve">    Q/Q change ($M)</t>
  </si>
  <si>
    <t xml:space="preserve">  Intermodal freight revenue</t>
  </si>
  <si>
    <t xml:space="preserve">  Carload freight revenue (non-intermodal)</t>
  </si>
  <si>
    <t xml:space="preserve">  Modelled FSC – carload programs</t>
  </si>
  <si>
    <t xml:space="preserve">  Modelled FSC – intermodal programs</t>
  </si>
  <si>
    <t>Modelled FSC – total</t>
  </si>
  <si>
    <t>Model fit: modelled − reported FSC ($M)</t>
  </si>
  <si>
    <t>FY25 uses annual-average HDF bases (approximation).</t>
  </si>
  <si>
    <t>Freight revenue excluding fuel surcharge</t>
  </si>
  <si>
    <t>FSC as % of ex-fuel freight revenue</t>
  </si>
  <si>
    <t>Other revenues and total operating revenues ($M)</t>
  </si>
  <si>
    <t>Other revenues (subsidiaries, accessorial)</t>
  </si>
  <si>
    <t>Total operating revenues</t>
  </si>
  <si>
    <t xml:space="preserve">    % of total (memo: = 100%)</t>
  </si>
  <si>
    <t>Tautological memo: total ÷ itself = 100% by definition; not an analytical ratio.</t>
  </si>
  <si>
    <t>Memo: CapIQ consensus revenue</t>
  </si>
  <si>
    <t xml:space="preserve">    Estimate vs consensus</t>
  </si>
  <si>
    <t>Geography</t>
  </si>
  <si>
    <t>Memo: Mexico cross-border freight rev.</t>
  </si>
  <si>
    <t>4Q25 not separately disclosed (FY given rounded to $0.1bn); not forecast for 3Q26E.</t>
  </si>
  <si>
    <t xml:space="preserve">    % of freight revenue</t>
  </si>
  <si>
    <t>Single geography: revenue is principally derived from U.S.-domiciled customers (10-Q Note 3; 10-K FY2025) — no Geo tab.</t>
  </si>
  <si>
    <t>Income Statement</t>
  </si>
  <si>
    <t>Operating revenues</t>
  </si>
  <si>
    <t>Freight revenues</t>
  </si>
  <si>
    <t>Other revenues</t>
  </si>
  <si>
    <t>Gross profit / gross margin: not applicable – issuer presents operating expenses by nature, no cost of sales (CapIQ gross_margin_pct blank, Inputs C76).</t>
  </si>
  <si>
    <t>Operating expenses</t>
  </si>
  <si>
    <t xml:space="preserve">  Compensation and benefits</t>
  </si>
  <si>
    <t xml:space="preserve">    % of revenue</t>
  </si>
  <si>
    <t xml:space="preserve">  Fuel</t>
  </si>
  <si>
    <t xml:space="preserve">  Purchased services and materials</t>
  </si>
  <si>
    <t xml:space="preserve">  Depreciation</t>
  </si>
  <si>
    <t xml:space="preserve">  Equipment and other rents</t>
  </si>
  <si>
    <t xml:space="preserve">  Other</t>
  </si>
  <si>
    <t>Total operating expenses</t>
  </si>
  <si>
    <t>Operating income (GAAP)</t>
  </si>
  <si>
    <t>Operating margin</t>
  </si>
  <si>
    <t>Operating ratio (opex / revenue)</t>
  </si>
  <si>
    <t>Other income, net (Note 6 components) ($M)</t>
  </si>
  <si>
    <t xml:space="preserve">  Real estate income</t>
  </si>
  <si>
    <t xml:space="preserve">  Interest income</t>
  </si>
  <si>
    <t xml:space="preserve">  Net periodic pension benefit/(costs)</t>
  </si>
  <si>
    <t xml:space="preserve">  Non-op. environmental remediation</t>
  </si>
  <si>
    <t>Other income, net</t>
  </si>
  <si>
    <t>Interest expense</t>
  </si>
  <si>
    <t>Income before income taxes</t>
  </si>
  <si>
    <t>Income tax expense</t>
  </si>
  <si>
    <t>Effective tax rate</t>
  </si>
  <si>
    <t>3Q26E input 23.5%: 1Q26 23.7%; 2Q26 22.0% incl. $27M state deferred-tax benefit (23.1% ex); merger costs non-deductible.</t>
  </si>
  <si>
    <t>Net income (GAAP, to common)</t>
  </si>
  <si>
    <t>Net margin</t>
  </si>
  <si>
    <t>Per share</t>
  </si>
  <si>
    <t>Weighted average shares – basic (mm)</t>
  </si>
  <si>
    <t>Weighted average shares – diluted (mm)</t>
  </si>
  <si>
    <t>EPS – basic (GAAP)</t>
  </si>
  <si>
    <t>EPS – diluted (GAAP)</t>
  </si>
  <si>
    <t>EPS – diluted, as reported (rounded)</t>
  </si>
  <si>
    <t>Quarters linked to CapIQ history eps_gaap_actual (Inputs B); FY25 from S4.</t>
  </si>
  <si>
    <t>Check: EPS = NI / diluted shares</t>
  </si>
  <si>
    <t>Dividends declared per share</t>
  </si>
  <si>
    <t>GAAP to non-GAAP bridge (issuer "adjusted" = CapIQ normalized basis)</t>
  </si>
  <si>
    <t>Net income (GAAP)</t>
  </si>
  <si>
    <t xml:space="preserve">  Add: merger costs, pre-tax</t>
  </si>
  <si>
    <t xml:space="preserve">  Less: tax on merger costs (non-deduct.)</t>
  </si>
  <si>
    <t xml:space="preserve">  Less: land sales, pre-tax</t>
  </si>
  <si>
    <t xml:space="preserve">  Add: tax on land sales</t>
  </si>
  <si>
    <t xml:space="preserve">  Less: deferred tax adj. (Kansas)</t>
  </si>
  <si>
    <t xml:space="preserve">  Add: crew staffing agreement, pre-tax</t>
  </si>
  <si>
    <t xml:space="preserve">  Less: tax on crew staffing agreement</t>
  </si>
  <si>
    <t>Adjusted net income (normalized basis)</t>
  </si>
  <si>
    <t>Prior-year adjusted NI approximated as issuer adjusted EPS × diluted shares.</t>
  </si>
  <si>
    <t>Adjusted diluted EPS (normalized)</t>
  </si>
  <si>
    <t>Adjusted diluted EPS – issuer reported</t>
  </si>
  <si>
    <t>Quarters = CapIQ normalized actual (Inputs B), identical to issuer adjusted EPS; FY25 from S4.</t>
  </si>
  <si>
    <t>Check: adj. EPS vs issuer (≤ $0.005)</t>
  </si>
  <si>
    <t>Adjusted operating income</t>
  </si>
  <si>
    <t>Adjusted operating ratio</t>
  </si>
  <si>
    <t>Model EBITDA (NI+tax+dep.+int.)</t>
  </si>
  <si>
    <t>Model definition = issuer's unadjusted 'EBITDA' subtotal (10-K FY25 $12,940 = E96); NOT issuer Adjusted EBITDA (− other income + interest on operating leases; disclosed TTM only, lease interest not quarterly). Issuer-defined metric unavailable for 3Q26E; tracked memo, not scored.</t>
  </si>
  <si>
    <t>EBITDA margin</t>
  </si>
  <si>
    <t>Memo: CapIQ consensus EPS (normalized)</t>
  </si>
  <si>
    <t>Estimate vs consensus ($/share)</t>
  </si>
  <si>
    <t>Operating expense drivers</t>
  </si>
  <si>
    <t>Total employees (average)</t>
  </si>
  <si>
    <t>3Q26E: +0.4% Y/Y; surge resources for +5% carloads (S11), workforce productivity gains continue.</t>
  </si>
  <si>
    <t xml:space="preserve">    Q/Q change</t>
  </si>
  <si>
    <t>Comp. per employee ($000/period)</t>
  </si>
  <si>
    <t>Issuer: FY26 comp per employee ~+6% (S6 call); 1H26 +6.9% ex-2025 one-off → 2H implied ~+5%.</t>
  </si>
  <si>
    <t xml:space="preserve">    Q/Q change ($000)</t>
  </si>
  <si>
    <t>Comp. &amp; benefits (employees × rate)</t>
  </si>
  <si>
    <t>Gross ton-miles (millions)</t>
  </si>
  <si>
    <t>3Q26E +3.5%: carloads +5% skewed to lighter intermodal; coal −4%.</t>
  </si>
  <si>
    <t xml:space="preserve">    Q/Q change (millions)</t>
  </si>
  <si>
    <t>Fuel consumption rate (gal / 000 GTM)</t>
  </si>
  <si>
    <t>3Q26E: ~−0.7% Y/Y, in line with recent 1–4% improvement.</t>
  </si>
  <si>
    <t>Fuel consumed (million gallons)</t>
  </si>
  <si>
    <t xml:space="preserve">    Q/Q change (million gallons)</t>
  </si>
  <si>
    <t>Avg fuel price per gallon ($)</t>
  </si>
  <si>
    <t>3Q26E $4.30: CFO guided ~$4.25 on 16-Sep with spot $5.20–5.30; retail diesel rose further to $6.53 (21-Sep).</t>
  </si>
  <si>
    <t>Locomotive fuel cost = gallons × price</t>
  </si>
  <si>
    <t>Non-locomotive fuel uplift</t>
  </si>
  <si>
    <t>3Q26E 2.2% ≈ 4-quarter average (1.7%–2.5%).</t>
  </si>
  <si>
    <t>Fuel expense (driver build)</t>
  </si>
  <si>
    <t>Fuel surcharge revenue less fuel expense</t>
  </si>
  <si>
    <t xml:space="preserve">    Change Y/Y ($M)</t>
  </si>
  <si>
    <t>Merger costs, pre-tax</t>
  </si>
  <si>
    <t>Assumed booked in purchased services &amp; materials (issuer: PS&amp;M up on merger costs, S6).</t>
  </si>
  <si>
    <t>Growth % not shown: prior-year base is zero/near-zero (merger agreement dated 28-Jul-2025, S8).</t>
  </si>
  <si>
    <t>PS&amp;M excl. merger costs</t>
  </si>
  <si>
    <t>3Q26E +6%: 2Q26 +5% on +2% volume (intermodal/subsidiary costs); 3Q volume +5%. PY base has no merger costs (merger agreement dated 28-Jul-2025, S8).</t>
  </si>
  <si>
    <t>PS&amp;M (driver build)</t>
  </si>
  <si>
    <t>Depreciation: sequential increase ($M)</t>
  </si>
  <si>
    <t>Actual quarterly steps +5, +6, +9, +5 (3Q25–2Q26); 3Q26E +$5 assumes the 2Q26 run-rate (1Q26 +9 included year-start in-service additions).</t>
  </si>
  <si>
    <t>Total debt, period end</t>
  </si>
  <si>
    <t>Interest rate on period-end debt</t>
  </si>
  <si>
    <t>3Q26E 4.08%: last four quarters 4.09%–4.18%; no new issuance assumed.</t>
  </si>
  <si>
    <t>3Q24, 1Q25, 2Q25 period-end debt not captured: unavailable.</t>
  </si>
  <si>
    <t>Annual reconciliation (FY25 reported vs sum of quarters)</t>
  </si>
  <si>
    <t>FY25 revenue − sum of quarters</t>
  </si>
  <si>
    <t>FY25 opex − sum of quarters</t>
  </si>
  <si>
    <t>FY25 net income − sum of quarters</t>
  </si>
  <si>
    <t>Balance Sheet</t>
  </si>
  <si>
    <t>Assets ($M)</t>
  </si>
  <si>
    <t xml:space="preserve">  Cash and cash equivalents</t>
  </si>
  <si>
    <t xml:space="preserve">  Other current assets</t>
  </si>
  <si>
    <t xml:space="preserve">  Investments</t>
  </si>
  <si>
    <t xml:space="preserve">  Properties, net</t>
  </si>
  <si>
    <t xml:space="preserve">  Operating lease assets</t>
  </si>
  <si>
    <t xml:space="preserve">  Other assets</t>
  </si>
  <si>
    <t>Total assets</t>
  </si>
  <si>
    <t>Liabilities and common shareholders' equity ($M)</t>
  </si>
  <si>
    <t xml:space="preserve">  Debt due within one year</t>
  </si>
  <si>
    <t xml:space="preserve">  Other current liabilities</t>
  </si>
  <si>
    <t xml:space="preserve">  Debt due after one year</t>
  </si>
  <si>
    <t xml:space="preserve">  Operating lease liabilities</t>
  </si>
  <si>
    <t xml:space="preserve">  Deferred income taxes</t>
  </si>
  <si>
    <t xml:space="preserve">  Other long-term liabilities</t>
  </si>
  <si>
    <t>Total liabilities</t>
  </si>
  <si>
    <t>Total common shareholders' equity</t>
  </si>
  <si>
    <t>Total liabilities &amp; equity</t>
  </si>
  <si>
    <t>Check: assets − liab. − equity (= 0)</t>
  </si>
  <si>
    <t>Memo</t>
  </si>
  <si>
    <t>Total debt</t>
  </si>
  <si>
    <t>Net debt (total debt − cash)</t>
  </si>
  <si>
    <t>Restricted cash equivalents</t>
  </si>
  <si>
    <t>Debt / ann. model EBITDA (x)</t>
  </si>
  <si>
    <t>Uses model EBITDA (IS row 96); not the issuer's adjusted debt / adjusted EBITDA ratio (TTM, incl. operating leases).</t>
  </si>
  <si>
    <t>Memo: CapIQ consensus net debt</t>
  </si>
  <si>
    <t>Cash Flow Statement</t>
  </si>
  <si>
    <t>Operating activities ($M)</t>
  </si>
  <si>
    <t xml:space="preserve">  Net income</t>
  </si>
  <si>
    <t xml:space="preserve">  Deferred and other income taxes</t>
  </si>
  <si>
    <t xml:space="preserve">  Other – net (working capital and other)</t>
  </si>
  <si>
    <t>Cash provided by operating activities</t>
  </si>
  <si>
    <t xml:space="preserve">    Memo: CFO as reported</t>
  </si>
  <si>
    <t xml:space="preserve">    Check: CFO build − reported (= 0)</t>
  </si>
  <si>
    <t>3Q26E (H): reported CFO = model CFO by construction – not an independent test.</t>
  </si>
  <si>
    <t xml:space="preserve">    Memo: NI per reported CF statement</t>
  </si>
  <si>
    <t xml:space="preserve">    Check: CF net income − IS net income (= 0)</t>
  </si>
  <si>
    <t>3Q26E (H): CF net income = IS net income by construction – not an independent test.</t>
  </si>
  <si>
    <t>Investing activities ($M)</t>
  </si>
  <si>
    <t xml:space="preserve">  Capital investments</t>
  </si>
  <si>
    <t xml:space="preserve">  Other – net</t>
  </si>
  <si>
    <t>Cash used in investing activities</t>
  </si>
  <si>
    <t>Financing activities ($M)</t>
  </si>
  <si>
    <t xml:space="preserve">  Dividends paid</t>
  </si>
  <si>
    <t xml:space="preserve">  Share repurchase programs</t>
  </si>
  <si>
    <t xml:space="preserve">  Debt issued</t>
  </si>
  <si>
    <t xml:space="preserve">  Debt repaid</t>
  </si>
  <si>
    <t>Cash used in financing activities</t>
  </si>
  <si>
    <t>Net change in cash &amp; restricted cash</t>
  </si>
  <si>
    <t>Cash &amp; restricted cash – beginning</t>
  </si>
  <si>
    <t>Cash &amp; restricted cash – end</t>
  </si>
  <si>
    <t>BS cash + restricted cash</t>
  </si>
  <si>
    <t>Check: CF cash − BS cash (= 0)</t>
  </si>
  <si>
    <t>3Q26E (H): BS cash is rolled from CF net change, so this tie holds by construction; excluded from Cover PASS.</t>
  </si>
  <si>
    <t>Free cash flow (issuer definition: CFO − cash used in investing − dividends paid)</t>
  </si>
  <si>
    <t>Free cash flow</t>
  </si>
  <si>
    <t>Capital expenditures (gross, positive)</t>
  </si>
  <si>
    <t>Capex % of revenue</t>
  </si>
  <si>
    <t>Cash flow conversion (CFO / net income)</t>
  </si>
  <si>
    <t>Share Count</t>
  </si>
  <si>
    <t>Weighted average shares (mm)</t>
  </si>
  <si>
    <t>Weighted average shares – basic</t>
  </si>
  <si>
    <t xml:space="preserve">    Net issuance (Δ weighted basic)</t>
  </si>
  <si>
    <t>FY column = Y/Y change. 3Q26E +0.2mm employee plans; buybacks paused for NS merger (10-Q Note 16).</t>
  </si>
  <si>
    <t xml:space="preserve">  Dilutive effect of equity awards</t>
  </si>
  <si>
    <t>3Q26E 0.6mm ≈ last four quarters (0.6–1.0mm).</t>
  </si>
  <si>
    <t xml:space="preserve">    Change Y/Y (mm)</t>
  </si>
  <si>
    <t xml:space="preserve">    Q/Q change (mm)</t>
  </si>
  <si>
    <t>Weighted avg shares – diluted</t>
  </si>
  <si>
    <t>Shares outstanding and buybacks</t>
  </si>
  <si>
    <t>Shares outstanding (cover count)</t>
  </si>
  <si>
    <t>Cover-page counts are dated shortly after period end.</t>
  </si>
  <si>
    <t>Share repurchases ($M)</t>
  </si>
  <si>
    <t>Shares behind forecast EPS</t>
  </si>
  <si>
    <t>Check: adj. EPS × shares = adj. NI</t>
  </si>
  <si>
    <t>Holds by construction (H88 = H86/H16) – not an independent test; excluded from Cover PASS.</t>
  </si>
  <si>
    <t>Guidance</t>
  </si>
  <si>
    <t>Note: period band in rows 5–7 is the shared template header; the columns below are not period columns.</t>
  </si>
  <si>
    <t>Guidance item</t>
  </si>
  <si>
    <t>Date given</t>
  </si>
  <si>
    <t>Low</t>
  </si>
  <si>
    <t>High</t>
  </si>
  <si>
    <t>Midpoint</t>
  </si>
  <si>
    <t>Actual</t>
  </si>
  <si>
    <t>Beat / miss vs mid</t>
  </si>
  <si>
    <t>Source</t>
  </si>
  <si>
    <t>FY25 reported EPS growth (3-yr CAGR target: high-single to low-double digit)</t>
  </si>
  <si>
    <t>FY2025</t>
  </si>
  <si>
    <t>S3 3Q25 release, 2025 Outlook</t>
  </si>
  <si>
    <t>FY25 capital plan ($M)</t>
  </si>
  <si>
    <t>S3 3Q25 release; actual incl. $311M lease buyouts</t>
  </si>
  <si>
    <t>FY26 reported EPS growth – mid-single digit (initial)</t>
  </si>
  <si>
    <t>FY2026</t>
  </si>
  <si>
    <t>S4 4Q25 release, 2026 Outlook</t>
  </si>
  <si>
    <t>FY26 reported EPS growth – mid-single digit (affirmed)</t>
  </si>
  <si>
    <t>S5 1Q26 release</t>
  </si>
  <si>
    <t>FY26 reported EPS growth – raised to high-single digit</t>
  </si>
  <si>
    <t>S6 2Q26 release, 2026 Outlook Improved</t>
  </si>
  <si>
    <t>Implied FY26 reported diluted EPS ($) = FY25 $11.98 × (1 + growth)</t>
  </si>
  <si>
    <t>Derived from S6 + S4</t>
  </si>
  <si>
    <t>Implied 2H26 reported EPS ($) = FY26 implied − 1H26 actual ($2.87 + $3.36)</t>
  </si>
  <si>
    <t>2H2026</t>
  </si>
  <si>
    <t>Derived</t>
  </si>
  <si>
    <t>Implied 3Q26 reported EPS ($) – 2H26 implied × 3Q share of 2H25 adjusted EPS (derived, not issuer guidance)</t>
  </si>
  <si>
    <t>3Q2026</t>
  </si>
  <si>
    <t>Derived, not issuer guidance: reported 2H26 split by adjusted-EPS seasonality, 3Q25 $3.08 / (3Q25 $3.08 + 4Q25 $2.86); a reported-EPS split ($3.01 / ($3.01 + $3.11)) would give ~$3.30.</t>
  </si>
  <si>
    <t>FY26 capital plan ($M)</t>
  </si>
  <si>
    <t>S4 4Q25 release; affirmed S5, S6</t>
  </si>
  <si>
    <t>FY26 compensation per employee growth (~6%)</t>
  </si>
  <si>
    <t>S6 2Q26 call (CFO)</t>
  </si>
  <si>
    <t>3Q26 average fuel price per gallon (~$4.25)</t>
  </si>
  <si>
    <t>S11 Laguna conference (CFO)</t>
  </si>
  <si>
    <t>3Q26 carload growth (~+5% quarter to date)</t>
  </si>
  <si>
    <t>S11 Laguna conference (CEO)</t>
  </si>
  <si>
    <t>3Q26 fuel headwind to operating ratio (≥120 bp, "that big or bigger")</t>
  </si>
  <si>
    <t>3Q26 merger costs (~$20M, third-party summary) – feeds model assumption</t>
  </si>
  <si>
    <t>S12 Quartr summary of Laguna</t>
  </si>
  <si>
    <t>Record: UNP issues annual (not quarterly) EPS guidance; FY2025 reported EPS growth of 8.0% landed inside the 7–11% band (slightly below the 9% midpoint).</t>
  </si>
  <si>
    <t>No revenue or net income guidance is given (CapIQ guidance fields blank). FY26 guidance was raised once (Jul-26); 1H26 reported EPS +6%.</t>
  </si>
  <si>
    <t>Sources</t>
  </si>
  <si>
    <t>ID</t>
  </si>
  <si>
    <t>Published</t>
  </si>
  <si>
    <t>Publisher</t>
  </si>
  <si>
    <t>Retrieved (UTC)</t>
  </si>
  <si>
    <t>Pre-cutoff?</t>
  </si>
  <si>
    <t>Type</t>
  </si>
  <si>
    <t>What it feeds</t>
  </si>
  <si>
    <t>URL or file</t>
  </si>
  <si>
    <t>S&amp;P Capital IQ consensus snapshot (UNP_consensus.json)</t>
  </si>
  <si>
    <t>S1</t>
  </si>
  <si>
    <t>S&amp;P Capital IQ</t>
  </si>
  <si>
    <t>Yes</t>
  </si>
  <si>
    <t>file</t>
  </si>
  <si>
    <t>Cover consensus; Inputs A</t>
  </si>
  <si>
    <t>workspace/UNP_consensus.json</t>
  </si>
  <si>
    <t>S&amp;P Capital IQ six-quarter history (UNP_history.csv)</t>
  </si>
  <si>
    <t>S2</t>
  </si>
  <si>
    <t>Prior calibration; IS CapIQ normalized row</t>
  </si>
  <si>
    <t>workspace/UNP_history.csv</t>
  </si>
  <si>
    <t>UNP 3Q25 earnings release (8-K Ex. 99.1)</t>
  </si>
  <si>
    <t>S3</t>
  </si>
  <si>
    <t>Union Pacific / SEC</t>
  </si>
  <si>
    <t>filing</t>
  </si>
  <si>
    <t>3Q25 BS, CF YTD, 3Q24 comparatives, non-GAAP</t>
  </si>
  <si>
    <t>https://www.sec.gov/Archives/edgar/data/100885/000010088525000320/a2025-10x238xkex991earning.htm</t>
  </si>
  <si>
    <t>UNP 4Q25 &amp; FY25 earnings release (8-K Ex. 99.1)</t>
  </si>
  <si>
    <t>S4</t>
  </si>
  <si>
    <t>2025 quarterly IS &amp; freight stats, FY25 BS/CF, FY26 outlook</t>
  </si>
  <si>
    <t>https://www.sec.gov/Archives/edgar/data/100885/000010088526000032/a2026-01x278xkex991earning.htm</t>
  </si>
  <si>
    <t>UNP 1Q26 earnings release (8-K Ex. 99.1)</t>
  </si>
  <si>
    <t>S5</t>
  </si>
  <si>
    <t>1Q26 IS, BS, CF, op stats</t>
  </si>
  <si>
    <t>https://www.sec.gov/Archives/edgar/data/100885/000010088526000154/a2026-04x238xkex991earning.htm</t>
  </si>
  <si>
    <t>UNP 2Q26 earnings release (8-K Ex. 99.1) and call</t>
  </si>
  <si>
    <t>S6</t>
  </si>
  <si>
    <t>2Q26 IS, BS, CF, op stats; FY26 guide raise</t>
  </si>
  <si>
    <t>https://www.sec.gov/Archives/edgar/data/100885/000010088526000249/a2026-07x238xkex991earning.htm</t>
  </si>
  <si>
    <t>UNP 2Q26 earnings call transcript</t>
  </si>
  <si>
    <t>S6b</t>
  </si>
  <si>
    <t>AlphaStreet</t>
  </si>
  <si>
    <t>transcript</t>
  </si>
  <si>
    <t>Comp/employee ~6%, fuel $0.14 net, mix commentary</t>
  </si>
  <si>
    <t>https://news.alphastreet.com/union-pacific-corporation-unp-q2-2026-earnings-call-transcript/</t>
  </si>
  <si>
    <t>UNP 3Q25 Form 10-Q</t>
  </si>
  <si>
    <t>S7</t>
  </si>
  <si>
    <t>SEC EDGAR</t>
  </si>
  <si>
    <t>Other income note, restricted cash, Mexico revenue, share count</t>
  </si>
  <si>
    <t>https://www.sec.gov/Archives/edgar/data/100885/000010088525000321/unp-20250930.htm</t>
  </si>
  <si>
    <t>UNP 2Q26 Form 10-Q</t>
  </si>
  <si>
    <t>S8</t>
  </si>
  <si>
    <t>Note 6, restricted cash, Mexico, share count, tax, merger note</t>
  </si>
  <si>
    <t>https://www.sec.gov/Archives/edgar/data/100885/000010088526000250/unp-20260630.htm</t>
  </si>
  <si>
    <t>UNP FY2025 Form 10-K (incl. XBRL R72)</t>
  </si>
  <si>
    <t>S9</t>
  </si>
  <si>
    <t>One reportable segment; Mexico FY; FY other income detail; share count</t>
  </si>
  <si>
    <t>https://www.sec.gov/Archives/edgar/data/100885/000010088526000037/unp-20251231.htm</t>
  </si>
  <si>
    <t>UNP 1Q26 Form 10-Q</t>
  </si>
  <si>
    <t>S10</t>
  </si>
  <si>
    <t>Note 6, restricted cash, Mexico, share count</t>
  </si>
  <si>
    <t>https://www.sec.gov/Archives/edgar/data/100885/000010088526000155/unp-20260331.htm</t>
  </si>
  <si>
    <t>Morgan Stanley Laguna Conference transcript (UNP)</t>
  </si>
  <si>
    <t>S11</t>
  </si>
  <si>
    <t>Investing.com</t>
  </si>
  <si>
    <t>3Q26 carloads ~+5%, fuel ~$4.25/gal, OR headwind</t>
  </si>
  <si>
    <t>https://www.investing.com/news/transcripts/union-pacific-at-morgan-stanley-laguna-conference-growth-fuel-and-merger-93CH-4904202</t>
  </si>
  <si>
    <t>Laguna conference summary</t>
  </si>
  <si>
    <t>S12</t>
  </si>
  <si>
    <t>Quartr</t>
  </si>
  <si>
    <t>summary</t>
  </si>
  <si>
    <t>3Q26 merger costs ~$20M</t>
  </si>
  <si>
    <t>https://quartr.com/events/union-pacific-corporation-unp-morgan-stanley-s-14th-annual-laguna-conference_3YxjkepK</t>
  </si>
  <si>
    <t>UNP 3Q25 earnings presentation</t>
  </si>
  <si>
    <t>S13</t>
  </si>
  <si>
    <t>Union Pacific</t>
  </si>
  <si>
    <t>presentation</t>
  </si>
  <si>
    <t>FSC 3Q25 / 3Q24</t>
  </si>
  <si>
    <t>https://investor.unionpacific.com/static-files/d37d11eb-adb2-450a-9b8b-f78708425034</t>
  </si>
  <si>
    <t>UNP 4Q25 earnings presentation</t>
  </si>
  <si>
    <t>S14</t>
  </si>
  <si>
    <t>FSC 4Q25 / 4Q24</t>
  </si>
  <si>
    <t>https://investor.unionpacific.com/static-files/d0993c32-4b73-4285-bc8f-06a3f7f7e312</t>
  </si>
  <si>
    <t>UNP 1Q26 earnings presentation</t>
  </si>
  <si>
    <t>S15</t>
  </si>
  <si>
    <t>FSC 1Q26 / 1Q25</t>
  </si>
  <si>
    <t>https://investor.unionpacific.com/static-files/bf90c770-972b-428d-9e9d-1b9cf111800a</t>
  </si>
  <si>
    <t>UNP 2Q26 earnings presentation</t>
  </si>
  <si>
    <t>S16</t>
  </si>
  <si>
    <t>FSC 2Q26 / 2Q25</t>
  </si>
  <si>
    <t>https://investor.unionpacific.com/static-files/85443ec4-228c-432e-b9c3-b2fbeab055a4</t>
  </si>
  <si>
    <t>EIA weekly on-highway diesel, 2025 and 2026 tables</t>
  </si>
  <si>
    <t>S17</t>
  </si>
  <si>
    <t>weeklydiesel.com (EIA data)</t>
  </si>
  <si>
    <t>data</t>
  </si>
  <si>
    <t>HDF quarter averages and lagged bases</t>
  </si>
  <si>
    <t>https://weeklydiesel.com/history/2026/ ; https://weeklydiesel.com/history/2025/</t>
  </si>
  <si>
    <t>UP carload HDF fuel surcharge program terms</t>
  </si>
  <si>
    <t>S18</t>
  </si>
  <si>
    <t>undated (current)</t>
  </si>
  <si>
    <t>tariff</t>
  </si>
  <si>
    <t>2-month lag, separate intermodal program</t>
  </si>
  <si>
    <t>https://www.up.com/shipping/surcharge/mileage</t>
  </si>
  <si>
    <t>UNP 3% dividend increase to $1.42</t>
  </si>
  <si>
    <t>S19</t>
  </si>
  <si>
    <t>press release</t>
  </si>
  <si>
    <t>3Q26 DPS and dividends paid</t>
  </si>
  <si>
    <t>https://www.up.com/press-releases/financial/3q26-dividend-increase-260729</t>
  </si>
  <si>
    <t>UNP market cap history (Oct 16, 2026 $171.68B)</t>
  </si>
  <si>
    <t>S20</t>
  </si>
  <si>
    <t>finhacker.cz</t>
  </si>
  <si>
    <t>Prior calibration size bucket</t>
  </si>
  <si>
    <t>https://www.finhacker.cz/en/stocks/union-pacific-market-cap/</t>
  </si>
  <si>
    <t>S&amp;P 500 constituents list (UNP included)</t>
  </si>
  <si>
    <t>S21</t>
  </si>
  <si>
    <t>TopForeignStocks</t>
  </si>
  <si>
    <t>S&amp;P 500 membership</t>
  </si>
  <si>
    <t>https://topforeignstocks.com/indices/components-of-the-sp-500-index/</t>
  </si>
  <si>
    <t>UNP weekly carloads report, week 39 (QTD)</t>
  </si>
  <si>
    <t>S22</t>
  </si>
  <si>
    <t>QTD volume by AAR commodity (2026 vs 2025 columns appear transposed in extract)</t>
  </si>
  <si>
    <t>https://investor.unionpacific.com/static-files/5b14d790-f364-4d37-b617-21468f13fbe6</t>
  </si>
  <si>
    <t>UNP 3Q26 earnings date announcement (22-Oct-2026)</t>
  </si>
  <si>
    <t>S23</t>
  </si>
  <si>
    <t>Union Pacific / Business Wire</t>
  </si>
  <si>
    <t>Expected report date; confirms no release before cutoff</t>
  </si>
  <si>
    <t>https://www.up.com/press-releases/financial/3q26-earnings-date-261015</t>
  </si>
  <si>
    <t>UBS trims rail Q3 EPS 1–2% on diesel spike</t>
  </si>
  <si>
    <t>S24</t>
  </si>
  <si>
    <t>Seeking Alpha</t>
  </si>
  <si>
    <t>news</t>
  </si>
  <si>
    <t>Evidence for P(beat) adjustment</t>
  </si>
  <si>
    <t>https://seekingalpha.com/news/4650322-ubs-trims-profit-estimates-on-the-rail-sector-to-account-for-elevated-diesel-prices</t>
  </si>
  <si>
    <t>Earnings Whispers 3Q26 preview (whisper $3.45)</t>
  </si>
  <si>
    <t>S25</t>
  </si>
  <si>
    <t>Earnings Whispers</t>
  </si>
  <si>
    <t>preview</t>
  </si>
  <si>
    <t>Newer consensus/whisper reference (not scoring baseline)</t>
  </si>
  <si>
    <t>https://earningswhispers.com/article/UNP/20548</t>
  </si>
  <si>
    <t>Reuters: UP fuel surcharge surplus $91.1M in 2Q26 (STB filing)</t>
  </si>
  <si>
    <t>S26</t>
  </si>
  <si>
    <t>Reuters / BNN Bloomberg</t>
  </si>
  <si>
    <t>FSC vs fuel cost cross-check</t>
  </si>
  <si>
    <t>https://www.bnnbloomberg.ca/business/company-news/2026/08/17/us-railroad-union-pacific-turned-charges-meant-to-cover-fuel-cost-spike-from-iran-war-into-profit/</t>
  </si>
  <si>
    <t>AAR weekly rail traffic, week ending 26-Sep-2026</t>
  </si>
  <si>
    <t>S27</t>
  </si>
  <si>
    <t>Association of American Railroads</t>
  </si>
  <si>
    <t>Industry volume context (US carloads +3.0%, intermodal +6.3%)</t>
  </si>
  <si>
    <t>https://www.aar.org/news/aar-reports-weekly-rail-traffic-for-the-week-ending-september-26-2026/</t>
  </si>
  <si>
    <t>Omitted tabs:</t>
  </si>
  <si>
    <t>Segment tabs omitted — one reportable operating segment ("The Railroad ... is our one reportable operating segment"), checked in FY2025 Form 10-K (S9); drivers are on Revenue summary.</t>
  </si>
  <si>
    <t>Geo tab omitted — revenue principally derived from U.S.-domiciled customers, checked in 2Q26 Form 10-Q Note 3 (S8); Mexico cross-border memo line on Revenue summary.</t>
  </si>
  <si>
    <t>No Dates, Consensus or Checks tab by design: period labels/dates sit in each header; consensus is on the Cover; check summary is in artifacts/checks.md.</t>
  </si>
  <si>
    <t>Target-quarter actuals: not released before the cutoff (release scheduled 22-Oct-2026, S23); none used.</t>
  </si>
  <si>
    <t>Retrieval dates (col F) post-date the 2026-10-18T21:34:46Z cutoff: web sources S3–S27 were re-retrieved live on 2026-10-20, limited to items published before the cutoff (col G checks publication date only); no frozen webpage snapshots exist. S1–S2 are the supplied CapIQ snapshot files (as of 2026-10-18).</t>
  </si>
  <si>
    <t>Inputs (S&amp;P Capital IQ files and prior-year comparatives)</t>
  </si>
  <si>
    <t>A. S&amp;P Capital IQ consensus snapshot — UNP_consensus.json (frozen scoring baseline, captured 2026-10-18)</t>
  </si>
  <si>
    <t>Field</t>
  </si>
  <si>
    <t>Value</t>
  </si>
  <si>
    <t>source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</si>
  <si>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</si>
  <si>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</si>
  <si>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</si>
  <si>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</si>
  <si>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</si>
  <si>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</si>
  <si>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</si>
  <si>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</si>
  <si>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</si>
  <si>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</si>
  <si>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</si>
  <si>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</si>
  <si>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</si>
  <si>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</si>
  <si>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</si>
  <si>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</si>
  <si>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</si>
  <si>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</si>
  <si>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</si>
  <si>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</si>
  <si>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</si>
  <si>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</si>
  <si>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</si>
  <si>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</si>
  <si>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summary_row (complete raw row; blank source values preserved as blank cells)</t>
  </si>
  <si>
    <t>company_name</t>
  </si>
  <si>
    <t>exchange_ticker</t>
  </si>
  <si>
    <t>NYSE:UNP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</si>
  <si>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</si>
  <si>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</si>
  <si>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</si>
  <si>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</si>
  <si>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</si>
  <si>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</si>
  <si>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</si>
  <si>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</si>
  <si>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</si>
  <si>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</si>
  <si>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</si>
  <si>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</si>
  <si>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</si>
  <si>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</si>
  <si>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</si>
  <si>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</si>
  <si>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</si>
  <si>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</si>
  <si>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</si>
  <si>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</si>
  <si>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</si>
  <si>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</si>
  <si>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</si>
  <si>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</si>
  <si>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</si>
  <si>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</si>
  <si>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</si>
  <si>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</si>
  <si>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</si>
  <si>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</si>
  <si>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</si>
  <si>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</si>
  <si>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</si>
  <si>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</si>
  <si>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</si>
  <si>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</si>
  <si>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</si>
  <si>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</si>
  <si>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</si>
  <si>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</si>
  <si>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</si>
  <si>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</si>
  <si>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</si>
  <si>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</si>
  <si>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</si>
  <si>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</si>
  <si>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</si>
  <si>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</si>
  <si>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</si>
  <si>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</si>
  <si>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</si>
  <si>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</si>
  <si>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</si>
  <si>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</si>
  <si>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</si>
  <si>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</si>
  <si>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</si>
  <si>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</si>
  <si>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</si>
  <si>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</si>
  <si>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</si>
  <si>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</si>
  <si>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</si>
  <si>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</si>
  <si>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</si>
  <si>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315.99/215.53</t>
  </si>
  <si>
    <t>estimates_captured_at</t>
  </si>
  <si>
    <t>notes</t>
  </si>
  <si>
    <t>target_manifest.targets: 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</si>
  <si>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B. S&amp;P Capital IQ history — UNP_history.csv (all six rows; normalized EPS pairs feed the prior calibration)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</si>
  <si>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</si>
  <si>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</si>
  <si>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</si>
  <si>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</si>
  <si>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</si>
  <si>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</si>
  <si>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</si>
  <si>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norm_surprise_usd</t>
  </si>
  <si>
    <t>strict_beat</t>
  </si>
  <si>
    <t>C. Prior-year comparatives (feed Y/Y rows; columns align: 3Q24A→3Q25A, 4Q24A→4Q25A, FY24A→FY25A, 1Q25A→1Q26A, 2Q25A→2Q26A)</t>
  </si>
  <si>
    <t>Prior-year period</t>
  </si>
  <si>
    <t>3Q24A</t>
  </si>
  <si>
    <t>4Q24A</t>
  </si>
  <si>
    <t>FY24A</t>
  </si>
  <si>
    <t>1Q25A</t>
  </si>
  <si>
    <t>2Q25A</t>
  </si>
  <si>
    <t>Freight revenue by commodity ($M)</t>
  </si>
  <si>
    <t>Grain &amp; grain products</t>
  </si>
  <si>
    <t>Fertilizer</t>
  </si>
  <si>
    <t>Food &amp; refrigerated</t>
  </si>
  <si>
    <t>Coal &amp; renewables</t>
  </si>
  <si>
    <t>Industrial chemicals &amp; plastics</t>
  </si>
  <si>
    <t>Metals &amp; minerals</t>
  </si>
  <si>
    <t>Forest products</t>
  </si>
  <si>
    <t>Energy &amp; specialized markets</t>
  </si>
  <si>
    <t>Automotive</t>
  </si>
  <si>
    <t>Intermodal</t>
  </si>
  <si>
    <t>Bulk</t>
  </si>
  <si>
    <t>Industrial</t>
  </si>
  <si>
    <t>Premium</t>
  </si>
  <si>
    <t>Total freight revenue</t>
  </si>
  <si>
    <t>Fuel surcharge revenue (FY24 n/a)</t>
  </si>
  <si>
    <t>Merger costs (acquisition-related)</t>
  </si>
  <si>
    <t>2Q25 = issuer quarterly adjusted OI (2Q25 table, repeated as 2Q26 comparative: 2,525 GAAP + 55 crew staffing = 2,580); issuer did not adjust the $1M 2Q25 merger cost (G132 = 9M25 $42M − 3Q25 $41M) until its 9M25/FY25 cumulative tables. Quarters therefore sum to 9,972 vs issuer FY25 9,973 (IS!E92): issuer presentation difference, both retained as reported.</t>
  </si>
  <si>
    <t>Revenue carloads (000s)</t>
  </si>
  <si>
    <t>Average revenue per car ($)</t>
  </si>
  <si>
    <t>Average (all freight)</t>
  </si>
  <si>
    <t>Income statement ($M)</t>
  </si>
  <si>
    <t>Compensation and benefits</t>
  </si>
  <si>
    <t>Fuel</t>
  </si>
  <si>
    <t>Purchased services and materials</t>
  </si>
  <si>
    <t>Depreciation</t>
  </si>
  <si>
    <t>Equipment and other rents</t>
  </si>
  <si>
    <t>Other</t>
  </si>
  <si>
    <t>Operating income</t>
  </si>
  <si>
    <t>Net income</t>
  </si>
  <si>
    <t>Diluted EPS – as reported</t>
  </si>
  <si>
    <t>1Q25/2Q25 linked to CapIQ history (eps_gaap_actual).</t>
  </si>
  <si>
    <t>Adjusted diluted EPS – issuer</t>
  </si>
  <si>
    <t>Operating statistics</t>
  </si>
  <si>
    <t>Average fuel price per gallon consumed</t>
  </si>
  <si>
    <t>D. Cash flow statements as reported, year-to-date (quarterly CF derived by differencing on Cash Flow Statement tab)</t>
  </si>
  <si>
    <t>Reported period</t>
  </si>
  <si>
    <t>1H25 YTD</t>
  </si>
  <si>
    <t>9M25 YTD</t>
  </si>
  <si>
    <t>FY25</t>
  </si>
  <si>
    <t>1Q26</t>
  </si>
  <si>
    <t>1H26 YTD</t>
  </si>
  <si>
    <t>Deferred and other income taxes</t>
  </si>
  <si>
    <t>Other - net (operating)</t>
  </si>
  <si>
    <t>Capital investments</t>
  </si>
  <si>
    <t>Other - net (investing)</t>
  </si>
  <si>
    <t>Dividends paid</t>
  </si>
  <si>
    <t>Share repurchase programs (incl. ASR)</t>
  </si>
  <si>
    <t>Debt issued</t>
  </si>
  <si>
    <t>Debt repaid</t>
  </si>
  <si>
    <t>Other - net (financing)</t>
  </si>
  <si>
    <t>E. Other income detail, year-to-date (Note 6) — used to derive 4Q25</t>
  </si>
  <si>
    <t>Real estate income</t>
  </si>
  <si>
    <t>Interest income</t>
  </si>
  <si>
    <t>Net periodic pension benefit/(costs)</t>
  </si>
  <si>
    <t>Non-op. environmental remediation</t>
  </si>
  <si>
    <t>F. Size-aware beat-probability prior (forecasting playbook v2) and market data</t>
  </si>
  <si>
    <t>Last close 16-Oct-26 ($, CapIQ)</t>
  </si>
  <si>
    <t>Shares outstanding 17-Jul-26 (mm)</t>
  </si>
  <si>
    <t>Market capitalisation, computed ($bn)</t>
  </si>
  <si>
    <t>Market cap 16-Oct-26, finhacker ($bn)</t>
  </si>
  <si>
    <t>Large-cap threshold ($bn)</t>
  </si>
  <si>
    <t>Mid-cap threshold ($bn)</t>
  </si>
  <si>
    <t>Size bucket (&gt;$10bn = large)</t>
  </si>
  <si>
    <t>S&amp;P 500 member</t>
  </si>
  <si>
    <t>Playbook prior – large or S&amp;P 500</t>
  </si>
  <si>
    <t>Playbook prior – mid</t>
  </si>
  <si>
    <t>Playbook prior – small</t>
  </si>
  <si>
    <t>Cohort prior</t>
  </si>
  <si>
    <t>Historical strict beats (b)</t>
  </si>
  <si>
    <t>Valid pairs n</t>
  </si>
  <si>
    <t>Pseudo-observations (k)</t>
  </si>
  <si>
    <t>Starting P(beat) = (k·prior+b)/(k+n)</t>
  </si>
  <si>
    <t>Mean historical surprise ($/share)</t>
  </si>
  <si>
    <t>Quarter-specific adjustment (pts)</t>
  </si>
  <si>
    <t>Model EPS ~1% above consensus (supports beat) offset by late-Sept diesel spike, UBS 1–2% rail cuts (5-Oct) and whisper $3.45 &lt; consensus; net −3 pts.</t>
  </si>
  <si>
    <t>Final P(beat consensus EPS)</t>
  </si>
  <si>
    <t>medium</t>
  </si>
</sst>
</file>

<file path=xl/styles.xml><?xml version="1.0" encoding="utf-8"?>
<styleSheet xmlns="http://schemas.openxmlformats.org/spreadsheetml/2006/main">
  <numFmts count="12">
    <numFmt numFmtId="164" formatCode="yyyy-mm-dd"/>
    <numFmt numFmtId="165" formatCode="#,##0.0_);(#,##0.0);–_)"/>
    <numFmt numFmtId="166" formatCode="General"/>
    <numFmt numFmtId="167" formatCode="0.0%_);(0.0%);–_)"/>
    <numFmt numFmtId="168" formatCode="#,##0_);(#,##0);–_)"/>
    <numFmt numFmtId="169" formatCode="$0.00"/>
    <numFmt numFmtId="170" formatCode="0"/>
    <numFmt numFmtId="171" formatCode="0.0x"/>
    <numFmt numFmtId="172" formatCode="0.000"/>
    <numFmt numFmtId="173" formatCode="@"/>
    <numFmt numFmtId="174" formatCode="$0.00_);($0.00);–_)"/>
    <numFmt numFmtId="175" formatCode="0.00"/>
  </numFmts>
  <fonts count="19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 val="0"/>
      <strike val="0"/>
      <u/>
      <sz val="10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8E7"/>
      </patternFill>
    </fill>
  </fills>
  <borders count="4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08">
    <xf numFmtId="0" fontId="0" fillId="0" borderId="0" xfId="0"/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5" fontId="6" fillId="0" borderId="2" xfId="0" applyNumberFormat="1" applyFont="1" applyFill="1" applyBorder="1" applyAlignment="1" applyProtection="1">
      <alignment horizontal="right" vertical="bottom"/>
      <protection locked="1" hidden="0"/>
    </xf>
    <xf numFmtId="0" fontId="7" fillId="2" borderId="2" xfId="0" applyFont="1" applyFill="1" applyBorder="1" applyAlignment="1" applyProtection="1">
      <alignment horizontal="general" vertical="bottom"/>
      <protection locked="1" hidden="0"/>
    </xf>
    <xf numFmtId="0" fontId="7" fillId="2" borderId="2" xfId="0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5" fontId="7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7" fillId="3" borderId="2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right" vertical="top"/>
      <protection locked="1" hidden="0"/>
    </xf>
    <xf numFmtId="0" fontId="7" fillId="2" borderId="3" xfId="0" applyFont="1" applyFill="1" applyBorder="1" applyAlignment="1" applyProtection="1">
      <alignment horizontal="right" vertical="bottom"/>
      <protection locked="1" hidden="0"/>
    </xf>
    <xf numFmtId="168" fontId="8" fillId="0" borderId="0" xfId="0" applyNumberFormat="1" applyFont="1" applyFill="1" applyAlignment="1" applyProtection="1">
      <alignment horizontal="right" vertical="top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top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169" fontId="4" fillId="0" borderId="0" xfId="0" applyNumberFormat="1" applyFont="1" applyFill="1" applyAlignment="1" applyProtection="1">
      <alignment horizontal="right" vertical="top"/>
      <protection locked="1" hidden="0"/>
    </xf>
    <xf numFmtId="164" fontId="8" fillId="0" borderId="0" xfId="0" applyNumberFormat="1" applyFont="1" applyFill="1" applyAlignment="1" applyProtection="1">
      <alignment horizontal="right" vertical="top"/>
      <protection locked="1" hidden="0"/>
    </xf>
    <xf numFmtId="165" fontId="8" fillId="3" borderId="0" xfId="0" applyNumberFormat="1" applyFont="1" applyFill="1" applyAlignment="1" applyProtection="1">
      <alignment horizontal="right" vertical="bottom"/>
      <protection locked="1" hidden="0"/>
    </xf>
    <xf numFmtId="169" fontId="8" fillId="0" borderId="0" xfId="0" applyNumberFormat="1" applyFont="1" applyFill="1" applyAlignment="1" applyProtection="1">
      <alignment horizontal="right" vertical="top"/>
      <protection locked="1" hidden="0"/>
    </xf>
    <xf numFmtId="169" fontId="1" fillId="0" borderId="0" xfId="0" applyNumberFormat="1" applyFont="1" applyFill="1" applyAlignment="1" applyProtection="1">
      <alignment horizontal="right" vertical="top"/>
      <protection locked="1" hidden="0"/>
    </xf>
    <xf numFmtId="169" fontId="9" fillId="3" borderId="2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9" fontId="4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2" xfId="0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top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right" vertical="top"/>
      <protection locked="1" hidden="0"/>
    </xf>
    <xf numFmtId="169" fontId="9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top"/>
      <protection locked="1" hidden="0"/>
    </xf>
    <xf numFmtId="0" fontId="7" fillId="2" borderId="3" xfId="0" applyFont="1" applyFill="1" applyBorder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right" vertical="top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0" fontId="7" fillId="2" borderId="3" xfId="0" applyFont="1" applyFill="1" applyBorder="1" applyAlignment="1" applyProtection="1">
      <alignment horizontal="lef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top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top"/>
      <protection locked="1" hidden="0"/>
    </xf>
    <xf numFmtId="171" fontId="5" fillId="3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top" wrapText="1"/>
      <protection locked="1" hidden="0"/>
    </xf>
    <xf numFmtId="0" fontId="7" fillId="0" borderId="2" xfId="0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top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9" fontId="4" fillId="3" borderId="0" xfId="0" applyNumberFormat="1" applyFont="1" applyFill="1" applyAlignment="1" applyProtection="1">
      <alignment horizontal="right" vertical="bottom"/>
      <protection locked="1" hidden="0"/>
    </xf>
    <xf numFmtId="173" fontId="4" fillId="0" borderId="0" xfId="0" applyNumberFormat="1" applyFont="1" applyFill="1" applyAlignment="1" applyProtection="1">
      <alignment horizontal="right" vertical="bottom"/>
      <protection locked="1" hidden="0"/>
    </xf>
    <xf numFmtId="171" fontId="3" fillId="3" borderId="0" xfId="0" applyNumberFormat="1" applyFont="1" applyFill="1" applyAlignment="1" applyProtection="1">
      <alignment horizontal="right" vertical="bottom"/>
      <protection locked="1" hidden="0"/>
    </xf>
    <xf numFmtId="165" fontId="9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top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9" fontId="7" fillId="3" borderId="2" xfId="0" applyNumberFormat="1" applyFont="1" applyFill="1" applyBorder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9" fontId="8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9" fontId="7" fillId="0" borderId="2" xfId="0" applyNumberFormat="1" applyFont="1" applyFill="1" applyBorder="1" applyAlignment="1" applyProtection="1">
      <alignment horizontal="right" vertical="bottom"/>
      <protection locked="1" hidden="0"/>
    </xf>
    <xf numFmtId="172" fontId="8" fillId="0" borderId="0" xfId="0" applyNumberFormat="1" applyFont="1" applyFill="1" applyAlignment="1" applyProtection="1">
      <alignment horizontal="right" vertical="bottom"/>
      <protection locked="1" hidden="0"/>
    </xf>
    <xf numFmtId="168" fontId="8" fillId="0" borderId="0" xfId="0" applyNumberFormat="1" applyFont="1" applyFill="1" applyAlignment="1" applyProtection="1">
      <alignment horizontal="right" vertical="bottom"/>
      <protection locked="1" hidden="0"/>
    </xf>
    <xf numFmtId="167" fontId="10" fillId="3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9" fontId="8" fillId="3" borderId="0" xfId="0" applyNumberFormat="1" applyFont="1" applyFill="1" applyAlignment="1" applyProtection="1">
      <alignment horizontal="right" vertical="bottom"/>
      <protection locked="1" hidden="0"/>
    </xf>
    <xf numFmtId="172" fontId="8" fillId="3" borderId="0" xfId="0" applyNumberFormat="1" applyFont="1" applyFill="1" applyAlignment="1" applyProtection="1">
      <alignment horizontal="right" vertical="bottom"/>
      <protection locked="1" hidden="0"/>
    </xf>
    <xf numFmtId="174" fontId="1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70" fontId="8" fillId="0" borderId="0" xfId="0" applyNumberFormat="1" applyFont="1" applyFill="1" applyAlignment="1" applyProtection="1">
      <alignment horizontal="right" vertical="bottom"/>
      <protection locked="1" hidden="0"/>
    </xf>
    <xf numFmtId="173" fontId="8" fillId="3" borderId="0" xfId="0" applyNumberFormat="1" applyFont="1" applyFill="1" applyAlignment="1" applyProtection="1">
      <alignment horizontal="right" vertical="bottom"/>
      <protection locked="1" hidden="0"/>
    </xf>
    <xf numFmtId="167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8" fillId="3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73" fontId="8" fillId="0" borderId="0" xfId="0" applyNumberFormat="1" applyFont="1" applyFill="1" applyAlignment="1" applyProtection="1">
      <alignment horizontal="right" vertical="bottom"/>
      <protection locked="1" hidden="0"/>
    </xf>
    <xf numFmtId="165" fontId="9" fillId="0" borderId="2" xfId="0" applyNumberFormat="1" applyFont="1" applyFill="1" applyBorder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lef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7" fontId="13" fillId="3" borderId="2" xfId="0" applyNumberFormat="1" applyFont="1" applyFill="1" applyBorder="1" applyAlignment="1" applyProtection="1">
      <alignment horizontal="right" vertical="bottom"/>
      <protection locked="1" hidden="0"/>
    </xf>
    <xf numFmtId="175" fontId="8" fillId="0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right" vertical="bottom"/>
      <protection locked="1" hidden="0"/>
    </xf>
    <xf numFmtId="166" fontId="14" fillId="2" borderId="3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6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6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6" fontId="14" fillId="2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6" fontId="16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2" borderId="3" xfId="0" applyNumberFormat="1" applyFont="1" applyFill="1" applyBorder="1" applyAlignment="1" applyProtection="1">
      <alignment horizontal="left" vertical="bottom" textRotation="0" indent="1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theme" Target="theme/theme1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1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showGridLines="0" tabSelected="1" workbookViewId="0"/>
  </sheetViews>
  <sheetFormatPr defaultColWidth="8.42578125" defaultRowHeight="15"/>
  <cols>
    <col min="1" max="1" width="10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1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15" t="s">
        <v>13</v>
      </c>
      <c r="C9" s="12"/>
      <c r="D9" s="12"/>
      <c r="E9" s="12"/>
      <c r="F9" s="12"/>
      <c r="G9" s="12"/>
      <c r="H9" s="12"/>
      <c r="I9" s="2"/>
    </row>
    <row r="10">
      <c r="A10" s="3"/>
      <c r="B10" s="3"/>
      <c r="C10" s="12"/>
      <c r="D10" s="12"/>
      <c r="E10" s="12"/>
      <c r="F10" s="12"/>
      <c r="G10" s="12"/>
      <c r="H10" s="12"/>
      <c r="I10" s="2"/>
    </row>
    <row r="11">
      <c r="A11" s="3"/>
      <c r="B11" s="44" t="s">
        <v>14</v>
      </c>
      <c r="C11" s="20" t="s">
        <v>15</v>
      </c>
      <c r="D11" s="20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"/>
    </row>
    <row r="12">
      <c r="A12" s="3"/>
      <c r="B12" s="3" t="s">
        <v>21</v>
      </c>
      <c r="C12" s="6">
        <f>'Income Statement'!H12</f>
        <v>7174.810094721032</v>
      </c>
      <c r="D12" s="6">
        <f>Inputs!C61</f>
        <v>7117.07</v>
      </c>
      <c r="E12" s="4">
        <f>C12-D12</f>
        <v>57.74009472103262</v>
      </c>
      <c r="F12" s="48">
        <f>C12/D12-1</f>
        <v>0.008112902461410831</v>
      </c>
      <c r="G12" s="4" t="s">
        <v>22</v>
      </c>
      <c r="H12" s="4" t="str">
        <f>IF(ISNUMBER(G12),C12-G12,"n/a")</f>
        <v>n/a</v>
      </c>
      <c r="I12" s="2"/>
    </row>
    <row r="13">
      <c r="A13" s="3"/>
      <c r="B13" s="3" t="s">
        <v>23</v>
      </c>
      <c r="C13" s="6">
        <f>'Income Statement'!H86</f>
        <v>2082.153295924575</v>
      </c>
      <c r="D13" s="6">
        <f>Inputs!C74</f>
        <v>2055.59</v>
      </c>
      <c r="E13" s="4">
        <f>C13-D13</f>
        <v>26.56329592457496</v>
      </c>
      <c r="F13" s="48">
        <f>C13/D13-1</f>
        <v>0.012922467965194917</v>
      </c>
      <c r="G13" s="4" t="s">
        <v>22</v>
      </c>
      <c r="H13" s="4" t="str">
        <f>IF(ISNUMBER(G13),C13-G13,"n/a")</f>
        <v>n/a</v>
      </c>
      <c r="I13" s="2"/>
    </row>
    <row r="14">
      <c r="A14" s="3"/>
      <c r="B14" s="3" t="s">
        <v>24</v>
      </c>
      <c r="C14" s="6">
        <f>'Income Statement'!H60</f>
        <v>2062.153295924575</v>
      </c>
      <c r="D14" s="6">
        <f>Inputs!C75</f>
        <v>2047.36</v>
      </c>
      <c r="E14" s="4">
        <f>C14-D14</f>
        <v>14.793295924575204</v>
      </c>
      <c r="F14" s="48">
        <f>C14/D14-1</f>
        <v>0.007225547009111821</v>
      </c>
      <c r="G14" s="4" t="s">
        <v>22</v>
      </c>
      <c r="H14" s="4" t="str">
        <f>IF(ISNUMBER(G14),C14-G14,"n/a")</f>
        <v>n/a</v>
      </c>
      <c r="I14" s="2"/>
    </row>
    <row r="15">
      <c r="A15" s="3"/>
      <c r="B15" s="3" t="s">
        <v>25</v>
      </c>
      <c r="C15" s="32">
        <f>'Income Statement'!H88</f>
        <v>3.5041287376717856</v>
      </c>
      <c r="D15" s="32">
        <f>Inputs!C43</f>
        <v>3.47</v>
      </c>
      <c r="E15" s="40">
        <f>C15-D15</f>
        <v>0.03412873767178537</v>
      </c>
      <c r="F15" s="48">
        <f>C15/D15-1</f>
        <v>0.009835371086969857</v>
      </c>
      <c r="G15" s="40" t="s">
        <v>26</v>
      </c>
      <c r="H15" s="40" t="str">
        <f>IF(ISNUMBER(G15),C15-G15,"n/a")</f>
        <v>n/a</v>
      </c>
      <c r="I15" s="2"/>
    </row>
    <row r="16">
      <c r="A16" s="3"/>
      <c r="B16" s="3" t="s">
        <v>27</v>
      </c>
      <c r="C16" s="32">
        <f>'Income Statement'!H69</f>
        <v>3.4704700368976353</v>
      </c>
      <c r="D16" s="32">
        <f>Inputs!C52</f>
        <v>3.43</v>
      </c>
      <c r="E16" s="40">
        <f>C16-D16</f>
        <v>0.040470036897635175</v>
      </c>
      <c r="F16" s="48">
        <f>C16/D16-1</f>
        <v>0.011798844576569989</v>
      </c>
      <c r="G16" s="32">
        <f>Guidance!G17</f>
        <v>3.4784296296296313</v>
      </c>
      <c r="H16" s="40">
        <f>IF(ISNUMBER(G16),C16-G16,"n/a")</f>
        <v>-0.00795959273199598</v>
      </c>
      <c r="I16" s="2" t="s">
        <v>28</v>
      </c>
    </row>
    <row r="17">
      <c r="A17" s="3"/>
      <c r="B17" s="61" t="s">
        <v>29</v>
      </c>
      <c r="C17" s="33" t="str">
        <f>IF(AND(AND('Revenue summary'!C225:G225),AND('Balance Sheet'!C28:H28),AND('Cash Flow Statement'!C35:G35),AND('Income Statement'!C72:G72),AND('Income Statement'!C91:G91),'Income Statement'!E148,C23),"PASS","FAIL")</f>
        <v>PASS</v>
      </c>
      <c r="D17" s="12"/>
      <c r="E17" s="12"/>
      <c r="F17" s="12"/>
      <c r="G17" s="12"/>
      <c r="H17" s="12"/>
      <c r="I17" s="2" t="s">
        <v>30</v>
      </c>
    </row>
    <row r="18">
      <c r="A18" s="3"/>
      <c r="B18" s="56" t="s">
        <v>31</v>
      </c>
      <c r="C18" s="8">
        <f>Inputs!H238</f>
        <v>0.7</v>
      </c>
      <c r="D18" s="12"/>
      <c r="E18" s="12"/>
      <c r="F18" s="12"/>
      <c r="G18" s="12"/>
      <c r="H18" s="12"/>
      <c r="I18" s="2"/>
    </row>
    <row r="19">
      <c r="A19" s="3"/>
      <c r="B19" s="15" t="s">
        <v>32</v>
      </c>
      <c r="C19" s="66" t="str">
        <f>Inputs!H239</f>
        <v>medium</v>
      </c>
      <c r="D19" s="12"/>
      <c r="E19" s="12"/>
      <c r="F19" s="12"/>
      <c r="G19" s="12"/>
      <c r="H19" s="12"/>
      <c r="I19" s="2"/>
    </row>
    <row r="20">
      <c r="A20" s="3"/>
      <c r="B20" s="31" t="s">
        <v>33</v>
      </c>
      <c r="C20" s="12"/>
      <c r="D20" s="12"/>
      <c r="E20" s="12"/>
      <c r="F20" s="12"/>
      <c r="G20" s="12"/>
      <c r="H20" s="12"/>
      <c r="I20" s="2"/>
    </row>
    <row r="21">
      <c r="A21" s="3"/>
      <c r="B21" s="31" t="s">
        <v>34</v>
      </c>
      <c r="C21" s="12"/>
      <c r="D21" s="12"/>
      <c r="E21" s="12"/>
      <c r="F21" s="12"/>
      <c r="G21" s="12"/>
      <c r="H21" s="12"/>
      <c r="I21" s="2"/>
    </row>
    <row r="22">
      <c r="A22" s="3"/>
      <c r="B22" s="15" t="s">
        <v>35</v>
      </c>
      <c r="C22" s="64">
        <f>ABS(C12-'Revenue summary'!H260)+ABS(C13-'Income Statement'!H86)+ABS(C15-'Income Statement'!H86/'Share Count'!H16)</f>
        <v>0</v>
      </c>
      <c r="D22" s="12"/>
      <c r="E22" s="12"/>
      <c r="F22" s="12"/>
      <c r="G22" s="12"/>
      <c r="H22" s="12"/>
      <c r="I22" s="2"/>
    </row>
    <row r="23">
      <c r="A23" s="3"/>
      <c r="B23" s="15" t="s">
        <v>36</v>
      </c>
      <c r="C23" s="63" t="b">
        <f>C22&lt;0.001</f>
        <v>1</v>
      </c>
      <c r="D23" s="12"/>
      <c r="E23" s="12"/>
      <c r="F23" s="12"/>
      <c r="G23" s="12"/>
      <c r="H23" s="12"/>
      <c r="I23" s="2"/>
    </row>
    <row r="24">
      <c r="A24" s="3"/>
      <c r="B24" s="3"/>
      <c r="C24" s="12"/>
      <c r="D24" s="12"/>
      <c r="E24" s="12"/>
      <c r="F24" s="12"/>
      <c r="G24" s="12"/>
      <c r="H24" s="12"/>
      <c r="I24" s="2"/>
    </row>
    <row r="25">
      <c r="A25" s="3"/>
      <c r="B25" s="15" t="s">
        <v>37</v>
      </c>
      <c r="C25" s="12"/>
      <c r="D25" s="12"/>
      <c r="E25" s="12"/>
      <c r="F25" s="12"/>
      <c r="G25" s="12"/>
      <c r="H25" s="12"/>
      <c r="I25" s="2"/>
    </row>
    <row r="26">
      <c r="A26" s="3"/>
      <c r="B26" s="3" t="s">
        <v>38</v>
      </c>
      <c r="C26" s="35" t="s">
        <v>39</v>
      </c>
      <c r="D26" s="12"/>
      <c r="E26" s="12"/>
      <c r="F26" s="12"/>
      <c r="G26" s="12"/>
      <c r="H26" s="12"/>
      <c r="I26" s="2"/>
    </row>
    <row r="27">
      <c r="A27" s="3"/>
      <c r="B27" s="3" t="s">
        <v>40</v>
      </c>
      <c r="C27" s="35" t="s">
        <v>41</v>
      </c>
      <c r="D27" s="12"/>
      <c r="E27" s="12"/>
      <c r="F27" s="12"/>
      <c r="G27" s="12"/>
      <c r="H27" s="12"/>
      <c r="I27" s="2"/>
    </row>
    <row r="28">
      <c r="A28" s="3"/>
      <c r="B28" s="3" t="s">
        <v>42</v>
      </c>
      <c r="C28" s="35" t="s">
        <v>43</v>
      </c>
      <c r="D28" s="12"/>
      <c r="E28" s="12"/>
      <c r="F28" s="12"/>
      <c r="G28" s="12"/>
      <c r="H28" s="12"/>
      <c r="I28" s="2"/>
    </row>
    <row r="29">
      <c r="A29" s="3"/>
      <c r="B29" s="3" t="s">
        <v>44</v>
      </c>
      <c r="C29" s="35" t="s">
        <v>45</v>
      </c>
      <c r="D29" s="12"/>
      <c r="E29" s="12"/>
      <c r="F29" s="12"/>
      <c r="G29" s="12"/>
      <c r="H29" s="12"/>
      <c r="I29" s="2"/>
    </row>
    <row r="30">
      <c r="A30" s="3"/>
      <c r="B30" s="3" t="s">
        <v>46</v>
      </c>
      <c r="C30" s="35" t="s">
        <v>47</v>
      </c>
      <c r="D30" s="12"/>
      <c r="E30" s="12"/>
      <c r="F30" s="12"/>
      <c r="G30" s="12"/>
      <c r="H30" s="12"/>
      <c r="I30" s="2"/>
    </row>
    <row r="31">
      <c r="A31" s="3"/>
      <c r="B31" s="3" t="s">
        <v>48</v>
      </c>
      <c r="C31" s="35" t="s">
        <v>49</v>
      </c>
      <c r="D31" s="12"/>
      <c r="E31" s="12"/>
      <c r="F31" s="12"/>
      <c r="G31" s="12"/>
      <c r="H31" s="12"/>
      <c r="I31" s="2"/>
    </row>
    <row r="32">
      <c r="A32" s="3"/>
      <c r="B32" s="3" t="s">
        <v>50</v>
      </c>
      <c r="C32" s="35" t="s">
        <v>51</v>
      </c>
      <c r="D32" s="12"/>
      <c r="E32" s="12"/>
      <c r="F32" s="12"/>
      <c r="G32" s="12"/>
      <c r="H32" s="12"/>
      <c r="I32" s="2"/>
    </row>
    <row r="33">
      <c r="A33" s="3"/>
      <c r="B33" s="3" t="s">
        <v>52</v>
      </c>
      <c r="C33" s="35" t="s">
        <v>53</v>
      </c>
      <c r="D33" s="12"/>
      <c r="E33" s="12"/>
      <c r="F33" s="12"/>
      <c r="G33" s="12"/>
      <c r="H33" s="12"/>
      <c r="I33" s="2"/>
    </row>
    <row r="34">
      <c r="A34" s="3"/>
      <c r="B34" s="3" t="s">
        <v>54</v>
      </c>
      <c r="C34" s="35" t="s">
        <v>55</v>
      </c>
      <c r="D34" s="12"/>
      <c r="E34" s="12"/>
      <c r="F34" s="12"/>
      <c r="G34" s="12"/>
      <c r="H34" s="12"/>
      <c r="I34" s="2"/>
    </row>
    <row r="35">
      <c r="A35" s="3"/>
      <c r="B35" s="3" t="s">
        <v>56</v>
      </c>
      <c r="C35" s="35" t="s">
        <v>57</v>
      </c>
      <c r="D35" s="12"/>
      <c r="E35" s="12"/>
      <c r="F35" s="12"/>
      <c r="G35" s="12"/>
      <c r="H35" s="12"/>
      <c r="I35" s="2"/>
    </row>
    <row r="36">
      <c r="A36" s="3"/>
      <c r="B36" s="3"/>
      <c r="C36" s="12"/>
      <c r="D36" s="12"/>
      <c r="E36" s="12"/>
      <c r="F36" s="12"/>
      <c r="G36" s="12"/>
      <c r="H36" s="12"/>
      <c r="I36" s="2"/>
    </row>
    <row r="37">
      <c r="A37" s="3"/>
      <c r="B37" s="15" t="s">
        <v>58</v>
      </c>
      <c r="C37" s="12"/>
      <c r="D37" s="12"/>
      <c r="E37" s="12"/>
      <c r="F37" s="12"/>
      <c r="G37" s="12"/>
      <c r="H37" s="12"/>
      <c r="I37" s="2"/>
    </row>
    <row r="38">
      <c r="A38" s="3"/>
      <c r="B38" s="3" t="s">
        <v>59</v>
      </c>
      <c r="C38" s="6">
        <f>'Income Statement'!C12</f>
        <v>6244</v>
      </c>
      <c r="D38" s="6">
        <f>'Income Statement'!D12</f>
        <v>6085</v>
      </c>
      <c r="E38" s="6">
        <f>'Income Statement'!E12</f>
        <v>24510</v>
      </c>
      <c r="F38" s="6">
        <f>'Income Statement'!F12</f>
        <v>6217</v>
      </c>
      <c r="G38" s="6">
        <f>'Income Statement'!G12</f>
        <v>6864</v>
      </c>
      <c r="H38" s="22">
        <f>'Income Statement'!H12</f>
        <v>7174.810094721032</v>
      </c>
      <c r="I38" s="2"/>
    </row>
    <row r="39">
      <c r="A39" s="3"/>
      <c r="B39" s="31" t="s">
        <v>60</v>
      </c>
      <c r="C39" s="8">
        <f>'Income Statement'!C41</f>
        <v>0.5917680973734786</v>
      </c>
      <c r="D39" s="8">
        <f>'Income Statement'!D41</f>
        <v>0.6054231717337716</v>
      </c>
      <c r="E39" s="8">
        <f>'Income Statement'!E41</f>
        <v>0.5982864137086903</v>
      </c>
      <c r="F39" s="8">
        <f>'Income Statement'!F41</f>
        <v>0.6046324593855558</v>
      </c>
      <c r="G39" s="8">
        <f>'Income Statement'!G41</f>
        <v>0.597465034965035</v>
      </c>
      <c r="H39" s="51">
        <f>'Income Statement'!H41</f>
        <v>0.5949773464291525</v>
      </c>
      <c r="I39" s="2"/>
    </row>
    <row r="40">
      <c r="A40" s="3"/>
      <c r="B40" s="3" t="s">
        <v>24</v>
      </c>
      <c r="C40" s="6">
        <f>'Income Statement'!C60</f>
        <v>1788</v>
      </c>
      <c r="D40" s="6">
        <f>'Income Statement'!D60</f>
        <v>1848</v>
      </c>
      <c r="E40" s="6">
        <f>'Income Statement'!E60</f>
        <v>7138</v>
      </c>
      <c r="F40" s="6">
        <f>'Income Statement'!F60</f>
        <v>1701</v>
      </c>
      <c r="G40" s="6">
        <f>'Income Statement'!G60</f>
        <v>1993</v>
      </c>
      <c r="H40" s="22">
        <f>'Income Statement'!H60</f>
        <v>2062.153295924575</v>
      </c>
      <c r="I40" s="2"/>
    </row>
    <row r="41">
      <c r="A41" s="3"/>
      <c r="B41" s="3" t="s">
        <v>61</v>
      </c>
      <c r="C41" s="32">
        <f>'Income Statement'!C69</f>
        <v>3.01416048550236</v>
      </c>
      <c r="D41" s="32">
        <f>'Income Statement'!D69</f>
        <v>3.113732097725358</v>
      </c>
      <c r="E41" s="32">
        <f>'Income Statement'!E69</f>
        <v>11.978519885886895</v>
      </c>
      <c r="F41" s="32">
        <f>'Income Statement'!F69</f>
        <v>2.865566037735849</v>
      </c>
      <c r="G41" s="32">
        <f>'Income Statement'!G69</f>
        <v>3.355218855218855</v>
      </c>
      <c r="H41" s="65">
        <f>'Income Statement'!H69</f>
        <v>3.4704700368976353</v>
      </c>
      <c r="I41" s="2"/>
    </row>
    <row r="42">
      <c r="A42" s="3"/>
      <c r="B42" s="15" t="s">
        <v>62</v>
      </c>
      <c r="C42" s="38">
        <f>'Income Statement'!C88</f>
        <v>3.083277140930546</v>
      </c>
      <c r="D42" s="38">
        <f>'Income Statement'!D88</f>
        <v>2.864363942712721</v>
      </c>
      <c r="E42" s="38">
        <f>'Income Statement'!E88</f>
        <v>11.657996308105387</v>
      </c>
      <c r="F42" s="38">
        <f>'Income Statement'!F88</f>
        <v>2.9262129380053907</v>
      </c>
      <c r="G42" s="38">
        <f>'Income Statement'!G88</f>
        <v>3.414141414141414</v>
      </c>
      <c r="H42" s="30">
        <f>'Income Statement'!H88</f>
        <v>3.5041287376717856</v>
      </c>
      <c r="I42" s="2"/>
    </row>
    <row r="43">
      <c r="A43" s="3"/>
      <c r="B43" s="3"/>
      <c r="C43" s="12"/>
      <c r="D43" s="12"/>
      <c r="E43" s="12"/>
      <c r="F43" s="12"/>
      <c r="G43" s="12"/>
      <c r="H43" s="12"/>
      <c r="I43" s="2"/>
    </row>
    <row r="44">
      <c r="A44" s="3"/>
      <c r="B44" s="3"/>
      <c r="C44" s="3"/>
      <c r="D44" s="3"/>
      <c r="E44" s="3"/>
      <c r="F44" s="3"/>
      <c r="G44" s="3"/>
      <c r="H44" s="3"/>
      <c r="I44" s="3"/>
    </row>
    <row r="45">
      <c r="A45" s="3"/>
      <c r="B45" s="3"/>
      <c r="C45" s="3"/>
      <c r="D45" s="3"/>
      <c r="E45" s="3"/>
      <c r="F45" s="3"/>
      <c r="G45" s="3"/>
      <c r="H45" s="3"/>
      <c r="I45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63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50" t="s">
        <v>64</v>
      </c>
      <c r="C9" s="12"/>
      <c r="D9" s="12"/>
      <c r="E9" s="12"/>
      <c r="F9" s="12"/>
      <c r="G9" s="12"/>
      <c r="H9" s="41"/>
      <c r="I9" s="2"/>
    </row>
    <row r="10">
      <c r="A10" s="3"/>
      <c r="B10" s="31" t="s">
        <v>65</v>
      </c>
      <c r="C10" s="48"/>
      <c r="D10" s="48"/>
      <c r="E10" s="48"/>
      <c r="F10" s="48"/>
      <c r="G10" s="48"/>
      <c r="H10" s="80">
        <v>0.021</v>
      </c>
      <c r="I10" s="2" t="s">
        <v>66</v>
      </c>
    </row>
    <row r="11">
      <c r="A11" s="3"/>
      <c r="B11" s="31" t="s">
        <v>67</v>
      </c>
      <c r="C11" s="48"/>
      <c r="D11" s="48"/>
      <c r="E11" s="48"/>
      <c r="F11" s="48"/>
      <c r="G11" s="48"/>
      <c r="H11" s="80">
        <v>0.03</v>
      </c>
      <c r="I11" s="2" t="s">
        <v>68</v>
      </c>
    </row>
    <row r="12">
      <c r="A12" s="3"/>
      <c r="B12" s="31" t="s">
        <v>69</v>
      </c>
      <c r="C12" s="48"/>
      <c r="D12" s="48"/>
      <c r="E12" s="48"/>
      <c r="F12" s="48"/>
      <c r="G12" s="48"/>
      <c r="H12" s="80">
        <v>0.09</v>
      </c>
      <c r="I12" s="2" t="s">
        <v>70</v>
      </c>
    </row>
    <row r="13">
      <c r="A13" s="3"/>
      <c r="B13" s="31" t="s">
        <v>71</v>
      </c>
      <c r="C13" s="100">
        <v>0</v>
      </c>
      <c r="D13" s="100">
        <v>0</v>
      </c>
      <c r="E13" s="100">
        <v>0</v>
      </c>
      <c r="F13" s="100">
        <v>0</v>
      </c>
      <c r="G13" s="100">
        <v>0</v>
      </c>
      <c r="H13" s="80">
        <v>0</v>
      </c>
      <c r="I13" s="2" t="s">
        <v>72</v>
      </c>
    </row>
    <row r="14">
      <c r="A14" s="3"/>
      <c r="B14" s="3" t="s">
        <v>73</v>
      </c>
      <c r="C14" s="91" t="s">
        <v>74</v>
      </c>
      <c r="D14" s="91" t="s">
        <v>74</v>
      </c>
      <c r="E14" s="91" t="s">
        <v>74</v>
      </c>
      <c r="F14" s="91" t="s">
        <v>74</v>
      </c>
      <c r="G14" s="91" t="s">
        <v>74</v>
      </c>
      <c r="H14" s="96" t="s">
        <v>74</v>
      </c>
      <c r="I14" s="2" t="s">
        <v>75</v>
      </c>
    </row>
    <row r="15">
      <c r="A15" s="3"/>
      <c r="B15" s="3"/>
      <c r="C15" s="12"/>
      <c r="D15" s="12"/>
      <c r="E15" s="12"/>
      <c r="F15" s="12"/>
      <c r="G15" s="12"/>
      <c r="H15" s="41"/>
      <c r="I15" s="2"/>
    </row>
    <row r="16">
      <c r="A16" s="3"/>
      <c r="B16" s="50" t="s">
        <v>76</v>
      </c>
      <c r="C16" s="12"/>
      <c r="D16" s="12"/>
      <c r="E16" s="12"/>
      <c r="F16" s="12"/>
      <c r="G16" s="12"/>
      <c r="H16" s="41"/>
      <c r="I16" s="2"/>
    </row>
    <row r="17">
      <c r="A17" s="3"/>
      <c r="B17" s="3" t="s">
        <v>77</v>
      </c>
      <c r="C17" s="14">
        <v>215</v>
      </c>
      <c r="D17" s="14">
        <v>235</v>
      </c>
      <c r="E17" s="14">
        <v>880</v>
      </c>
      <c r="F17" s="14">
        <v>243</v>
      </c>
      <c r="G17" s="14">
        <v>242</v>
      </c>
      <c r="H17" s="13">
        <f>C17*(1+H18)</f>
        <v>219.3</v>
      </c>
      <c r="I17" s="2"/>
    </row>
    <row r="18">
      <c r="A18" s="3"/>
      <c r="B18" s="31" t="s">
        <v>78</v>
      </c>
      <c r="C18" s="8">
        <f>IFERROR(C17/Inputs!C136-1,"n/a")</f>
        <v>0.043689320388349495</v>
      </c>
      <c r="D18" s="8">
        <f>IFERROR(D17/Inputs!D136-1,"n/a")</f>
        <v>0.004273504273504258</v>
      </c>
      <c r="E18" s="8">
        <f>IFERROR(E17/Inputs!E136-1,"n/a")</f>
        <v>0.03529411764705892</v>
      </c>
      <c r="F18" s="8">
        <f>IFERROR(F17/Inputs!F136-1,"n/a")</f>
        <v>0.13551401869158886</v>
      </c>
      <c r="G18" s="8">
        <f>IFERROR(G17/Inputs!G136-1,"n/a")</f>
        <v>0.12037037037037046</v>
      </c>
      <c r="H18" s="80">
        <v>0.02</v>
      </c>
      <c r="I18" s="2"/>
    </row>
    <row r="19">
      <c r="A19" s="3"/>
      <c r="B19" s="3" t="s">
        <v>79</v>
      </c>
      <c r="C19" s="6">
        <f>C17-Inputs!G136</f>
        <v>-1</v>
      </c>
      <c r="D19" s="4">
        <f>D17-C17</f>
        <v>20</v>
      </c>
      <c r="E19" s="4"/>
      <c r="F19" s="4">
        <f>F17-D17</f>
        <v>8</v>
      </c>
      <c r="G19" s="4">
        <f>G17-F17</f>
        <v>-1</v>
      </c>
      <c r="H19" s="13">
        <f>H17-G17</f>
        <v>-22.69999999999999</v>
      </c>
      <c r="I19" s="2"/>
    </row>
    <row r="20">
      <c r="A20" s="3"/>
      <c r="B20" s="3" t="s">
        <v>80</v>
      </c>
      <c r="C20" s="14">
        <v>58</v>
      </c>
      <c r="D20" s="14">
        <v>54</v>
      </c>
      <c r="E20" s="14">
        <v>216</v>
      </c>
      <c r="F20" s="14">
        <v>52</v>
      </c>
      <c r="G20" s="14">
        <v>54</v>
      </c>
      <c r="H20" s="13">
        <f>C20*(1+H21)</f>
        <v>56.839999999999996</v>
      </c>
      <c r="I20" s="2"/>
    </row>
    <row r="21">
      <c r="A21" s="3"/>
      <c r="B21" s="31" t="s">
        <v>78</v>
      </c>
      <c r="C21" s="8">
        <f>IFERROR(C20/Inputs!C137-1,"n/a")</f>
        <v>0.09433962264150941</v>
      </c>
      <c r="D21" s="8">
        <f>IFERROR(D20/Inputs!D137-1,"n/a")</f>
        <v>0.05882352941176472</v>
      </c>
      <c r="E21" s="8">
        <f>IFERROR(E20/Inputs!E137-1,"n/a")</f>
        <v>0.014084507042253502</v>
      </c>
      <c r="F21" s="8">
        <f>IFERROR(F20/Inputs!F137-1,"n/a")</f>
        <v>0.061224489795918435</v>
      </c>
      <c r="G21" s="8">
        <f>IFERROR(G20/Inputs!G137-1,"n/a")</f>
        <v>-0.018181818181818188</v>
      </c>
      <c r="H21" s="80">
        <v>-0.02</v>
      </c>
      <c r="I21" s="2"/>
    </row>
    <row r="22">
      <c r="A22" s="3"/>
      <c r="B22" s="3" t="s">
        <v>79</v>
      </c>
      <c r="C22" s="6">
        <f>C20-Inputs!G137</f>
        <v>3</v>
      </c>
      <c r="D22" s="4">
        <f>D20-C20</f>
        <v>-4</v>
      </c>
      <c r="E22" s="4"/>
      <c r="F22" s="4">
        <f>F20-D20</f>
        <v>-2</v>
      </c>
      <c r="G22" s="4">
        <f>G20-F20</f>
        <v>2</v>
      </c>
      <c r="H22" s="13">
        <f>H20-G20</f>
        <v>2.8399999999999963</v>
      </c>
      <c r="I22" s="2"/>
    </row>
    <row r="23">
      <c r="A23" s="3"/>
      <c r="B23" s="3" t="s">
        <v>81</v>
      </c>
      <c r="C23" s="14">
        <v>41</v>
      </c>
      <c r="D23" s="14">
        <v>36</v>
      </c>
      <c r="E23" s="14">
        <v>163</v>
      </c>
      <c r="F23" s="14">
        <v>39</v>
      </c>
      <c r="G23" s="14">
        <v>42</v>
      </c>
      <c r="H23" s="13">
        <f>C23*(1+H24)</f>
        <v>41.82</v>
      </c>
      <c r="I23" s="2"/>
    </row>
    <row r="24">
      <c r="A24" s="3"/>
      <c r="B24" s="31" t="s">
        <v>78</v>
      </c>
      <c r="C24" s="8">
        <f>IFERROR(C23/Inputs!C138-1,"n/a")</f>
        <v>-0.0888888888888889</v>
      </c>
      <c r="D24" s="8">
        <f>IFERROR(D23/Inputs!D138-1,"n/a")</f>
        <v>-0.09999999999999998</v>
      </c>
      <c r="E24" s="8">
        <f>IFERROR(E23/Inputs!E138-1,"n/a")</f>
        <v>-0.07909604519774016</v>
      </c>
      <c r="F24" s="8">
        <f>IFERROR(F23/Inputs!F138-1,"n/a")</f>
        <v>-0.09302325581395354</v>
      </c>
      <c r="G24" s="8">
        <f>IFERROR(G23/Inputs!G138-1,"n/a")</f>
        <v>-0.023255813953488413</v>
      </c>
      <c r="H24" s="80">
        <v>0.02</v>
      </c>
      <c r="I24" s="2"/>
    </row>
    <row r="25">
      <c r="A25" s="3"/>
      <c r="B25" s="3" t="s">
        <v>79</v>
      </c>
      <c r="C25" s="6">
        <f>C23-Inputs!G138</f>
        <v>-2</v>
      </c>
      <c r="D25" s="4">
        <f>D23-C23</f>
        <v>-5</v>
      </c>
      <c r="E25" s="4"/>
      <c r="F25" s="4">
        <f>F23-D23</f>
        <v>3</v>
      </c>
      <c r="G25" s="4">
        <f>G23-F23</f>
        <v>3</v>
      </c>
      <c r="H25" s="13">
        <f>H23-G23</f>
        <v>-0.17999999999999972</v>
      </c>
      <c r="I25" s="2"/>
    </row>
    <row r="26">
      <c r="A26" s="3"/>
      <c r="B26" s="3" t="s">
        <v>82</v>
      </c>
      <c r="C26" s="14">
        <v>216</v>
      </c>
      <c r="D26" s="14">
        <v>191</v>
      </c>
      <c r="E26" s="14">
        <v>797</v>
      </c>
      <c r="F26" s="14">
        <v>214</v>
      </c>
      <c r="G26" s="14">
        <v>176</v>
      </c>
      <c r="H26" s="13">
        <f>C26*(1+H27)</f>
        <v>207.35999999999999</v>
      </c>
      <c r="I26" s="2"/>
    </row>
    <row r="27">
      <c r="A27" s="3"/>
      <c r="B27" s="31" t="s">
        <v>78</v>
      </c>
      <c r="C27" s="8">
        <f>IFERROR(C26/Inputs!C139-1,"n/a")</f>
        <v>0.125</v>
      </c>
      <c r="D27" s="8">
        <f>IFERROR(D26/Inputs!D139-1,"n/a")</f>
        <v>0.09142857142857141</v>
      </c>
      <c r="E27" s="8">
        <f>IFERROR(E26/Inputs!E139-1,"n/a")</f>
        <v>0.13532763532763536</v>
      </c>
      <c r="F27" s="8">
        <f>IFERROR(F26/Inputs!F139-1,"n/a")</f>
        <v>0.1567567567567567</v>
      </c>
      <c r="G27" s="8">
        <f>IFERROR(G26/Inputs!G139-1,"n/a")</f>
        <v>-0.14146341463414636</v>
      </c>
      <c r="H27" s="80">
        <v>-0.04</v>
      </c>
      <c r="I27" s="2"/>
    </row>
    <row r="28">
      <c r="A28" s="3"/>
      <c r="B28" s="3" t="s">
        <v>79</v>
      </c>
      <c r="C28" s="6">
        <f>C26-Inputs!G139</f>
        <v>11</v>
      </c>
      <c r="D28" s="4">
        <f>D26-C26</f>
        <v>-25</v>
      </c>
      <c r="E28" s="4"/>
      <c r="F28" s="4">
        <f>F26-D26</f>
        <v>23</v>
      </c>
      <c r="G28" s="4">
        <f>G26-F26</f>
        <v>-38</v>
      </c>
      <c r="H28" s="13">
        <f>H26-G26</f>
        <v>31.359999999999985</v>
      </c>
      <c r="I28" s="2"/>
    </row>
    <row r="29">
      <c r="A29" s="3"/>
      <c r="B29" s="15" t="s">
        <v>83</v>
      </c>
      <c r="C29" s="16">
        <f>C17+C20+C23+C26</f>
        <v>530</v>
      </c>
      <c r="D29" s="16">
        <f>D17+D20+D23+D26</f>
        <v>516</v>
      </c>
      <c r="E29" s="16">
        <f>E17+E20+E23+E26</f>
        <v>2056</v>
      </c>
      <c r="F29" s="16">
        <f>F17+F20+F23+F26</f>
        <v>548</v>
      </c>
      <c r="G29" s="16">
        <f>G17+G20+G23+G26</f>
        <v>514</v>
      </c>
      <c r="H29" s="17">
        <f>H17+H20+H23+H26</f>
        <v>525.3199999999999</v>
      </c>
      <c r="I29" s="2"/>
    </row>
    <row r="30">
      <c r="A30" s="3"/>
      <c r="B30" s="31" t="s">
        <v>78</v>
      </c>
      <c r="C30" s="8">
        <f>IFERROR(C29/Inputs!C146-1,"n/a")</f>
        <v>0.06854838709677424</v>
      </c>
      <c r="D30" s="8">
        <f>IFERROR(D29/Inputs!D146-1,"n/a")</f>
        <v>0.03200000000000003</v>
      </c>
      <c r="E30" s="8">
        <f>IFERROR(E29/Inputs!E146-1,"n/a")</f>
        <v>0.05870236869207002</v>
      </c>
      <c r="F30" s="8">
        <f>IFERROR(F29/Inputs!F146-1,"n/a")</f>
        <v>0.11608961303462317</v>
      </c>
      <c r="G30" s="8">
        <f>IFERROR(G29/Inputs!G146-1,"n/a")</f>
        <v>-0.009633911368015391</v>
      </c>
      <c r="H30" s="36">
        <f>H29/C29-1</f>
        <v>-0.008830188679245454</v>
      </c>
      <c r="I30" s="2"/>
    </row>
    <row r="31">
      <c r="A31" s="3"/>
      <c r="B31" s="3" t="s">
        <v>79</v>
      </c>
      <c r="C31" s="6">
        <f>C29-Inputs!G146</f>
        <v>11</v>
      </c>
      <c r="D31" s="4">
        <f>D29-C29</f>
        <v>-14</v>
      </c>
      <c r="E31" s="4"/>
      <c r="F31" s="4">
        <f>F29-D29</f>
        <v>32</v>
      </c>
      <c r="G31" s="4">
        <f>G29-F29</f>
        <v>-34</v>
      </c>
      <c r="H31" s="13">
        <f>H29-G29</f>
        <v>11.319999999999936</v>
      </c>
      <c r="I31" s="2"/>
    </row>
    <row r="32">
      <c r="A32" s="3"/>
      <c r="B32" s="3" t="s">
        <v>84</v>
      </c>
      <c r="C32" s="14">
        <v>182</v>
      </c>
      <c r="D32" s="14">
        <v>176</v>
      </c>
      <c r="E32" s="14">
        <v>704</v>
      </c>
      <c r="F32" s="14">
        <v>181</v>
      </c>
      <c r="G32" s="14">
        <v>183</v>
      </c>
      <c r="H32" s="13">
        <f>C32*(1+H33)</f>
        <v>186.54999999999998</v>
      </c>
      <c r="I32" s="2"/>
    </row>
    <row r="33">
      <c r="A33" s="3"/>
      <c r="B33" s="31" t="s">
        <v>78</v>
      </c>
      <c r="C33" s="8">
        <f>IFERROR(C32/Inputs!C140-1,"n/a")</f>
        <v>0.07692307692307687</v>
      </c>
      <c r="D33" s="8">
        <f>IFERROR(D32/Inputs!D140-1,"n/a")</f>
        <v>0.03529411764705892</v>
      </c>
      <c r="E33" s="8">
        <f>IFERROR(E32/Inputs!E140-1,"n/a")</f>
        <v>0.04761904761904767</v>
      </c>
      <c r="F33" s="8">
        <f>IFERROR(F32/Inputs!F140-1,"n/a")</f>
        <v>0.07100591715976323</v>
      </c>
      <c r="G33" s="8">
        <f>IFERROR(G32/Inputs!G140-1,"n/a")</f>
        <v>0.03389830508474567</v>
      </c>
      <c r="H33" s="80">
        <v>0.025</v>
      </c>
      <c r="I33" s="2"/>
    </row>
    <row r="34">
      <c r="A34" s="3"/>
      <c r="B34" s="3" t="s">
        <v>79</v>
      </c>
      <c r="C34" s="6">
        <f>C32-Inputs!G140</f>
        <v>5</v>
      </c>
      <c r="D34" s="4">
        <f>D32-C32</f>
        <v>-6</v>
      </c>
      <c r="E34" s="4"/>
      <c r="F34" s="4">
        <f>F32-D32</f>
        <v>5</v>
      </c>
      <c r="G34" s="4">
        <f>G32-F32</f>
        <v>2</v>
      </c>
      <c r="H34" s="13">
        <f>H32-G32</f>
        <v>3.549999999999983</v>
      </c>
      <c r="I34" s="2"/>
    </row>
    <row r="35">
      <c r="A35" s="3"/>
      <c r="B35" s="3" t="s">
        <v>85</v>
      </c>
      <c r="C35" s="14">
        <v>193</v>
      </c>
      <c r="D35" s="14">
        <v>189</v>
      </c>
      <c r="E35" s="14">
        <v>747</v>
      </c>
      <c r="F35" s="14">
        <v>183</v>
      </c>
      <c r="G35" s="14">
        <v>196</v>
      </c>
      <c r="H35" s="13">
        <f>C35*(1+H36)</f>
        <v>208.44000000000003</v>
      </c>
      <c r="I35" s="2"/>
    </row>
    <row r="36">
      <c r="A36" s="3"/>
      <c r="B36" s="31" t="s">
        <v>78</v>
      </c>
      <c r="C36" s="8">
        <f>IFERROR(C35/Inputs!C141-1,"n/a")</f>
        <v>0.037634408602150504</v>
      </c>
      <c r="D36" s="8">
        <f>IFERROR(D35/Inputs!D141-1,"n/a")</f>
        <v>0.05586592178770955</v>
      </c>
      <c r="E36" s="8">
        <f>IFERROR(E35/Inputs!E141-1,"n/a")</f>
        <v>0.03894297635605004</v>
      </c>
      <c r="F36" s="8">
        <f>IFERROR(F35/Inputs!F141-1,"n/a")</f>
        <v>0.051724137931034475</v>
      </c>
      <c r="G36" s="8">
        <f>IFERROR(G35/Inputs!G141-1,"n/a")</f>
        <v>0.02617801047120416</v>
      </c>
      <c r="H36" s="80">
        <v>0.08</v>
      </c>
      <c r="I36" s="2"/>
    </row>
    <row r="37">
      <c r="A37" s="3"/>
      <c r="B37" s="3" t="s">
        <v>79</v>
      </c>
      <c r="C37" s="6">
        <f>C35-Inputs!G141</f>
        <v>2</v>
      </c>
      <c r="D37" s="4">
        <f>D35-C35</f>
        <v>-4</v>
      </c>
      <c r="E37" s="4"/>
      <c r="F37" s="4">
        <f>F35-D35</f>
        <v>-6</v>
      </c>
      <c r="G37" s="4">
        <f>G35-F35</f>
        <v>13</v>
      </c>
      <c r="H37" s="13">
        <f>H35-G35</f>
        <v>12.440000000000026</v>
      </c>
      <c r="I37" s="2"/>
    </row>
    <row r="38">
      <c r="A38" s="3"/>
      <c r="B38" s="3" t="s">
        <v>86</v>
      </c>
      <c r="C38" s="14">
        <v>52</v>
      </c>
      <c r="D38" s="14">
        <v>48</v>
      </c>
      <c r="E38" s="14">
        <v>203</v>
      </c>
      <c r="F38" s="14">
        <v>49</v>
      </c>
      <c r="G38" s="14">
        <v>53</v>
      </c>
      <c r="H38" s="13">
        <f>C38*(1+H39)</f>
        <v>53.56</v>
      </c>
      <c r="I38" s="2"/>
    </row>
    <row r="39">
      <c r="A39" s="3"/>
      <c r="B39" s="31" t="s">
        <v>78</v>
      </c>
      <c r="C39" s="8">
        <f>IFERROR(C38/Inputs!C142-1,"n/a")</f>
        <v>-0.018867924528301883</v>
      </c>
      <c r="D39" s="8">
        <f>IFERROR(D38/Inputs!D142-1,"n/a")</f>
        <v>-0.07692307692307687</v>
      </c>
      <c r="E39" s="8">
        <f>IFERROR(E38/Inputs!E142-1,"n/a")</f>
        <v>-0.04694835680751175</v>
      </c>
      <c r="F39" s="8">
        <f>IFERROR(F38/Inputs!F142-1,"n/a")</f>
        <v>-0.039215686274509776</v>
      </c>
      <c r="G39" s="8">
        <f>IFERROR(G38/Inputs!G142-1,"n/a")</f>
        <v>0.019230769230769162</v>
      </c>
      <c r="H39" s="80">
        <v>0.03</v>
      </c>
      <c r="I39" s="2"/>
    </row>
    <row r="40">
      <c r="A40" s="3"/>
      <c r="B40" s="3" t="s">
        <v>79</v>
      </c>
      <c r="C40" s="6">
        <f>C38-Inputs!G142</f>
        <v>0</v>
      </c>
      <c r="D40" s="4">
        <f>D38-C38</f>
        <v>-4</v>
      </c>
      <c r="E40" s="4"/>
      <c r="F40" s="4">
        <f>F38-D38</f>
        <v>1</v>
      </c>
      <c r="G40" s="4">
        <f>G38-F38</f>
        <v>4</v>
      </c>
      <c r="H40" s="13">
        <f>H38-G38</f>
        <v>0.5600000000000023</v>
      </c>
      <c r="I40" s="2"/>
    </row>
    <row r="41">
      <c r="A41" s="3"/>
      <c r="B41" s="3" t="s">
        <v>87</v>
      </c>
      <c r="C41" s="14">
        <v>147</v>
      </c>
      <c r="D41" s="14">
        <v>148</v>
      </c>
      <c r="E41" s="14">
        <v>587</v>
      </c>
      <c r="F41" s="14">
        <v>147</v>
      </c>
      <c r="G41" s="14">
        <v>154</v>
      </c>
      <c r="H41" s="13">
        <f>C41*(1+H42)</f>
        <v>154.35</v>
      </c>
      <c r="I41" s="2"/>
    </row>
    <row r="42">
      <c r="A42" s="3"/>
      <c r="B42" s="31" t="s">
        <v>78</v>
      </c>
      <c r="C42" s="8">
        <f>IFERROR(C41/Inputs!C143-1,"n/a")</f>
        <v>-0.03289473684210531</v>
      </c>
      <c r="D42" s="8">
        <f>IFERROR(D41/Inputs!D143-1,"n/a")</f>
        <v>-0.038961038961038974</v>
      </c>
      <c r="E42" s="8">
        <f>IFERROR(E41/Inputs!E143-1,"n/a")</f>
        <v>-0.0329489291598023</v>
      </c>
      <c r="F42" s="8">
        <f>IFERROR(F41/Inputs!F143-1,"n/a")</f>
        <v>0.027972027972027913</v>
      </c>
      <c r="G42" s="8">
        <f>IFERROR(G41/Inputs!G143-1,"n/a")</f>
        <v>0.033557046979865834</v>
      </c>
      <c r="H42" s="80">
        <v>0.05</v>
      </c>
      <c r="I42" s="2"/>
    </row>
    <row r="43">
      <c r="A43" s="3"/>
      <c r="B43" s="3" t="s">
        <v>79</v>
      </c>
      <c r="C43" s="6">
        <f>C41-Inputs!G143</f>
        <v>-2</v>
      </c>
      <c r="D43" s="4">
        <f>D41-C41</f>
        <v>1</v>
      </c>
      <c r="E43" s="4"/>
      <c r="F43" s="4">
        <f>F41-D41</f>
        <v>-1</v>
      </c>
      <c r="G43" s="4">
        <f>G41-F41</f>
        <v>7</v>
      </c>
      <c r="H43" s="13">
        <f>H41-G41</f>
        <v>0.3499999999999943</v>
      </c>
      <c r="I43" s="2"/>
    </row>
    <row r="44">
      <c r="A44" s="3"/>
      <c r="B44" s="15" t="s">
        <v>88</v>
      </c>
      <c r="C44" s="16">
        <f>C32+C35+C38+C41</f>
        <v>574</v>
      </c>
      <c r="D44" s="16">
        <f>D32+D35+D38+D41</f>
        <v>561</v>
      </c>
      <c r="E44" s="16">
        <f>E32+E35+E38+E41</f>
        <v>2241</v>
      </c>
      <c r="F44" s="16">
        <f>F32+F35+F38+F41</f>
        <v>560</v>
      </c>
      <c r="G44" s="16">
        <f>G32+G35+G38+G41</f>
        <v>586</v>
      </c>
      <c r="H44" s="17">
        <f>H32+H35+H38+H41</f>
        <v>602.9</v>
      </c>
      <c r="I44" s="2"/>
    </row>
    <row r="45">
      <c r="A45" s="3"/>
      <c r="B45" s="31" t="s">
        <v>78</v>
      </c>
      <c r="C45" s="8">
        <f>IFERROR(C44/Inputs!C147-1,"n/a")</f>
        <v>0.02499999999999991</v>
      </c>
      <c r="D45" s="8">
        <f>IFERROR(D44/Inputs!D147-1,"n/a")</f>
        <v>0.0108108108108107</v>
      </c>
      <c r="E45" s="8">
        <f>IFERROR(E44/Inputs!E147-1,"n/a")</f>
        <v>0.013568521031207537</v>
      </c>
      <c r="F45" s="8">
        <f>IFERROR(F44/Inputs!F147-1,"n/a")</f>
        <v>0.04283054003724396</v>
      </c>
      <c r="G45" s="8">
        <f>IFERROR(G44/Inputs!G147-1,"n/a")</f>
        <v>0.02987697715289972</v>
      </c>
      <c r="H45" s="36">
        <f>H44/C44-1</f>
        <v>0.050348432055749015</v>
      </c>
      <c r="I45" s="2"/>
    </row>
    <row r="46">
      <c r="A46" s="3"/>
      <c r="B46" s="3" t="s">
        <v>79</v>
      </c>
      <c r="C46" s="6">
        <f>C44-Inputs!G147</f>
        <v>5</v>
      </c>
      <c r="D46" s="4">
        <f>D44-C44</f>
        <v>-13</v>
      </c>
      <c r="E46" s="4"/>
      <c r="F46" s="4">
        <f>F44-D44</f>
        <v>-1</v>
      </c>
      <c r="G46" s="4">
        <f>G44-F44</f>
        <v>26</v>
      </c>
      <c r="H46" s="13">
        <f>H44-G44</f>
        <v>16.899999999999977</v>
      </c>
      <c r="I46" s="2"/>
    </row>
    <row r="47">
      <c r="A47" s="3"/>
      <c r="B47" s="3" t="s">
        <v>89</v>
      </c>
      <c r="C47" s="14">
        <v>199</v>
      </c>
      <c r="D47" s="14">
        <v>190</v>
      </c>
      <c r="E47" s="14">
        <v>793</v>
      </c>
      <c r="F47" s="14">
        <v>183</v>
      </c>
      <c r="G47" s="14">
        <v>210</v>
      </c>
      <c r="H47" s="13">
        <f>C47*(1+H48)</f>
        <v>199</v>
      </c>
      <c r="I47" s="2"/>
    </row>
    <row r="48">
      <c r="A48" s="3"/>
      <c r="B48" s="31" t="s">
        <v>78</v>
      </c>
      <c r="C48" s="8">
        <f>IFERROR(C47/Inputs!C144-1,"n/a")</f>
        <v>-0.014851485148514865</v>
      </c>
      <c r="D48" s="8">
        <f>IFERROR(D47/Inputs!D144-1,"n/a")</f>
        <v>-0.035532994923857864</v>
      </c>
      <c r="E48" s="8">
        <f>IFERROR(E47/Inputs!E144-1,"n/a")</f>
        <v>-0.03762135922330101</v>
      </c>
      <c r="F48" s="8">
        <f>IFERROR(F47/Inputs!F144-1,"n/a")</f>
        <v>-0.06153846153846154</v>
      </c>
      <c r="G48" s="8">
        <f>IFERROR(G47/Inputs!G144-1,"n/a")</f>
        <v>0.004784688995215225</v>
      </c>
      <c r="H48" s="80">
        <v>0</v>
      </c>
      <c r="I48" s="2"/>
    </row>
    <row r="49">
      <c r="A49" s="3"/>
      <c r="B49" s="3" t="s">
        <v>79</v>
      </c>
      <c r="C49" s="6">
        <f>C47-Inputs!G144</f>
        <v>-10</v>
      </c>
      <c r="D49" s="4">
        <f>D47-C47</f>
        <v>-9</v>
      </c>
      <c r="E49" s="4"/>
      <c r="F49" s="4">
        <f>F47-D47</f>
        <v>-7</v>
      </c>
      <c r="G49" s="4">
        <f>G47-F47</f>
        <v>27</v>
      </c>
      <c r="H49" s="13">
        <f>H47-G47</f>
        <v>-11</v>
      </c>
      <c r="I49" s="2"/>
    </row>
    <row r="50">
      <c r="A50" s="3"/>
      <c r="B50" s="3" t="s">
        <v>90</v>
      </c>
      <c r="C50" s="14">
        <v>860</v>
      </c>
      <c r="D50" s="14">
        <v>806</v>
      </c>
      <c r="E50" s="14">
        <v>3357</v>
      </c>
      <c r="F50" s="14">
        <v>792</v>
      </c>
      <c r="G50" s="14">
        <v>853</v>
      </c>
      <c r="H50" s="13">
        <f>C50*(1+H51)</f>
        <v>946.0000000000001</v>
      </c>
      <c r="I50" s="2"/>
    </row>
    <row r="51">
      <c r="A51" s="3"/>
      <c r="B51" s="31" t="s">
        <v>78</v>
      </c>
      <c r="C51" s="8">
        <f>IFERROR(C50/Inputs!C145-1,"n/a")</f>
        <v>-0.053905390539053855</v>
      </c>
      <c r="D51" s="8">
        <f>IFERROR(D50/Inputs!D145-1,"n/a")</f>
        <v>-0.115257958287596</v>
      </c>
      <c r="E51" s="8">
        <f>IFERROR(E50/Inputs!E145-1,"n/a")</f>
        <v>0</v>
      </c>
      <c r="F51" s="8">
        <f>IFERROR(F50/Inputs!F145-1,"n/a")</f>
        <v>-0.09382151029748287</v>
      </c>
      <c r="G51" s="8">
        <f>IFERROR(G50/Inputs!G145-1,"n/a")</f>
        <v>0.044063647490820035</v>
      </c>
      <c r="H51" s="80">
        <v>0.1</v>
      </c>
      <c r="I51" s="2"/>
    </row>
    <row r="52">
      <c r="A52" s="3"/>
      <c r="B52" s="3" t="s">
        <v>79</v>
      </c>
      <c r="C52" s="6">
        <f>C50-Inputs!G145</f>
        <v>43</v>
      </c>
      <c r="D52" s="4">
        <f>D50-C50</f>
        <v>-54</v>
      </c>
      <c r="E52" s="4"/>
      <c r="F52" s="4">
        <f>F50-D50</f>
        <v>-14</v>
      </c>
      <c r="G52" s="4">
        <f>G50-F50</f>
        <v>61</v>
      </c>
      <c r="H52" s="13">
        <f>H50-G50</f>
        <v>93.00000000000011</v>
      </c>
      <c r="I52" s="2"/>
    </row>
    <row r="53">
      <c r="A53" s="3"/>
      <c r="B53" s="15" t="s">
        <v>91</v>
      </c>
      <c r="C53" s="16">
        <f>C47+C50</f>
        <v>1059</v>
      </c>
      <c r="D53" s="16">
        <f>D47+D50</f>
        <v>996</v>
      </c>
      <c r="E53" s="16">
        <f>E47+E50</f>
        <v>4150</v>
      </c>
      <c r="F53" s="16">
        <f>F47+F50</f>
        <v>975</v>
      </c>
      <c r="G53" s="16">
        <f>G47+G50</f>
        <v>1063</v>
      </c>
      <c r="H53" s="17">
        <f>H47+H50</f>
        <v>1145</v>
      </c>
      <c r="I53" s="2"/>
    </row>
    <row r="54">
      <c r="A54" s="3"/>
      <c r="B54" s="31" t="s">
        <v>78</v>
      </c>
      <c r="C54" s="8">
        <f>IFERROR(C53/Inputs!C148-1,"n/a")</f>
        <v>-0.046804680468046755</v>
      </c>
      <c r="D54" s="8">
        <f>IFERROR(D53/Inputs!D148-1,"n/a")</f>
        <v>-0.10108303249097472</v>
      </c>
      <c r="E54" s="8">
        <f>IFERROR(E53/Inputs!E148-1,"n/a")</f>
        <v>-0.0074144941401578235</v>
      </c>
      <c r="F54" s="8">
        <f>IFERROR(F53/Inputs!F148-1,"n/a")</f>
        <v>-0.087932647333957</v>
      </c>
      <c r="G54" s="8">
        <f>IFERROR(G53/Inputs!G148-1,"n/a")</f>
        <v>0.03606237816764124</v>
      </c>
      <c r="H54" s="36">
        <f>H53/C53-1</f>
        <v>0.08120868744098209</v>
      </c>
      <c r="I54" s="2"/>
    </row>
    <row r="55">
      <c r="A55" s="3"/>
      <c r="B55" s="3" t="s">
        <v>79</v>
      </c>
      <c r="C55" s="6">
        <f>C53-Inputs!G148</f>
        <v>33</v>
      </c>
      <c r="D55" s="4">
        <f>D53-C53</f>
        <v>-63</v>
      </c>
      <c r="E55" s="4"/>
      <c r="F55" s="4">
        <f>F53-D53</f>
        <v>-21</v>
      </c>
      <c r="G55" s="4">
        <f>G53-F53</f>
        <v>88</v>
      </c>
      <c r="H55" s="13">
        <f>H53-G53</f>
        <v>82</v>
      </c>
      <c r="I55" s="2"/>
    </row>
    <row r="56">
      <c r="A56" s="3"/>
      <c r="B56" s="15" t="s">
        <v>92</v>
      </c>
      <c r="C56" s="16">
        <f>C29+C44+C53</f>
        <v>2163</v>
      </c>
      <c r="D56" s="16">
        <f>D29+D44+D53</f>
        <v>2073</v>
      </c>
      <c r="E56" s="16">
        <f>E29+E44+E53</f>
        <v>8447</v>
      </c>
      <c r="F56" s="16">
        <f>F29+F44+F53</f>
        <v>2083</v>
      </c>
      <c r="G56" s="16">
        <f>G29+G44+G53</f>
        <v>2163</v>
      </c>
      <c r="H56" s="17">
        <f>H29+H44+H53</f>
        <v>2273.22</v>
      </c>
      <c r="I56" s="2"/>
    </row>
    <row r="57">
      <c r="A57" s="3"/>
      <c r="B57" s="31" t="s">
        <v>78</v>
      </c>
      <c r="C57" s="8">
        <f>IFERROR(C56/Inputs!C149-1,"n/a")</f>
        <v>-0.00184586986617441</v>
      </c>
      <c r="D57" s="8">
        <f>IFERROR(D56/Inputs!D149-1,"n/a")</f>
        <v>-0.04160887656033285</v>
      </c>
      <c r="E57" s="8">
        <f>IFERROR(E56/Inputs!E149-1,"n/a")</f>
        <v>0.013558915286776996</v>
      </c>
      <c r="F57" s="8">
        <f>IFERROR(F56/Inputs!F149-1,"n/a")</f>
        <v>-0.0066762041010968165</v>
      </c>
      <c r="G57" s="8">
        <f>IFERROR(G56/Inputs!G149-1,"n/a")</f>
        <v>0.023178807947019875</v>
      </c>
      <c r="H57" s="36">
        <f>H56/C56-1</f>
        <v>0.05095700416088755</v>
      </c>
      <c r="I57" s="2"/>
    </row>
    <row r="58">
      <c r="A58" s="3"/>
      <c r="B58" s="3" t="s">
        <v>79</v>
      </c>
      <c r="C58" s="6">
        <f>C56-Inputs!G149</f>
        <v>49</v>
      </c>
      <c r="D58" s="4">
        <f>D56-C56</f>
        <v>-90</v>
      </c>
      <c r="E58" s="4"/>
      <c r="F58" s="4">
        <f>F56-D56</f>
        <v>10</v>
      </c>
      <c r="G58" s="4">
        <f>G56-F56</f>
        <v>80</v>
      </c>
      <c r="H58" s="13">
        <f>H56-G56</f>
        <v>110.2199999999998</v>
      </c>
      <c r="I58" s="2"/>
    </row>
    <row r="59">
      <c r="A59" s="3"/>
      <c r="B59" s="31" t="s">
        <v>93</v>
      </c>
      <c r="C59" s="48">
        <f>C50/C56</f>
        <v>0.39759593157651413</v>
      </c>
      <c r="D59" s="48">
        <f>D50/D56</f>
        <v>0.3888084901109503</v>
      </c>
      <c r="E59" s="48">
        <f>E50/E56</f>
        <v>0.39741920208357995</v>
      </c>
      <c r="F59" s="48">
        <f>F50/F56</f>
        <v>0.38022083533365336</v>
      </c>
      <c r="G59" s="48">
        <f>G50/G56</f>
        <v>0.39435968562182155</v>
      </c>
      <c r="H59" s="36">
        <f>H50/H56</f>
        <v>0.4161497787279719</v>
      </c>
      <c r="I59" s="2"/>
    </row>
    <row r="60">
      <c r="A60" s="3"/>
      <c r="B60" s="3" t="s">
        <v>94</v>
      </c>
      <c r="C60" s="71">
        <f>IFERROR((C59-Inputs!C145/Inputs!C149)*10000,"n/a")</f>
        <v>-218.7799551162617</v>
      </c>
      <c r="D60" s="71">
        <f>IFERROR((D59-Inputs!D145/Inputs!D149)*10000,"n/a")</f>
        <v>-323.6580484975243</v>
      </c>
      <c r="E60" s="71">
        <f>IFERROR((E59-Inputs!E145/Inputs!E149)*10000,"n/a")</f>
        <v>-53.88573294389798</v>
      </c>
      <c r="F60" s="71">
        <f>IFERROR((F59-Inputs!F145/Inputs!F149)*10000,"n/a")</f>
        <v>-365.65049263390046</v>
      </c>
      <c r="G60" s="71">
        <f>IFERROR((G59-Inputs!G145/Inputs!G149)*10000,"n/a")</f>
        <v>78.88540872531102</v>
      </c>
      <c r="H60" s="74">
        <f>(H59-C59)*10000</f>
        <v>185.53847151457748</v>
      </c>
      <c r="I60" s="2"/>
    </row>
    <row r="61">
      <c r="A61" s="3"/>
      <c r="B61" s="3" t="s">
        <v>95</v>
      </c>
      <c r="C61" s="71">
        <f>(C59-Inputs!G145/Inputs!G149)*10000</f>
        <v>111.24786827223676</v>
      </c>
      <c r="D61" s="76">
        <f>(D59-C59)*10000</f>
        <v>-87.87441465563816</v>
      </c>
      <c r="E61" s="76"/>
      <c r="F61" s="76">
        <f>(F59-D59)*10000</f>
        <v>-85.87654777296949</v>
      </c>
      <c r="G61" s="76">
        <f>(G59-F59)*10000</f>
        <v>141.38850288168192</v>
      </c>
      <c r="H61" s="74">
        <f>(H59-G59)*10000</f>
        <v>217.9009310615032</v>
      </c>
      <c r="I61" s="2"/>
    </row>
    <row r="62">
      <c r="A62" s="3"/>
      <c r="B62" s="3"/>
      <c r="C62" s="12"/>
      <c r="D62" s="12"/>
      <c r="E62" s="12"/>
      <c r="F62" s="12"/>
      <c r="G62" s="12"/>
      <c r="H62" s="41"/>
      <c r="I62" s="2"/>
    </row>
    <row r="63">
      <c r="A63" s="3"/>
      <c r="B63" s="50" t="s">
        <v>96</v>
      </c>
      <c r="C63" s="12"/>
      <c r="D63" s="12"/>
      <c r="E63" s="12"/>
      <c r="F63" s="12"/>
      <c r="G63" s="12"/>
      <c r="H63" s="41"/>
      <c r="I63" s="2"/>
    </row>
    <row r="64">
      <c r="A64" s="3"/>
      <c r="B64" s="3" t="s">
        <v>97</v>
      </c>
      <c r="C64" s="75">
        <v>3.7569</v>
      </c>
      <c r="D64" s="75">
        <v>3.7052</v>
      </c>
      <c r="E64" s="75">
        <v>3.6621</v>
      </c>
      <c r="F64" s="75">
        <v>4.0551</v>
      </c>
      <c r="G64" s="75">
        <v>5.3748</v>
      </c>
      <c r="H64" s="82">
        <v>5.5693</v>
      </c>
      <c r="I64" s="2"/>
    </row>
    <row r="65">
      <c r="A65" s="3"/>
      <c r="B65" s="3" t="s">
        <v>98</v>
      </c>
      <c r="C65" s="32">
        <f>IF(ISNUMBER(Inputs!C129),C64-Inputs!C129,"n/a")</f>
        <v>0.06769999999999987</v>
      </c>
      <c r="D65" s="32">
        <f>IF(ISNUMBER(Inputs!D129),D64-Inputs!D129,"n/a")</f>
        <v>0.17149999999999999</v>
      </c>
      <c r="E65" s="32">
        <f>IF(ISNUMBER(Inputs!E129),E64-Inputs!E129,"n/a")</f>
        <v>-0.09789999999999965</v>
      </c>
      <c r="F65" s="32">
        <f>IF(ISNUMBER(Inputs!F129),F64-Inputs!F129,"n/a")</f>
        <v>0.4238000000000004</v>
      </c>
      <c r="G65" s="32">
        <f>IF(ISNUMBER(Inputs!G129),G64-Inputs!G129,"n/a")</f>
        <v>1.8199999999999994</v>
      </c>
      <c r="H65" s="72">
        <f>H64-C64</f>
        <v>1.8124000000000002</v>
      </c>
      <c r="I65" s="2"/>
    </row>
    <row r="66">
      <c r="A66" s="3"/>
      <c r="B66" s="3" t="s">
        <v>99</v>
      </c>
      <c r="C66" s="32">
        <f>C64-Inputs!G129</f>
        <v>0.20209999999999972</v>
      </c>
      <c r="D66" s="40">
        <f>D64-C64</f>
        <v>-0.05169999999999986</v>
      </c>
      <c r="E66" s="40"/>
      <c r="F66" s="40">
        <f>F64-D64</f>
        <v>0.3499000000000003</v>
      </c>
      <c r="G66" s="40">
        <f>G64-F64</f>
        <v>1.3196999999999992</v>
      </c>
      <c r="H66" s="72">
        <f>H64-G64</f>
        <v>0.19450000000000056</v>
      </c>
      <c r="I66" s="2"/>
    </row>
    <row r="67">
      <c r="A67" s="3"/>
      <c r="B67" s="3" t="s">
        <v>100</v>
      </c>
      <c r="C67" s="75">
        <v>3.6255</v>
      </c>
      <c r="D67" s="75">
        <v>3.7235</v>
      </c>
      <c r="E67" s="75">
        <v>3.627</v>
      </c>
      <c r="F67" s="75">
        <v>3.6532</v>
      </c>
      <c r="G67" s="75">
        <v>4.7147</v>
      </c>
      <c r="H67" s="82">
        <v>5.1928</v>
      </c>
      <c r="I67" s="2"/>
    </row>
    <row r="68">
      <c r="A68" s="3"/>
      <c r="B68" s="3" t="s">
        <v>98</v>
      </c>
      <c r="C68" s="32">
        <f>IF(ISNUMBER(Inputs!C130),C67-Inputs!C130,"n/a")</f>
        <v>-0.1593</v>
      </c>
      <c r="D68" s="32">
        <f>IF(ISNUMBER(Inputs!D130),D67-Inputs!D130,"n/a")</f>
        <v>0.10930000000000017</v>
      </c>
      <c r="E68" s="32" t="str">
        <f>IF(ISNUMBER(Inputs!E130),E67-Inputs!E130,"n/a")</f>
        <v>n/a</v>
      </c>
      <c r="F68" s="32">
        <f>IF(ISNUMBER(Inputs!F130),F67-Inputs!F130,"n/a")</f>
        <v>0.10309999999999997</v>
      </c>
      <c r="G68" s="32">
        <f>IF(ISNUMBER(Inputs!G130),G67-Inputs!G130,"n/a")</f>
        <v>1.1058999999999997</v>
      </c>
      <c r="H68" s="72">
        <f>H67-C67</f>
        <v>1.5673</v>
      </c>
      <c r="I68" s="2"/>
    </row>
    <row r="69">
      <c r="A69" s="3"/>
      <c r="B69" s="3" t="s">
        <v>99</v>
      </c>
      <c r="C69" s="32">
        <f>C67-Inputs!G130</f>
        <v>0.01670000000000016</v>
      </c>
      <c r="D69" s="40">
        <f>D67-C67</f>
        <v>0.09799999999999986</v>
      </c>
      <c r="E69" s="40"/>
      <c r="F69" s="40">
        <f>F67-D67</f>
        <v>-0.07030000000000003</v>
      </c>
      <c r="G69" s="40">
        <f>G67-F67</f>
        <v>1.0614999999999997</v>
      </c>
      <c r="H69" s="72">
        <f>H67-G67</f>
        <v>0.4781000000000004</v>
      </c>
      <c r="I69" s="2"/>
    </row>
    <row r="70">
      <c r="A70" s="3"/>
      <c r="B70" s="3" t="s">
        <v>101</v>
      </c>
      <c r="C70" s="75">
        <v>3.732</v>
      </c>
      <c r="D70" s="75">
        <v>3.7275</v>
      </c>
      <c r="E70" s="75">
        <v>3.657</v>
      </c>
      <c r="F70" s="75">
        <v>3.8375</v>
      </c>
      <c r="G70" s="75">
        <v>5.3576</v>
      </c>
      <c r="H70" s="82">
        <v>5.3582</v>
      </c>
      <c r="I70" s="2" t="s">
        <v>102</v>
      </c>
    </row>
    <row r="71">
      <c r="A71" s="3"/>
      <c r="B71" s="3" t="s">
        <v>98</v>
      </c>
      <c r="C71" s="32">
        <f>IF(ISNUMBER(Inputs!C131),C70-Inputs!C131,"n/a")</f>
        <v>0.015500000000000291</v>
      </c>
      <c r="D71" s="32">
        <f>IF(ISNUMBER(Inputs!D131),D70-Inputs!D131,"n/a")</f>
        <v>0.18320000000000025</v>
      </c>
      <c r="E71" s="32" t="str">
        <f>IF(ISNUMBER(Inputs!E131),E70-Inputs!E131,"n/a")</f>
        <v>n/a</v>
      </c>
      <c r="F71" s="32">
        <f>IF(ISNUMBER(Inputs!F131),F70-Inputs!F131,"n/a")</f>
        <v>0.22129999999999983</v>
      </c>
      <c r="G71" s="32">
        <f>IF(ISNUMBER(Inputs!G131),G70-Inputs!G131,"n/a")</f>
        <v>1.8050999999999995</v>
      </c>
      <c r="H71" s="72">
        <f>H70-C70</f>
        <v>1.6261999999999999</v>
      </c>
      <c r="I71" s="2"/>
    </row>
    <row r="72">
      <c r="A72" s="3"/>
      <c r="B72" s="3" t="s">
        <v>99</v>
      </c>
      <c r="C72" s="32">
        <f>C70-Inputs!G131</f>
        <v>0.1795</v>
      </c>
      <c r="D72" s="40">
        <f>D70-C70</f>
        <v>-0.0045000000000001705</v>
      </c>
      <c r="E72" s="40"/>
      <c r="F72" s="40">
        <f>F70-D70</f>
        <v>0.10999999999999988</v>
      </c>
      <c r="G72" s="40">
        <f>G70-F70</f>
        <v>1.5200999999999998</v>
      </c>
      <c r="H72" s="72">
        <f>H70-G70</f>
        <v>0.000600000000000378</v>
      </c>
      <c r="I72" s="2"/>
    </row>
    <row r="73">
      <c r="A73" s="3"/>
      <c r="B73" s="31" t="s">
        <v>103</v>
      </c>
      <c r="C73" s="48"/>
      <c r="D73" s="48"/>
      <c r="E73" s="48"/>
      <c r="F73" s="48"/>
      <c r="G73" s="48"/>
      <c r="H73" s="80">
        <v>0.048</v>
      </c>
      <c r="I73" s="2" t="s">
        <v>104</v>
      </c>
    </row>
    <row r="74">
      <c r="A74" s="3"/>
      <c r="B74" s="3" t="s">
        <v>105</v>
      </c>
      <c r="C74" s="40"/>
      <c r="D74" s="40"/>
      <c r="E74" s="40"/>
      <c r="F74" s="40"/>
      <c r="G74" s="40"/>
      <c r="H74" s="82">
        <v>1.61</v>
      </c>
      <c r="I74" s="2"/>
    </row>
    <row r="75">
      <c r="A75" s="3"/>
      <c r="B75" s="31" t="s">
        <v>106</v>
      </c>
      <c r="C75" s="48"/>
      <c r="D75" s="48"/>
      <c r="E75" s="48"/>
      <c r="F75" s="48"/>
      <c r="G75" s="48"/>
      <c r="H75" s="80">
        <v>0.1055</v>
      </c>
      <c r="I75" s="2"/>
    </row>
    <row r="76">
      <c r="A76" s="3"/>
      <c r="B76" s="3" t="s">
        <v>107</v>
      </c>
      <c r="C76" s="40"/>
      <c r="D76" s="40"/>
      <c r="E76" s="40"/>
      <c r="F76" s="40"/>
      <c r="G76" s="40"/>
      <c r="H76" s="82">
        <v>2</v>
      </c>
      <c r="I76" s="2" t="s">
        <v>108</v>
      </c>
    </row>
    <row r="77">
      <c r="A77" s="3"/>
      <c r="B77" s="31" t="s">
        <v>109</v>
      </c>
      <c r="C77" s="48">
        <f>$H$73*(C67-$H$74)</f>
        <v>0.09674400000000001</v>
      </c>
      <c r="D77" s="48">
        <f>$H$73*(D67-$H$74)</f>
        <v>0.10144800000000001</v>
      </c>
      <c r="E77" s="48">
        <f>$H$73*(E67-$H$74)</f>
        <v>0.09681599999999997</v>
      </c>
      <c r="F77" s="48">
        <f>$H$73*(F67-$H$74)</f>
        <v>0.09807359999999998</v>
      </c>
      <c r="G77" s="48">
        <f>$H$73*(G67-$H$74)</f>
        <v>0.14902559999999998</v>
      </c>
      <c r="H77" s="36">
        <f>$H$73*(H67-$H$74)</f>
        <v>0.1719744</v>
      </c>
      <c r="I77" s="2"/>
    </row>
    <row r="78">
      <c r="A78" s="3"/>
      <c r="B78" s="3" t="s">
        <v>94</v>
      </c>
      <c r="C78" s="71">
        <f>IF(ISNUMBER(Inputs!C130),(C77-$H$73*(Inputs!C130-$H$74))*10000,"n/a")</f>
        <v>-76.46400000000011</v>
      </c>
      <c r="D78" s="71">
        <f>IF(ISNUMBER(Inputs!D130),(D77-$H$73*(Inputs!D130-$H$74))*10000,"n/a")</f>
        <v>52.46400000000012</v>
      </c>
      <c r="E78" s="71" t="str">
        <f>IF(ISNUMBER(Inputs!E130),(E77-$H$73*(Inputs!E130-$H$74))*10000,"n/a")</f>
        <v>n/a</v>
      </c>
      <c r="F78" s="71">
        <f>IF(ISNUMBER(Inputs!F130),(F77-$H$73*(Inputs!F130-$H$74))*10000,"n/a")</f>
        <v>49.48799999999989</v>
      </c>
      <c r="G78" s="71">
        <f>IF(ISNUMBER(Inputs!G130),(G77-$H$73*(Inputs!G130-$H$74))*10000,"n/a")</f>
        <v>530.8319999999999</v>
      </c>
      <c r="H78" s="74">
        <f>(H77-C77)*10000</f>
        <v>752.3039999999999</v>
      </c>
      <c r="I78" s="2"/>
    </row>
    <row r="79">
      <c r="A79" s="3"/>
      <c r="B79" s="3" t="s">
        <v>95</v>
      </c>
      <c r="C79" s="71">
        <f>(C77-$H$73*(Inputs!G130-$H$74))*10000</f>
        <v>8.016000000000133</v>
      </c>
      <c r="D79" s="76">
        <f>(D77-C77)*10000</f>
        <v>47.04</v>
      </c>
      <c r="E79" s="76"/>
      <c r="F79" s="76">
        <f>(F77-D77)*10000</f>
        <v>-33.74400000000028</v>
      </c>
      <c r="G79" s="76">
        <f>(G77-F77)*10000</f>
        <v>509.52</v>
      </c>
      <c r="H79" s="74">
        <f>(H77-G77)*10000</f>
        <v>229.4880000000002</v>
      </c>
      <c r="I79" s="2"/>
    </row>
    <row r="80">
      <c r="A80" s="3"/>
      <c r="B80" s="31" t="s">
        <v>110</v>
      </c>
      <c r="C80" s="48">
        <f>$H$75*(C70-$H$76)</f>
        <v>0.18272600000000003</v>
      </c>
      <c r="D80" s="48">
        <f>$H$75*(D70-$H$76)</f>
        <v>0.18225125</v>
      </c>
      <c r="E80" s="48">
        <f>$H$75*(E70-$H$76)</f>
        <v>0.1748135</v>
      </c>
      <c r="F80" s="48">
        <f>$H$75*(F70-$H$76)</f>
        <v>0.19385624999999998</v>
      </c>
      <c r="G80" s="48">
        <f>$H$75*(G70-$H$76)</f>
        <v>0.35422679999999995</v>
      </c>
      <c r="H80" s="36">
        <f>$H$75*(H70-$H$76)</f>
        <v>0.3542901</v>
      </c>
      <c r="I80" s="2"/>
    </row>
    <row r="81">
      <c r="A81" s="3"/>
      <c r="B81" s="3" t="s">
        <v>94</v>
      </c>
      <c r="C81" s="71">
        <f>IF(ISNUMBER(Inputs!C131),(C80-$H$75*(Inputs!C131-$H$76))*10000,"n/a")</f>
        <v>16.352500000000326</v>
      </c>
      <c r="D81" s="71">
        <f>IF(ISNUMBER(Inputs!D131),(D80-$H$75*(Inputs!D131-$H$76))*10000,"n/a")</f>
        <v>193.2760000000003</v>
      </c>
      <c r="E81" s="71" t="str">
        <f>IF(ISNUMBER(Inputs!E131),(E80-$H$75*(Inputs!E131-$H$76))*10000,"n/a")</f>
        <v>n/a</v>
      </c>
      <c r="F81" s="71">
        <f>IF(ISNUMBER(Inputs!F131),(F80-$H$75*(Inputs!F131-$H$76))*10000,"n/a")</f>
        <v>233.47149999999982</v>
      </c>
      <c r="G81" s="71">
        <f>IF(ISNUMBER(Inputs!G131),(G80-$H$75*(Inputs!G131-$H$76))*10000,"n/a")</f>
        <v>1904.3804999999995</v>
      </c>
      <c r="H81" s="74">
        <f>(H80-C80)*10000</f>
        <v>1715.6409999999996</v>
      </c>
      <c r="I81" s="2"/>
    </row>
    <row r="82">
      <c r="A82" s="3"/>
      <c r="B82" s="3" t="s">
        <v>95</v>
      </c>
      <c r="C82" s="71">
        <f>(C80-$H$75*(Inputs!G131-$H$76))*10000</f>
        <v>189.37250000000017</v>
      </c>
      <c r="D82" s="76">
        <f>(D80-C80)*10000</f>
        <v>-4.747500000000238</v>
      </c>
      <c r="E82" s="76"/>
      <c r="F82" s="76">
        <f>(F80-D80)*10000</f>
        <v>116.04999999999977</v>
      </c>
      <c r="G82" s="76">
        <f>(G80-F80)*10000</f>
        <v>1603.7054999999998</v>
      </c>
      <c r="H82" s="74">
        <f>(H80-G80)*10000</f>
        <v>0.6330000000004388</v>
      </c>
      <c r="I82" s="2"/>
    </row>
    <row r="83">
      <c r="A83" s="3"/>
      <c r="B83" s="3" t="s">
        <v>111</v>
      </c>
      <c r="C83" s="81"/>
      <c r="D83" s="81"/>
      <c r="E83" s="81"/>
      <c r="F83" s="81"/>
      <c r="G83" s="81"/>
      <c r="H83" s="86">
        <f>(1+H77)/(1+C77)</f>
        <v>1.0685943118904686</v>
      </c>
      <c r="I83" s="2"/>
    </row>
    <row r="84">
      <c r="A84" s="3"/>
      <c r="B84" s="3" t="s">
        <v>112</v>
      </c>
      <c r="C84" s="81"/>
      <c r="D84" s="81"/>
      <c r="E84" s="81"/>
      <c r="F84" s="81"/>
      <c r="G84" s="81"/>
      <c r="H84" s="86">
        <f>(1+H80)/(1+C80)</f>
        <v>1.1450581960656991</v>
      </c>
      <c r="I84" s="2"/>
    </row>
    <row r="85">
      <c r="A85" s="3"/>
      <c r="B85" s="3"/>
      <c r="C85" s="12"/>
      <c r="D85" s="12"/>
      <c r="E85" s="12"/>
      <c r="F85" s="12"/>
      <c r="G85" s="12"/>
      <c r="H85" s="41"/>
      <c r="I85" s="2"/>
    </row>
    <row r="86">
      <c r="A86" s="3"/>
      <c r="B86" s="50" t="s">
        <v>113</v>
      </c>
      <c r="C86" s="12"/>
      <c r="D86" s="12"/>
      <c r="E86" s="12"/>
      <c r="F86" s="12"/>
      <c r="G86" s="12"/>
      <c r="H86" s="41"/>
      <c r="I86" s="2"/>
    </row>
    <row r="87">
      <c r="A87" s="3"/>
      <c r="B87" s="3" t="s">
        <v>77</v>
      </c>
      <c r="C87" s="14">
        <v>4532</v>
      </c>
      <c r="D87" s="14">
        <v>4414</v>
      </c>
      <c r="E87" s="14">
        <v>4461</v>
      </c>
      <c r="F87" s="14">
        <v>4345</v>
      </c>
      <c r="G87" s="14">
        <v>4568</v>
      </c>
      <c r="H87" s="13">
        <f>C87*(1+H10)*H83</f>
        <v>4944.569679338843</v>
      </c>
      <c r="I87" s="2"/>
    </row>
    <row r="88">
      <c r="A88" s="3"/>
      <c r="B88" s="31" t="s">
        <v>78</v>
      </c>
      <c r="C88" s="8">
        <f>IFERROR(C87/Inputs!C151-1,"n/a")</f>
        <v>0.007558915073365924</v>
      </c>
      <c r="D88" s="8">
        <f>IFERROR(D87/Inputs!D151-1,"n/a")</f>
        <v>-0.026037069726390083</v>
      </c>
      <c r="E88" s="8">
        <f>IFERROR(E87/Inputs!E151-1,"n/a")</f>
        <v>-0.009766925638179824</v>
      </c>
      <c r="F88" s="8">
        <f>IFERROR(F87/Inputs!F151-1,"n/a")</f>
        <v>-0.020072169598556622</v>
      </c>
      <c r="G88" s="8">
        <f>IFERROR(G87/Inputs!G151-1,"n/a")</f>
        <v>0.022610252966196454</v>
      </c>
      <c r="H88" s="36">
        <f>H87/C87-1</f>
        <v>0.09103479244016843</v>
      </c>
      <c r="I88" s="2"/>
    </row>
    <row r="89">
      <c r="A89" s="3"/>
      <c r="B89" s="3" t="s">
        <v>114</v>
      </c>
      <c r="C89" s="6">
        <f>C87-Inputs!G151</f>
        <v>65</v>
      </c>
      <c r="D89" s="4">
        <f>D87-C87</f>
        <v>-118</v>
      </c>
      <c r="E89" s="4"/>
      <c r="F89" s="4">
        <f>F87-D87</f>
        <v>-69</v>
      </c>
      <c r="G89" s="4">
        <f>G87-F87</f>
        <v>223</v>
      </c>
      <c r="H89" s="13">
        <f>H87-G87</f>
        <v>376.56967933884334</v>
      </c>
      <c r="I89" s="2"/>
    </row>
    <row r="90">
      <c r="A90" s="3"/>
      <c r="B90" s="3" t="s">
        <v>80</v>
      </c>
      <c r="C90" s="14">
        <v>3875</v>
      </c>
      <c r="D90" s="14">
        <v>4095</v>
      </c>
      <c r="E90" s="14">
        <v>3970</v>
      </c>
      <c r="F90" s="14">
        <v>4564</v>
      </c>
      <c r="G90" s="14">
        <v>3995</v>
      </c>
      <c r="H90" s="13">
        <f>C90*(1+H10)*H83</f>
        <v>4227.759820705653</v>
      </c>
      <c r="I90" s="2"/>
    </row>
    <row r="91">
      <c r="A91" s="3"/>
      <c r="B91" s="31" t="s">
        <v>78</v>
      </c>
      <c r="C91" s="8">
        <f>IFERROR(C90/Inputs!C152-1,"n/a")</f>
        <v>0.0007747933884296732</v>
      </c>
      <c r="D91" s="8">
        <f>IFERROR(D90/Inputs!D152-1,"n/a")</f>
        <v>0.045176110260336966</v>
      </c>
      <c r="E91" s="8">
        <f>IFERROR(E90/Inputs!E152-1,"n/a")</f>
        <v>0.04226831189288527</v>
      </c>
      <c r="F91" s="8">
        <f>IFERROR(F90/Inputs!F152-1,"n/a")</f>
        <v>0.0518552661903664</v>
      </c>
      <c r="G91" s="8">
        <f>IFERROR(G90/Inputs!G152-1,"n/a")</f>
        <v>0.1014612627515854</v>
      </c>
      <c r="H91" s="36">
        <f>H90/C90-1</f>
        <v>0.09103479244016843</v>
      </c>
      <c r="I91" s="2"/>
    </row>
    <row r="92">
      <c r="A92" s="3"/>
      <c r="B92" s="3" t="s">
        <v>114</v>
      </c>
      <c r="C92" s="6">
        <f>C90-Inputs!G152</f>
        <v>248</v>
      </c>
      <c r="D92" s="4">
        <f>D90-C90</f>
        <v>220</v>
      </c>
      <c r="E92" s="4"/>
      <c r="F92" s="4">
        <f>F90-D90</f>
        <v>469</v>
      </c>
      <c r="G92" s="4">
        <f>G90-F90</f>
        <v>-569</v>
      </c>
      <c r="H92" s="13">
        <f>H90-G90</f>
        <v>232.7598207056526</v>
      </c>
      <c r="I92" s="2"/>
    </row>
    <row r="93">
      <c r="A93" s="3"/>
      <c r="B93" s="3" t="s">
        <v>81</v>
      </c>
      <c r="C93" s="14">
        <v>6306</v>
      </c>
      <c r="D93" s="14">
        <v>6352</v>
      </c>
      <c r="E93" s="14">
        <v>6233</v>
      </c>
      <c r="F93" s="14">
        <v>6414</v>
      </c>
      <c r="G93" s="14">
        <v>6474</v>
      </c>
      <c r="H93" s="13">
        <f>C93*(1+H10)*H83</f>
        <v>6880.065401127702</v>
      </c>
      <c r="I93" s="2"/>
    </row>
    <row r="94">
      <c r="A94" s="3"/>
      <c r="B94" s="31" t="s">
        <v>78</v>
      </c>
      <c r="C94" s="8">
        <f>IFERROR(C93/Inputs!C153-1,"n/a")</f>
        <v>0.03393999016232163</v>
      </c>
      <c r="D94" s="8">
        <f>IFERROR(D93/Inputs!D153-1,"n/a")</f>
        <v>0.032509752925877766</v>
      </c>
      <c r="E94" s="8">
        <f>IFERROR(E93/Inputs!E153-1,"n/a")</f>
        <v>0.021133682830930534</v>
      </c>
      <c r="F94" s="8">
        <f>IFERROR(F93/Inputs!F153-1,"n/a")</f>
        <v>0.058765269065698345</v>
      </c>
      <c r="G94" s="8">
        <f>IFERROR(G93/Inputs!G153-1,"n/a")</f>
        <v>0.03799903799903803</v>
      </c>
      <c r="H94" s="36">
        <f>H93/C93-1</f>
        <v>0.09103479244016843</v>
      </c>
      <c r="I94" s="2"/>
    </row>
    <row r="95">
      <c r="A95" s="3"/>
      <c r="B95" s="3" t="s">
        <v>114</v>
      </c>
      <c r="C95" s="6">
        <f>C93-Inputs!G153</f>
        <v>69</v>
      </c>
      <c r="D95" s="4">
        <f>D93-C93</f>
        <v>46</v>
      </c>
      <c r="E95" s="4"/>
      <c r="F95" s="4">
        <f>F93-D93</f>
        <v>62</v>
      </c>
      <c r="G95" s="4">
        <f>G93-F93</f>
        <v>60</v>
      </c>
      <c r="H95" s="13">
        <f>H93-G93</f>
        <v>406.065401127702</v>
      </c>
      <c r="I95" s="2"/>
    </row>
    <row r="96">
      <c r="A96" s="3"/>
      <c r="B96" s="3" t="s">
        <v>82</v>
      </c>
      <c r="C96" s="14">
        <v>2181</v>
      </c>
      <c r="D96" s="14">
        <v>2255</v>
      </c>
      <c r="E96" s="14">
        <v>2241</v>
      </c>
      <c r="F96" s="14">
        <v>2270</v>
      </c>
      <c r="G96" s="14">
        <v>2546</v>
      </c>
      <c r="H96" s="13">
        <f>C96*(1+H10)*H83</f>
        <v>2379.5468823120073</v>
      </c>
      <c r="I96" s="2"/>
    </row>
    <row r="97">
      <c r="A97" s="3"/>
      <c r="B97" s="31" t="s">
        <v>78</v>
      </c>
      <c r="C97" s="8">
        <f>IFERROR(C96/Inputs!C154-1,"n/a")</f>
        <v>0.038077106139933425</v>
      </c>
      <c r="D97" s="8">
        <f>IFERROR(D96/Inputs!D154-1,"n/a")</f>
        <v>0.12077534791252487</v>
      </c>
      <c r="E97" s="8">
        <f>IFERROR(E96/Inputs!E154-1,"n/a")</f>
        <v>0.06057737813535269</v>
      </c>
      <c r="F97" s="8">
        <f>IFERROR(F96/Inputs!F154-1,"n/a")</f>
        <v>0.008888888888888946</v>
      </c>
      <c r="G97" s="8">
        <f>IFERROR(G96/Inputs!G154-1,"n/a")</f>
        <v>0.11519929916776173</v>
      </c>
      <c r="H97" s="36">
        <f>H96/C96-1</f>
        <v>0.09103479244016843</v>
      </c>
      <c r="I97" s="2"/>
    </row>
    <row r="98">
      <c r="A98" s="3"/>
      <c r="B98" s="3" t="s">
        <v>114</v>
      </c>
      <c r="C98" s="6">
        <f>C96-Inputs!G154</f>
        <v>-102</v>
      </c>
      <c r="D98" s="4">
        <f>D96-C96</f>
        <v>74</v>
      </c>
      <c r="E98" s="4"/>
      <c r="F98" s="4">
        <f>F96-D96</f>
        <v>15</v>
      </c>
      <c r="G98" s="4">
        <f>G96-F96</f>
        <v>276</v>
      </c>
      <c r="H98" s="13">
        <f>H96-G96</f>
        <v>-166.45311768799274</v>
      </c>
      <c r="I98" s="2"/>
    </row>
    <row r="99">
      <c r="A99" s="3"/>
      <c r="B99" s="15" t="s">
        <v>115</v>
      </c>
      <c r="C99" s="16">
        <f>C159/C29*1000</f>
        <v>3641.509433962264</v>
      </c>
      <c r="D99" s="16">
        <f>D159/D29*1000</f>
        <v>3718.9922480620153</v>
      </c>
      <c r="E99" s="16">
        <f>E159/E29*1000</f>
        <v>3689.6887159533076</v>
      </c>
      <c r="F99" s="16">
        <f>F159/F29*1000</f>
        <v>3697.0802919708026</v>
      </c>
      <c r="G99" s="16">
        <f>G159/G29*1000</f>
        <v>3974.708171206226</v>
      </c>
      <c r="H99" s="17">
        <f>H159/H29*1000</f>
        <v>4008.5989025342574</v>
      </c>
      <c r="I99" s="2"/>
    </row>
    <row r="100">
      <c r="A100" s="3"/>
      <c r="B100" s="31" t="s">
        <v>78</v>
      </c>
      <c r="C100" s="8">
        <f>IFERROR(C99/Inputs!C161-1,"n/a")</f>
        <v>0.0006585480583285452</v>
      </c>
      <c r="D100" s="8">
        <f>IFERROR(D99/Inputs!D161-1,"n/a")</f>
        <v>-0.002416242472635388</v>
      </c>
      <c r="E100" s="8">
        <f>IFERROR(E99/Inputs!E161-1,"n/a")</f>
        <v>-0.005775567312151564</v>
      </c>
      <c r="F100" s="8">
        <f>IFERROR(F99/Inputs!F161-1,"n/a")</f>
        <v>-0.01129279773547709</v>
      </c>
      <c r="G100" s="8">
        <f>IFERROR(G99/Inputs!G161-1,"n/a")</f>
        <v>0.08515178372226795</v>
      </c>
      <c r="H100" s="36">
        <f>H99/C99-1</f>
        <v>0.10080695250940752</v>
      </c>
      <c r="I100" s="2"/>
    </row>
    <row r="101">
      <c r="A101" s="3"/>
      <c r="B101" s="3" t="s">
        <v>114</v>
      </c>
      <c r="C101" s="6">
        <f>C99-Inputs!G161</f>
        <v>-21.30366815719617</v>
      </c>
      <c r="D101" s="4">
        <f>D99-C99</f>
        <v>77.48281409975107</v>
      </c>
      <c r="E101" s="4"/>
      <c r="F101" s="4">
        <f>F99-D99</f>
        <v>-21.911956091212687</v>
      </c>
      <c r="G101" s="4">
        <f>G99-F99</f>
        <v>277.6278792354233</v>
      </c>
      <c r="H101" s="13">
        <f>H99-G99</f>
        <v>33.89073132803151</v>
      </c>
      <c r="I101" s="2"/>
    </row>
    <row r="102">
      <c r="A102" s="3"/>
      <c r="B102" s="3" t="s">
        <v>84</v>
      </c>
      <c r="C102" s="14">
        <v>3548</v>
      </c>
      <c r="D102" s="14">
        <v>3478</v>
      </c>
      <c r="E102" s="14">
        <v>3568</v>
      </c>
      <c r="F102" s="14">
        <v>3620</v>
      </c>
      <c r="G102" s="14">
        <v>3739</v>
      </c>
      <c r="H102" s="13">
        <f>C102*(1+H10)*H83</f>
        <v>3870.9914435777173</v>
      </c>
      <c r="I102" s="2"/>
    </row>
    <row r="103">
      <c r="A103" s="3"/>
      <c r="B103" s="31" t="s">
        <v>78</v>
      </c>
      <c r="C103" s="8">
        <f>IFERROR(C102/Inputs!C155-1,"n/a")</f>
        <v>0.003961516694963141</v>
      </c>
      <c r="D103" s="8">
        <f>IFERROR(D102/Inputs!D155-1,"n/a")</f>
        <v>0.009579100145137964</v>
      </c>
      <c r="E103" s="8">
        <f>IFERROR(E102/Inputs!E155-1,"n/a")</f>
        <v>0.021471514457486407</v>
      </c>
      <c r="F103" s="8">
        <f>IFERROR(F102/Inputs!F155-1,"n/a")</f>
        <v>0.005276312135517935</v>
      </c>
      <c r="G103" s="8">
        <f>IFERROR(G102/Inputs!G155-1,"n/a")</f>
        <v>0.025226213326021485</v>
      </c>
      <c r="H103" s="36">
        <f>H102/C102-1</f>
        <v>0.09103479244016843</v>
      </c>
      <c r="I103" s="2"/>
    </row>
    <row r="104">
      <c r="A104" s="3"/>
      <c r="B104" s="3" t="s">
        <v>114</v>
      </c>
      <c r="C104" s="6">
        <f>C102-Inputs!G155</f>
        <v>-99</v>
      </c>
      <c r="D104" s="4">
        <f>D102-C102</f>
        <v>-70</v>
      </c>
      <c r="E104" s="4"/>
      <c r="F104" s="4">
        <f>F102-D102</f>
        <v>142</v>
      </c>
      <c r="G104" s="4">
        <f>G102-F102</f>
        <v>119</v>
      </c>
      <c r="H104" s="13">
        <f>H102-G102</f>
        <v>131.9914435777173</v>
      </c>
      <c r="I104" s="2"/>
    </row>
    <row r="105">
      <c r="A105" s="3"/>
      <c r="B105" s="3" t="s">
        <v>85</v>
      </c>
      <c r="C105" s="14">
        <v>2944</v>
      </c>
      <c r="D105" s="14">
        <v>2863</v>
      </c>
      <c r="E105" s="14">
        <v>2935</v>
      </c>
      <c r="F105" s="14">
        <v>3028</v>
      </c>
      <c r="G105" s="14">
        <v>3179</v>
      </c>
      <c r="H105" s="13">
        <f>C105*(1+H10)*H83</f>
        <v>3212.0064289438556</v>
      </c>
      <c r="I105" s="2"/>
    </row>
    <row r="106">
      <c r="A106" s="3"/>
      <c r="B106" s="31" t="s">
        <v>78</v>
      </c>
      <c r="C106" s="8">
        <f>IFERROR(C105/Inputs!C156-1,"n/a")</f>
        <v>0.034070951879171085</v>
      </c>
      <c r="D106" s="8">
        <f>IFERROR(D105/Inputs!D156-1,"n/a")</f>
        <v>0.01524822695035466</v>
      </c>
      <c r="E106" s="8">
        <f>IFERROR(E105/Inputs!E156-1,"n/a")</f>
        <v>0.014517801590044899</v>
      </c>
      <c r="F106" s="8">
        <f>IFERROR(F105/Inputs!F156-1,"n/a")</f>
        <v>0.01406563965170804</v>
      </c>
      <c r="G106" s="8">
        <f>IFERROR(G105/Inputs!G156-1,"n/a")</f>
        <v>0.0776271186440678</v>
      </c>
      <c r="H106" s="36">
        <f>H105/C105-1</f>
        <v>0.09103479244016843</v>
      </c>
      <c r="I106" s="2"/>
    </row>
    <row r="107">
      <c r="A107" s="3"/>
      <c r="B107" s="3" t="s">
        <v>114</v>
      </c>
      <c r="C107" s="6">
        <f>C105-Inputs!G156</f>
        <v>-6</v>
      </c>
      <c r="D107" s="4">
        <f>D105-C105</f>
        <v>-81</v>
      </c>
      <c r="E107" s="4"/>
      <c r="F107" s="4">
        <f>F105-D105</f>
        <v>165</v>
      </c>
      <c r="G107" s="4">
        <f>G105-F105</f>
        <v>151</v>
      </c>
      <c r="H107" s="13">
        <f>H105-G105</f>
        <v>33.00642894385555</v>
      </c>
      <c r="I107" s="2"/>
    </row>
    <row r="108">
      <c r="A108" s="3"/>
      <c r="B108" s="3" t="s">
        <v>86</v>
      </c>
      <c r="C108" s="14">
        <v>6315</v>
      </c>
      <c r="D108" s="14">
        <v>6387</v>
      </c>
      <c r="E108" s="14">
        <v>6369</v>
      </c>
      <c r="F108" s="14">
        <v>6505</v>
      </c>
      <c r="G108" s="14">
        <v>6686</v>
      </c>
      <c r="H108" s="13">
        <f>C108*(1+H10)*H83</f>
        <v>6889.884714259663</v>
      </c>
      <c r="I108" s="2"/>
    </row>
    <row r="109">
      <c r="A109" s="3"/>
      <c r="B109" s="31" t="s">
        <v>78</v>
      </c>
      <c r="C109" s="8">
        <f>IFERROR(C108/Inputs!C157-1,"n/a")</f>
        <v>0.025661848302744872</v>
      </c>
      <c r="D109" s="8">
        <f>IFERROR(D108/Inputs!D157-1,"n/a")</f>
        <v>0.02850241545893728</v>
      </c>
      <c r="E109" s="8">
        <f>IFERROR(E108/Inputs!E157-1,"n/a")</f>
        <v>0.02247551773960499</v>
      </c>
      <c r="F109" s="8">
        <f>IFERROR(F108/Inputs!F157-1,"n/a")</f>
        <v>0.03847381864623234</v>
      </c>
      <c r="G109" s="8">
        <f>IFERROR(G108/Inputs!G157-1,"n/a")</f>
        <v>0.02735095267363241</v>
      </c>
      <c r="H109" s="36">
        <f>H108/C108-1</f>
        <v>0.09103479244016843</v>
      </c>
      <c r="I109" s="2"/>
    </row>
    <row r="110">
      <c r="A110" s="3"/>
      <c r="B110" s="3" t="s">
        <v>114</v>
      </c>
      <c r="C110" s="6">
        <f>C108-Inputs!G157</f>
        <v>-193</v>
      </c>
      <c r="D110" s="4">
        <f>D108-C108</f>
        <v>72</v>
      </c>
      <c r="E110" s="4"/>
      <c r="F110" s="4">
        <f>F108-D108</f>
        <v>118</v>
      </c>
      <c r="G110" s="4">
        <f>G108-F108</f>
        <v>181</v>
      </c>
      <c r="H110" s="13">
        <f>H108-G108</f>
        <v>203.88471425966327</v>
      </c>
      <c r="I110" s="2"/>
    </row>
    <row r="111">
      <c r="A111" s="3"/>
      <c r="B111" s="3" t="s">
        <v>87</v>
      </c>
      <c r="C111" s="14">
        <v>4462</v>
      </c>
      <c r="D111" s="14">
        <v>4450</v>
      </c>
      <c r="E111" s="14">
        <v>4446</v>
      </c>
      <c r="F111" s="14">
        <v>4505</v>
      </c>
      <c r="G111" s="14">
        <v>4711</v>
      </c>
      <c r="H111" s="13">
        <f>C111*(1+H10)*H83</f>
        <v>4868.1972438680305</v>
      </c>
      <c r="I111" s="2"/>
    </row>
    <row r="112">
      <c r="A112" s="3"/>
      <c r="B112" s="31" t="s">
        <v>78</v>
      </c>
      <c r="C112" s="8">
        <f>IFERROR(C111/Inputs!C158-1,"n/a")</f>
        <v>0.01064552661381657</v>
      </c>
      <c r="D112" s="8">
        <f>IFERROR(D111/Inputs!D158-1,"n/a")</f>
        <v>0.008612873980054392</v>
      </c>
      <c r="E112" s="8">
        <f>IFERROR(E111/Inputs!E158-1,"n/a")</f>
        <v>0.00451875282422054</v>
      </c>
      <c r="F112" s="8">
        <f>IFERROR(F111/Inputs!F158-1,"n/a")</f>
        <v>0.016241822693435548</v>
      </c>
      <c r="G112" s="8">
        <f>IFERROR(G111/Inputs!G158-1,"n/a")</f>
        <v>0.06127506195088994</v>
      </c>
      <c r="H112" s="36">
        <f>H111/C111-1</f>
        <v>0.09103479244016821</v>
      </c>
      <c r="I112" s="2"/>
    </row>
    <row r="113">
      <c r="A113" s="3"/>
      <c r="B113" s="3" t="s">
        <v>114</v>
      </c>
      <c r="C113" s="6">
        <f>C111-Inputs!G158</f>
        <v>23</v>
      </c>
      <c r="D113" s="4">
        <f>D111-C111</f>
        <v>-12</v>
      </c>
      <c r="E113" s="4"/>
      <c r="F113" s="4">
        <f>F111-D111</f>
        <v>55</v>
      </c>
      <c r="G113" s="4">
        <f>G111-F111</f>
        <v>206</v>
      </c>
      <c r="H113" s="13">
        <f>H111-G111</f>
        <v>157.19724386803045</v>
      </c>
      <c r="I113" s="2"/>
    </row>
    <row r="114">
      <c r="A114" s="3"/>
      <c r="B114" s="15" t="s">
        <v>116</v>
      </c>
      <c r="C114" s="16">
        <f>C194/C44*1000</f>
        <v>3822.2996515679442</v>
      </c>
      <c r="D114" s="16">
        <f>D194/D44*1000</f>
        <v>3771.836007130125</v>
      </c>
      <c r="E114" s="16">
        <f>E194/E44*1000</f>
        <v>3839.357429718875</v>
      </c>
      <c r="F114" s="16">
        <f>F194/F44*1000</f>
        <v>3912.5</v>
      </c>
      <c r="G114" s="16">
        <f>G194/G44*1000</f>
        <v>4071.672354948806</v>
      </c>
      <c r="H114" s="17">
        <f>H194/H44*1000</f>
        <v>4166.6487705013415</v>
      </c>
      <c r="I114" s="2"/>
    </row>
    <row r="115">
      <c r="A115" s="3"/>
      <c r="B115" s="31" t="s">
        <v>78</v>
      </c>
      <c r="C115" s="8">
        <f>IFERROR(C114/Inputs!C162-1,"n/a")</f>
        <v>0.0091880268166189</v>
      </c>
      <c r="D115" s="8">
        <f>IFERROR(D114/Inputs!D162-1,"n/a")</f>
        <v>0.0006543900369118116</v>
      </c>
      <c r="E115" s="8">
        <f>IFERROR(E114/Inputs!E162-1,"n/a")</f>
        <v>0.005784274538913836</v>
      </c>
      <c r="F115" s="8">
        <f>IFERROR(F114/Inputs!F162-1,"n/a")</f>
        <v>0.009131844380403598</v>
      </c>
      <c r="G115" s="8">
        <f>IFERROR(G114/Inputs!G162-1,"n/a")</f>
        <v>0.0473696066753484</v>
      </c>
      <c r="H115" s="36">
        <f>H114/C114-1</f>
        <v>0.09008951425149037</v>
      </c>
      <c r="I115" s="2"/>
    </row>
    <row r="116">
      <c r="A116" s="3"/>
      <c r="B116" s="3" t="s">
        <v>114</v>
      </c>
      <c r="C116" s="6">
        <f>C114-Inputs!G162</f>
        <v>-65.22231679760944</v>
      </c>
      <c r="D116" s="4">
        <f>D114-C114</f>
        <v>-50.46364443781931</v>
      </c>
      <c r="E116" s="4"/>
      <c r="F116" s="4">
        <f>F114-D114</f>
        <v>140.66399286987507</v>
      </c>
      <c r="G116" s="4">
        <f>G114-F114</f>
        <v>159.17235494880606</v>
      </c>
      <c r="H116" s="13">
        <f>H114-G114</f>
        <v>94.9764155525354</v>
      </c>
      <c r="I116" s="2"/>
    </row>
    <row r="117">
      <c r="A117" s="3"/>
      <c r="B117" s="3" t="s">
        <v>89</v>
      </c>
      <c r="C117" s="14">
        <v>3027</v>
      </c>
      <c r="D117" s="14">
        <v>3065</v>
      </c>
      <c r="E117" s="14">
        <v>3024</v>
      </c>
      <c r="F117" s="14">
        <v>3058</v>
      </c>
      <c r="G117" s="14">
        <v>3350</v>
      </c>
      <c r="H117" s="13">
        <f>C117*(1+H10)*H83</f>
        <v>3302.5623167163894</v>
      </c>
      <c r="I117" s="2"/>
    </row>
    <row r="118">
      <c r="A118" s="3"/>
      <c r="B118" s="31" t="s">
        <v>78</v>
      </c>
      <c r="C118" s="8">
        <f>IFERROR(C117/Inputs!C159-1,"n/a")</f>
        <v>0.01987870619946097</v>
      </c>
      <c r="D118" s="8">
        <f>IFERROR(D117/Inputs!D159-1,"n/a")</f>
        <v>0.038279132791327886</v>
      </c>
      <c r="E118" s="8">
        <f>IFERROR(E117/Inputs!E159-1,"n/a")</f>
        <v>0.016129032258064502</v>
      </c>
      <c r="F118" s="8">
        <f>IFERROR(F117/Inputs!F159-1,"n/a")</f>
        <v>0.029283069673510687</v>
      </c>
      <c r="G118" s="8">
        <f>IFERROR(G117/Inputs!G159-1,"n/a")</f>
        <v>0.10415293342122611</v>
      </c>
      <c r="H118" s="36">
        <f>H117/C117-1</f>
        <v>0.09103479244016821</v>
      </c>
      <c r="I118" s="2"/>
    </row>
    <row r="119">
      <c r="A119" s="3"/>
      <c r="B119" s="3" t="s">
        <v>114</v>
      </c>
      <c r="C119" s="6">
        <f>C117-Inputs!G159</f>
        <v>-7</v>
      </c>
      <c r="D119" s="4">
        <f>D117-C117</f>
        <v>38</v>
      </c>
      <c r="E119" s="4"/>
      <c r="F119" s="4">
        <f>F117-D117</f>
        <v>-7</v>
      </c>
      <c r="G119" s="4">
        <f>G117-F117</f>
        <v>292</v>
      </c>
      <c r="H119" s="13">
        <f>H117-G117</f>
        <v>-47.43768328361057</v>
      </c>
      <c r="I119" s="2"/>
    </row>
    <row r="120">
      <c r="A120" s="3"/>
      <c r="B120" s="3" t="s">
        <v>90</v>
      </c>
      <c r="C120" s="14">
        <v>1393</v>
      </c>
      <c r="D120" s="14">
        <v>1418</v>
      </c>
      <c r="E120" s="14">
        <v>1380</v>
      </c>
      <c r="F120" s="14">
        <v>1408</v>
      </c>
      <c r="G120" s="14">
        <v>1626</v>
      </c>
      <c r="H120" s="13">
        <f>C120*(1+H11)*H84</f>
        <v>1642.9180491331044</v>
      </c>
      <c r="I120" s="2"/>
    </row>
    <row r="121">
      <c r="A121" s="3"/>
      <c r="B121" s="31" t="s">
        <v>78</v>
      </c>
      <c r="C121" s="8">
        <f>IFERROR(C120/Inputs!C160-1,"n/a")</f>
        <v>0.02051282051282044</v>
      </c>
      <c r="D121" s="8">
        <f>IFERROR(D120/Inputs!D160-1,"n/a")</f>
        <v>0.03052325581395343</v>
      </c>
      <c r="E121" s="8">
        <f>IFERROR(E120/Inputs!E160-1,"n/a")</f>
        <v>-0.017094017094017144</v>
      </c>
      <c r="F121" s="8">
        <f>IFERROR(F120/Inputs!F160-1,"n/a")</f>
        <v>0.032258064516129004</v>
      </c>
      <c r="G121" s="8">
        <f>IFERROR(G120/Inputs!G160-1,"n/a")</f>
        <v>0.2089219330855019</v>
      </c>
      <c r="H121" s="36">
        <f>H120/C120-1</f>
        <v>0.17940994194767002</v>
      </c>
      <c r="I121" s="2"/>
    </row>
    <row r="122">
      <c r="A122" s="3"/>
      <c r="B122" s="3" t="s">
        <v>114</v>
      </c>
      <c r="C122" s="6">
        <f>C120-Inputs!G160</f>
        <v>48</v>
      </c>
      <c r="D122" s="4">
        <f>D120-C120</f>
        <v>25</v>
      </c>
      <c r="E122" s="4"/>
      <c r="F122" s="4">
        <f>F120-D120</f>
        <v>-10</v>
      </c>
      <c r="G122" s="4">
        <f>G120-F120</f>
        <v>218</v>
      </c>
      <c r="H122" s="13">
        <f>H120-G120</f>
        <v>16.918049133104432</v>
      </c>
      <c r="I122" s="2"/>
    </row>
    <row r="123">
      <c r="A123" s="3"/>
      <c r="B123" s="15" t="s">
        <v>117</v>
      </c>
      <c r="C123" s="16">
        <f>C215/C53*1000</f>
        <v>1702.5495750708214</v>
      </c>
      <c r="D123" s="16">
        <f>D215/D53*1000</f>
        <v>1730.9236947791164</v>
      </c>
      <c r="E123" s="16">
        <f>E215/E53*1000</f>
        <v>1693.9759036144578</v>
      </c>
      <c r="F123" s="16">
        <f>F215/F53*1000</f>
        <v>1718.974358974359</v>
      </c>
      <c r="G123" s="16">
        <f>G215/G53*1000</f>
        <v>1965.1928504233304</v>
      </c>
      <c r="H123" s="17">
        <f>H215/H53*1000</f>
        <v>1931.3627733681033</v>
      </c>
      <c r="I123" s="2"/>
    </row>
    <row r="124">
      <c r="A124" s="3"/>
      <c r="B124" s="31" t="s">
        <v>78</v>
      </c>
      <c r="C124" s="8">
        <f>IFERROR(C123/Inputs!C163-1,"n/a")</f>
        <v>0.02689065032773219</v>
      </c>
      <c r="D124" s="8">
        <f>IFERROR(D123/Inputs!D163-1,"n/a")</f>
        <v>0.046297574367299976</v>
      </c>
      <c r="E124" s="8">
        <f>IFERROR(E123/Inputs!E163-1,"n/a")</f>
        <v>-0.011374476128971467</v>
      </c>
      <c r="F124" s="8">
        <f>IFERROR(F123/Inputs!F163-1,"n/a")</f>
        <v>0.03642616454799197</v>
      </c>
      <c r="G124" s="8">
        <f>IFERROR(G123/Inputs!G163-1,"n/a")</f>
        <v>0.16548431475973246</v>
      </c>
      <c r="H124" s="36">
        <f>H123/C123-1</f>
        <v>0.1343944409300175</v>
      </c>
      <c r="I124" s="2"/>
    </row>
    <row r="125">
      <c r="A125" s="3"/>
      <c r="B125" s="3" t="s">
        <v>114</v>
      </c>
      <c r="C125" s="6">
        <f>C123-Inputs!G163</f>
        <v>16.389731016240603</v>
      </c>
      <c r="D125" s="4">
        <f>D123-C123</f>
        <v>28.374119708294984</v>
      </c>
      <c r="E125" s="4"/>
      <c r="F125" s="4">
        <f>F123-D123</f>
        <v>-11.949335804757538</v>
      </c>
      <c r="G125" s="4">
        <f>G123-F123</f>
        <v>246.21849144897146</v>
      </c>
      <c r="H125" s="13">
        <f>H123-G123</f>
        <v>-33.83007705522709</v>
      </c>
      <c r="I125" s="2"/>
    </row>
    <row r="126">
      <c r="A126" s="3"/>
      <c r="B126" s="15" t="s">
        <v>118</v>
      </c>
      <c r="C126" s="16">
        <f>C222/C56*1000</f>
        <v>2740.1756819232546</v>
      </c>
      <c r="D126" s="16">
        <f>D222/D56*1000</f>
        <v>2778.0993728895323</v>
      </c>
      <c r="E126" s="16">
        <f>E222/E56*1000</f>
        <v>2748.904936663904</v>
      </c>
      <c r="F126" s="16">
        <f>F222/F56*1000</f>
        <v>2829.092654824772</v>
      </c>
      <c r="G126" s="16">
        <f>G222/G56*1000</f>
        <v>3013.4073046694407</v>
      </c>
      <c r="H126" s="17">
        <f>H222/H56*1000</f>
        <v>3004.231924196089</v>
      </c>
      <c r="I126" s="2"/>
    </row>
    <row r="127">
      <c r="A127" s="3"/>
      <c r="B127" s="31" t="s">
        <v>78</v>
      </c>
      <c r="C127" s="8">
        <f>IFERROR(C126/Inputs!C164-1,"n/a")</f>
        <v>0.02946614124960001</v>
      </c>
      <c r="D127" s="8">
        <f>IFERROR(D126/Inputs!D164-1,"n/a")</f>
        <v>0.038008109096572706</v>
      </c>
      <c r="E127" s="8">
        <f>IFERROR(E126/Inputs!E164-1,"n/a")</f>
        <v>0.004312557194203537</v>
      </c>
      <c r="F127" s="8">
        <f>IFERROR(F126/Inputs!F164-1,"n/a")</f>
        <v>0.042454278187936456</v>
      </c>
      <c r="G127" s="8">
        <f>IFERROR(G126/Inputs!G164-1,"n/a")</f>
        <v>0.09025210372603065</v>
      </c>
      <c r="H127" s="36">
        <f>H126/C126-1</f>
        <v>0.09636471267692603</v>
      </c>
      <c r="I127" s="2"/>
    </row>
    <row r="128">
      <c r="A128" s="3"/>
      <c r="B128" s="3" t="s">
        <v>114</v>
      </c>
      <c r="C128" s="6">
        <f>C126-Inputs!G164</f>
        <v>-23.778906534645103</v>
      </c>
      <c r="D128" s="4">
        <f>D126-C126</f>
        <v>37.92369096627772</v>
      </c>
      <c r="E128" s="4"/>
      <c r="F128" s="4">
        <f>F126-D126</f>
        <v>50.99328193523979</v>
      </c>
      <c r="G128" s="4">
        <f>G126-F126</f>
        <v>184.31464984466857</v>
      </c>
      <c r="H128" s="13">
        <f>H126-G126</f>
        <v>-9.175380473351652</v>
      </c>
      <c r="I128" s="2"/>
    </row>
    <row r="129">
      <c r="A129" s="3"/>
      <c r="B129" s="3"/>
      <c r="C129" s="12"/>
      <c r="D129" s="12"/>
      <c r="E129" s="12"/>
      <c r="F129" s="12"/>
      <c r="G129" s="12"/>
      <c r="H129" s="41"/>
      <c r="I129" s="2"/>
    </row>
    <row r="130">
      <c r="A130" s="3"/>
      <c r="B130" s="50" t="s">
        <v>119</v>
      </c>
      <c r="C130" s="12"/>
      <c r="D130" s="12"/>
      <c r="E130" s="12"/>
      <c r="F130" s="12"/>
      <c r="G130" s="12"/>
      <c r="H130" s="41"/>
      <c r="I130" s="2" t="s">
        <v>120</v>
      </c>
    </row>
    <row r="131">
      <c r="A131" s="3"/>
      <c r="B131" s="3" t="s">
        <v>77</v>
      </c>
      <c r="C131" s="14">
        <v>975</v>
      </c>
      <c r="D131" s="14">
        <v>1037</v>
      </c>
      <c r="E131" s="14">
        <v>3926</v>
      </c>
      <c r="F131" s="14">
        <v>1057</v>
      </c>
      <c r="G131" s="14">
        <v>1106</v>
      </c>
      <c r="H131" s="13">
        <f>H17*H87/1000</f>
        <v>1084.3441306790082</v>
      </c>
      <c r="I131" s="2"/>
    </row>
    <row r="132">
      <c r="A132" s="3"/>
      <c r="B132" s="31" t="s">
        <v>78</v>
      </c>
      <c r="C132" s="8">
        <f>IFERROR(C131/Inputs!C112-1,"n/a")</f>
        <v>0.05633802816901401</v>
      </c>
      <c r="D132" s="8">
        <f>IFERROR(D131/Inputs!D112-1,"n/a")</f>
        <v>-0.022620169651272337</v>
      </c>
      <c r="E132" s="8">
        <f>IFERROR(E131/Inputs!E112-1,"n/a")</f>
        <v>0.025600835945663425</v>
      </c>
      <c r="F132" s="8">
        <f>IFERROR(F131/Inputs!F112-1,"n/a")</f>
        <v>0.11263157894736842</v>
      </c>
      <c r="G132" s="8">
        <f>IFERROR(G131/Inputs!G112-1,"n/a")</f>
        <v>0.14730290456431527</v>
      </c>
      <c r="H132" s="36">
        <f>H131/C131-1</f>
        <v>0.11214782633744425</v>
      </c>
      <c r="I132" s="2"/>
    </row>
    <row r="133">
      <c r="A133" s="3"/>
      <c r="B133" s="31" t="s">
        <v>121</v>
      </c>
      <c r="C133" s="8">
        <f>C131/Inputs!G112-1</f>
        <v>0.011410788381742698</v>
      </c>
      <c r="D133" s="48">
        <f>D131/C131-1</f>
        <v>0.06358974358974367</v>
      </c>
      <c r="E133" s="48"/>
      <c r="F133" s="48">
        <f>F131/D131-1</f>
        <v>0.01928640308582441</v>
      </c>
      <c r="G133" s="48">
        <f>G131/F131-1</f>
        <v>0.04635761589403975</v>
      </c>
      <c r="H133" s="36">
        <f>H131/G131-1</f>
        <v>-0.01958035200813002</v>
      </c>
      <c r="I133" s="2"/>
    </row>
    <row r="134">
      <c r="A134" s="3"/>
      <c r="B134" s="31" t="s">
        <v>122</v>
      </c>
      <c r="C134" s="48">
        <f>C131/C260</f>
        <v>0.15614990390775144</v>
      </c>
      <c r="D134" s="48">
        <f>D131/D260</f>
        <v>0.1704190632703369</v>
      </c>
      <c r="E134" s="48">
        <f>E131/E260</f>
        <v>0.1601795185638515</v>
      </c>
      <c r="F134" s="48">
        <f>F131/F260</f>
        <v>0.17001769342126427</v>
      </c>
      <c r="G134" s="48">
        <f>G131/G260</f>
        <v>0.16113053613053613</v>
      </c>
      <c r="H134" s="36">
        <f>H131/H260</f>
        <v>0.15113210194606122</v>
      </c>
      <c r="I134" s="2"/>
    </row>
    <row r="135">
      <c r="A135" s="3"/>
      <c r="B135" s="31" t="s">
        <v>123</v>
      </c>
      <c r="C135" s="48">
        <f>C$13</f>
        <v>0</v>
      </c>
      <c r="D135" s="48">
        <f>D$13</f>
        <v>0</v>
      </c>
      <c r="E135" s="48">
        <f>E$13</f>
        <v>0</v>
      </c>
      <c r="F135" s="48">
        <f>F$13</f>
        <v>0</v>
      </c>
      <c r="G135" s="48">
        <f>G$13</f>
        <v>0</v>
      </c>
      <c r="H135" s="36">
        <f>H$13</f>
        <v>0</v>
      </c>
      <c r="I135" s="2"/>
    </row>
    <row r="136">
      <c r="A136" s="3"/>
      <c r="B136" s="31" t="s">
        <v>124</v>
      </c>
      <c r="C136" s="48" t="str">
        <f>C$14</f>
        <v>n/d</v>
      </c>
      <c r="D136" s="48" t="str">
        <f>D$14</f>
        <v>n/d</v>
      </c>
      <c r="E136" s="48" t="str">
        <f>E$14</f>
        <v>n/d</v>
      </c>
      <c r="F136" s="48" t="str">
        <f>F$14</f>
        <v>n/d</v>
      </c>
      <c r="G136" s="48" t="str">
        <f>G$14</f>
        <v>n/d</v>
      </c>
      <c r="H136" s="36" t="str">
        <f>H$14</f>
        <v>n/d</v>
      </c>
      <c r="I136" s="2"/>
    </row>
    <row r="137">
      <c r="A137" s="3"/>
      <c r="B137" s="31" t="s">
        <v>125</v>
      </c>
      <c r="C137" s="48" t="str">
        <f>IF(AND(ISNUMBER(C132),ISNUMBER(C$14)),(1+C132)/((1+C135)*(1+C$14))-1,"n/a")</f>
        <v>n/a</v>
      </c>
      <c r="D137" s="48" t="str">
        <f>IF(AND(ISNUMBER(D132),ISNUMBER(D$14)),(1+D132)/((1+D135)*(1+D$14))-1,"n/a")</f>
        <v>n/a</v>
      </c>
      <c r="E137" s="48" t="str">
        <f>IF(AND(ISNUMBER(E132),ISNUMBER(E$14)),(1+E132)/((1+E135)*(1+E$14))-1,"n/a")</f>
        <v>n/a</v>
      </c>
      <c r="F137" s="48" t="str">
        <f>IF(AND(ISNUMBER(F132),ISNUMBER(F$14)),(1+F132)/((1+F135)*(1+F$14))-1,"n/a")</f>
        <v>n/a</v>
      </c>
      <c r="G137" s="48" t="str">
        <f>IF(AND(ISNUMBER(G132),ISNUMBER(G$14)),(1+G132)/((1+G135)*(1+G$14))-1,"n/a")</f>
        <v>n/a</v>
      </c>
      <c r="H137" s="36" t="str">
        <f>IF(AND(ISNUMBER(H132),ISNUMBER(H$14)),(1+H132)/((1+H135)*(1+H$14))-1,"n/a")</f>
        <v>n/a</v>
      </c>
      <c r="I137" s="2"/>
    </row>
    <row r="138">
      <c r="A138" s="3"/>
      <c r="B138" s="3" t="s">
        <v>80</v>
      </c>
      <c r="C138" s="14">
        <v>227</v>
      </c>
      <c r="D138" s="14">
        <v>218</v>
      </c>
      <c r="E138" s="14">
        <v>856</v>
      </c>
      <c r="F138" s="14">
        <v>236</v>
      </c>
      <c r="G138" s="14">
        <v>217</v>
      </c>
      <c r="H138" s="13">
        <f>H20*H90/1000</f>
        <v>240.3058682089093</v>
      </c>
      <c r="I138" s="2"/>
    </row>
    <row r="139">
      <c r="A139" s="3"/>
      <c r="B139" s="31" t="s">
        <v>78</v>
      </c>
      <c r="C139" s="8">
        <f>IFERROR(C138/Inputs!C113-1,"n/a")</f>
        <v>0.09134615384615374</v>
      </c>
      <c r="D139" s="8">
        <f>IFERROR(D138/Inputs!D113-1,"n/a")</f>
        <v>0.09547738693467345</v>
      </c>
      <c r="E139" s="8">
        <f>IFERROR(E138/Inputs!E113-1,"n/a")</f>
        <v>0.055487053020961685</v>
      </c>
      <c r="F139" s="8">
        <f>IFERROR(F138/Inputs!F113-1,"n/a")</f>
        <v>0.12380952380952381</v>
      </c>
      <c r="G139" s="8">
        <f>IFERROR(G138/Inputs!G113-1,"n/a")</f>
        <v>0.07960199004975133</v>
      </c>
      <c r="H139" s="36">
        <f>H138/C138-1</f>
        <v>0.05861615951061361</v>
      </c>
      <c r="I139" s="2"/>
    </row>
    <row r="140">
      <c r="A140" s="3"/>
      <c r="B140" s="31" t="s">
        <v>121</v>
      </c>
      <c r="C140" s="8">
        <f>C138/Inputs!G113-1</f>
        <v>0.12935323383084585</v>
      </c>
      <c r="D140" s="48">
        <f>D138/C138-1</f>
        <v>-0.03964757709251099</v>
      </c>
      <c r="E140" s="48"/>
      <c r="F140" s="48">
        <f>F138/D138-1</f>
        <v>0.08256880733944949</v>
      </c>
      <c r="G140" s="48">
        <f>G138/F138-1</f>
        <v>-0.0805084745762712</v>
      </c>
      <c r="H140" s="36">
        <f>H138/G138-1</f>
        <v>0.107400314326771</v>
      </c>
      <c r="I140" s="2"/>
    </row>
    <row r="141">
      <c r="A141" s="3"/>
      <c r="B141" s="31" t="s">
        <v>122</v>
      </c>
      <c r="C141" s="48">
        <f>C138/C260</f>
        <v>0.036354900704676486</v>
      </c>
      <c r="D141" s="48">
        <f>D138/D260</f>
        <v>0.03582580115036976</v>
      </c>
      <c r="E141" s="48">
        <f>E138/E260</f>
        <v>0.03492452060383517</v>
      </c>
      <c r="F141" s="48">
        <f>F138/F260</f>
        <v>0.03796043107608171</v>
      </c>
      <c r="G141" s="48">
        <f>G138/G260</f>
        <v>0.03161421911421911</v>
      </c>
      <c r="H141" s="36">
        <f>H138/H260</f>
        <v>0.033492993547762015</v>
      </c>
      <c r="I141" s="2"/>
    </row>
    <row r="142">
      <c r="A142" s="3"/>
      <c r="B142" s="31" t="s">
        <v>123</v>
      </c>
      <c r="C142" s="48">
        <f>C$13</f>
        <v>0</v>
      </c>
      <c r="D142" s="48">
        <f>D$13</f>
        <v>0</v>
      </c>
      <c r="E142" s="48">
        <f>E$13</f>
        <v>0</v>
      </c>
      <c r="F142" s="48">
        <f>F$13</f>
        <v>0</v>
      </c>
      <c r="G142" s="48">
        <f>G$13</f>
        <v>0</v>
      </c>
      <c r="H142" s="36">
        <f>H$13</f>
        <v>0</v>
      </c>
      <c r="I142" s="2"/>
    </row>
    <row r="143">
      <c r="A143" s="3"/>
      <c r="B143" s="31" t="s">
        <v>124</v>
      </c>
      <c r="C143" s="48" t="str">
        <f>C$14</f>
        <v>n/d</v>
      </c>
      <c r="D143" s="48" t="str">
        <f>D$14</f>
        <v>n/d</v>
      </c>
      <c r="E143" s="48" t="str">
        <f>E$14</f>
        <v>n/d</v>
      </c>
      <c r="F143" s="48" t="str">
        <f>F$14</f>
        <v>n/d</v>
      </c>
      <c r="G143" s="48" t="str">
        <f>G$14</f>
        <v>n/d</v>
      </c>
      <c r="H143" s="36" t="str">
        <f>H$14</f>
        <v>n/d</v>
      </c>
      <c r="I143" s="2"/>
    </row>
    <row r="144">
      <c r="A144" s="3"/>
      <c r="B144" s="31" t="s">
        <v>125</v>
      </c>
      <c r="C144" s="48" t="str">
        <f>IF(AND(ISNUMBER(C139),ISNUMBER(C$14)),(1+C139)/((1+C142)*(1+C$14))-1,"n/a")</f>
        <v>n/a</v>
      </c>
      <c r="D144" s="48" t="str">
        <f>IF(AND(ISNUMBER(D139),ISNUMBER(D$14)),(1+D139)/((1+D142)*(1+D$14))-1,"n/a")</f>
        <v>n/a</v>
      </c>
      <c r="E144" s="48" t="str">
        <f>IF(AND(ISNUMBER(E139),ISNUMBER(E$14)),(1+E139)/((1+E142)*(1+E$14))-1,"n/a")</f>
        <v>n/a</v>
      </c>
      <c r="F144" s="48" t="str">
        <f>IF(AND(ISNUMBER(F139),ISNUMBER(F$14)),(1+F139)/((1+F142)*(1+F$14))-1,"n/a")</f>
        <v>n/a</v>
      </c>
      <c r="G144" s="48" t="str">
        <f>IF(AND(ISNUMBER(G139),ISNUMBER(G$14)),(1+G139)/((1+G142)*(1+G$14))-1,"n/a")</f>
        <v>n/a</v>
      </c>
      <c r="H144" s="36" t="str">
        <f>IF(AND(ISNUMBER(H139),ISNUMBER(H$14)),(1+H139)/((1+H142)*(1+H$14))-1,"n/a")</f>
        <v>n/a</v>
      </c>
      <c r="I144" s="2"/>
    </row>
    <row r="145">
      <c r="A145" s="3"/>
      <c r="B145" s="3" t="s">
        <v>81</v>
      </c>
      <c r="C145" s="14">
        <v>258</v>
      </c>
      <c r="D145" s="14">
        <v>233</v>
      </c>
      <c r="E145" s="14">
        <v>1018</v>
      </c>
      <c r="F145" s="14">
        <v>247</v>
      </c>
      <c r="G145" s="14">
        <v>272</v>
      </c>
      <c r="H145" s="13">
        <f>H23*H93/1000</f>
        <v>287.72433507516047</v>
      </c>
      <c r="I145" s="2"/>
    </row>
    <row r="146">
      <c r="A146" s="3"/>
      <c r="B146" s="31" t="s">
        <v>78</v>
      </c>
      <c r="C146" s="8">
        <f>IFERROR(C145/Inputs!C114-1,"n/a")</f>
        <v>-0.040892193308550207</v>
      </c>
      <c r="D146" s="8">
        <f>IFERROR(D145/Inputs!D114-1,"n/a")</f>
        <v>-0.07905138339920947</v>
      </c>
      <c r="E146" s="8">
        <f>IFERROR(E145/Inputs!E114-1,"n/a")</f>
        <v>-0.06175115207373272</v>
      </c>
      <c r="F146" s="8">
        <f>IFERROR(F145/Inputs!F114-1,"n/a")</f>
        <v>-0.050000000000000044</v>
      </c>
      <c r="G146" s="8">
        <f>IFERROR(G145/Inputs!G114-1,"n/a")</f>
        <v>0.01872659176029967</v>
      </c>
      <c r="H146" s="36">
        <f>H145/C145-1</f>
        <v>0.11521060106651348</v>
      </c>
      <c r="I146" s="2"/>
    </row>
    <row r="147">
      <c r="A147" s="3"/>
      <c r="B147" s="31" t="s">
        <v>121</v>
      </c>
      <c r="C147" s="8">
        <f>C145/Inputs!G114-1</f>
        <v>-0.0337078651685393</v>
      </c>
      <c r="D147" s="48">
        <f>D145/C145-1</f>
        <v>-0.0968992248062015</v>
      </c>
      <c r="E147" s="48"/>
      <c r="F147" s="48">
        <f>F145/D145-1</f>
        <v>0.06008583690987135</v>
      </c>
      <c r="G147" s="48">
        <f>G145/F145-1</f>
        <v>0.10121457489878538</v>
      </c>
      <c r="H147" s="36">
        <f>H145/G145-1</f>
        <v>0.05781005542338402</v>
      </c>
      <c r="I147" s="2"/>
    </row>
    <row r="148">
      <c r="A148" s="3"/>
      <c r="B148" s="31" t="s">
        <v>122</v>
      </c>
      <c r="C148" s="48">
        <f>C145/C260</f>
        <v>0.041319666880205</v>
      </c>
      <c r="D148" s="48">
        <f>D145/D260</f>
        <v>0.03829087921117502</v>
      </c>
      <c r="E148" s="48">
        <f>E145/E260</f>
        <v>0.04153406772745818</v>
      </c>
      <c r="F148" s="48">
        <f>F145/F260</f>
        <v>0.03972977320250925</v>
      </c>
      <c r="G148" s="48">
        <f>G145/G260</f>
        <v>0.039627039627039624</v>
      </c>
      <c r="H148" s="36">
        <f>H145/H260</f>
        <v>0.04010201402917377</v>
      </c>
      <c r="I148" s="2"/>
    </row>
    <row r="149">
      <c r="A149" s="3"/>
      <c r="B149" s="31" t="s">
        <v>123</v>
      </c>
      <c r="C149" s="48">
        <f>C$13</f>
        <v>0</v>
      </c>
      <c r="D149" s="48">
        <f>D$13</f>
        <v>0</v>
      </c>
      <c r="E149" s="48">
        <f>E$13</f>
        <v>0</v>
      </c>
      <c r="F149" s="48">
        <f>F$13</f>
        <v>0</v>
      </c>
      <c r="G149" s="48">
        <f>G$13</f>
        <v>0</v>
      </c>
      <c r="H149" s="36">
        <f>H$13</f>
        <v>0</v>
      </c>
      <c r="I149" s="2"/>
    </row>
    <row r="150">
      <c r="A150" s="3"/>
      <c r="B150" s="31" t="s">
        <v>124</v>
      </c>
      <c r="C150" s="48" t="str">
        <f>C$14</f>
        <v>n/d</v>
      </c>
      <c r="D150" s="48" t="str">
        <f>D$14</f>
        <v>n/d</v>
      </c>
      <c r="E150" s="48" t="str">
        <f>E$14</f>
        <v>n/d</v>
      </c>
      <c r="F150" s="48" t="str">
        <f>F$14</f>
        <v>n/d</v>
      </c>
      <c r="G150" s="48" t="str">
        <f>G$14</f>
        <v>n/d</v>
      </c>
      <c r="H150" s="36" t="str">
        <f>H$14</f>
        <v>n/d</v>
      </c>
      <c r="I150" s="2"/>
    </row>
    <row r="151">
      <c r="A151" s="3"/>
      <c r="B151" s="31" t="s">
        <v>125</v>
      </c>
      <c r="C151" s="48" t="str">
        <f>IF(AND(ISNUMBER(C146),ISNUMBER(C$14)),(1+C146)/((1+C149)*(1+C$14))-1,"n/a")</f>
        <v>n/a</v>
      </c>
      <c r="D151" s="48" t="str">
        <f>IF(AND(ISNUMBER(D146),ISNUMBER(D$14)),(1+D146)/((1+D149)*(1+D$14))-1,"n/a")</f>
        <v>n/a</v>
      </c>
      <c r="E151" s="48" t="str">
        <f>IF(AND(ISNUMBER(E146),ISNUMBER(E$14)),(1+E146)/((1+E149)*(1+E$14))-1,"n/a")</f>
        <v>n/a</v>
      </c>
      <c r="F151" s="48" t="str">
        <f>IF(AND(ISNUMBER(F146),ISNUMBER(F$14)),(1+F146)/((1+F149)*(1+F$14))-1,"n/a")</f>
        <v>n/a</v>
      </c>
      <c r="G151" s="48" t="str">
        <f>IF(AND(ISNUMBER(G146),ISNUMBER(G$14)),(1+G146)/((1+G149)*(1+G$14))-1,"n/a")</f>
        <v>n/a</v>
      </c>
      <c r="H151" s="36" t="str">
        <f>IF(AND(ISNUMBER(H146),ISNUMBER(H$14)),(1+H146)/((1+H149)*(1+H$14))-1,"n/a")</f>
        <v>n/a</v>
      </c>
      <c r="I151" s="2"/>
    </row>
    <row r="152">
      <c r="A152" s="3"/>
      <c r="B152" s="3" t="s">
        <v>82</v>
      </c>
      <c r="C152" s="14">
        <v>470</v>
      </c>
      <c r="D152" s="14">
        <v>431</v>
      </c>
      <c r="E152" s="14">
        <v>1786</v>
      </c>
      <c r="F152" s="14">
        <v>486</v>
      </c>
      <c r="G152" s="14">
        <v>448</v>
      </c>
      <c r="H152" s="13">
        <f>H26*H96/1000</f>
        <v>493.4228415162178</v>
      </c>
      <c r="I152" s="2"/>
    </row>
    <row r="153">
      <c r="A153" s="3"/>
      <c r="B153" s="31" t="s">
        <v>78</v>
      </c>
      <c r="C153" s="8">
        <f>IFERROR(C152/Inputs!C115-1,"n/a")</f>
        <v>0.16049382716049387</v>
      </c>
      <c r="D153" s="8">
        <f>IFERROR(D152/Inputs!D115-1,"n/a")</f>
        <v>0.22792022792022792</v>
      </c>
      <c r="E153" s="8">
        <f>IFERROR(E152/Inputs!E115-1,"n/a")</f>
        <v>0.20431557653405252</v>
      </c>
      <c r="F153" s="8">
        <f>IFERROR(F152/Inputs!F115-1,"n/a")</f>
        <v>0.16826923076923084</v>
      </c>
      <c r="G153" s="8">
        <f>IFERROR(G152/Inputs!G115-1,"n/a")</f>
        <v>-0.04477611940298509</v>
      </c>
      <c r="H153" s="36">
        <f>H152/C152-1</f>
        <v>0.04983583301322936</v>
      </c>
      <c r="I153" s="2"/>
    </row>
    <row r="154">
      <c r="A154" s="3"/>
      <c r="B154" s="31" t="s">
        <v>121</v>
      </c>
      <c r="C154" s="8">
        <f>C152/Inputs!G115-1</f>
        <v>0.002132196162046851</v>
      </c>
      <c r="D154" s="48">
        <f>D152/C152-1</f>
        <v>-0.08297872340425527</v>
      </c>
      <c r="E154" s="48"/>
      <c r="F154" s="48">
        <f>F152/D152-1</f>
        <v>0.12761020881670526</v>
      </c>
      <c r="G154" s="48">
        <f>G152/F152-1</f>
        <v>-0.07818930041152261</v>
      </c>
      <c r="H154" s="36">
        <f>H152/G152-1</f>
        <v>0.10139027124155753</v>
      </c>
      <c r="I154" s="2"/>
    </row>
    <row r="155">
      <c r="A155" s="3"/>
      <c r="B155" s="31" t="s">
        <v>122</v>
      </c>
      <c r="C155" s="48">
        <f>C152/C260</f>
        <v>0.07527226137091608</v>
      </c>
      <c r="D155" s="48">
        <f>D152/D260</f>
        <v>0.07082990961380443</v>
      </c>
      <c r="E155" s="48">
        <f>E152/E260</f>
        <v>0.07286821705426356</v>
      </c>
      <c r="F155" s="48">
        <f>F152/F260</f>
        <v>0.07817275213125302</v>
      </c>
      <c r="G155" s="48">
        <f>G152/G260</f>
        <v>0.06526806526806526</v>
      </c>
      <c r="H155" s="36">
        <f>H152/H260</f>
        <v>0.06877155422960401</v>
      </c>
      <c r="I155" s="2"/>
    </row>
    <row r="156">
      <c r="A156" s="3"/>
      <c r="B156" s="31" t="s">
        <v>123</v>
      </c>
      <c r="C156" s="48">
        <f>C$13</f>
        <v>0</v>
      </c>
      <c r="D156" s="48">
        <f>D$13</f>
        <v>0</v>
      </c>
      <c r="E156" s="48">
        <f>E$13</f>
        <v>0</v>
      </c>
      <c r="F156" s="48">
        <f>F$13</f>
        <v>0</v>
      </c>
      <c r="G156" s="48">
        <f>G$13</f>
        <v>0</v>
      </c>
      <c r="H156" s="36">
        <f>H$13</f>
        <v>0</v>
      </c>
      <c r="I156" s="2"/>
    </row>
    <row r="157">
      <c r="A157" s="3"/>
      <c r="B157" s="31" t="s">
        <v>124</v>
      </c>
      <c r="C157" s="48" t="str">
        <f>C$14</f>
        <v>n/d</v>
      </c>
      <c r="D157" s="48" t="str">
        <f>D$14</f>
        <v>n/d</v>
      </c>
      <c r="E157" s="48" t="str">
        <f>E$14</f>
        <v>n/d</v>
      </c>
      <c r="F157" s="48" t="str">
        <f>F$14</f>
        <v>n/d</v>
      </c>
      <c r="G157" s="48" t="str">
        <f>G$14</f>
        <v>n/d</v>
      </c>
      <c r="H157" s="36" t="str">
        <f>H$14</f>
        <v>n/d</v>
      </c>
      <c r="I157" s="2"/>
    </row>
    <row r="158">
      <c r="A158" s="3"/>
      <c r="B158" s="31" t="s">
        <v>125</v>
      </c>
      <c r="C158" s="48" t="str">
        <f>IF(AND(ISNUMBER(C153),ISNUMBER(C$14)),(1+C153)/((1+C156)*(1+C$14))-1,"n/a")</f>
        <v>n/a</v>
      </c>
      <c r="D158" s="48" t="str">
        <f>IF(AND(ISNUMBER(D153),ISNUMBER(D$14)),(1+D153)/((1+D156)*(1+D$14))-1,"n/a")</f>
        <v>n/a</v>
      </c>
      <c r="E158" s="48" t="str">
        <f>IF(AND(ISNUMBER(E153),ISNUMBER(E$14)),(1+E153)/((1+E156)*(1+E$14))-1,"n/a")</f>
        <v>n/a</v>
      </c>
      <c r="F158" s="48" t="str">
        <f>IF(AND(ISNUMBER(F153),ISNUMBER(F$14)),(1+F153)/((1+F156)*(1+F$14))-1,"n/a")</f>
        <v>n/a</v>
      </c>
      <c r="G158" s="48" t="str">
        <f>IF(AND(ISNUMBER(G153),ISNUMBER(G$14)),(1+G153)/((1+G156)*(1+G$14))-1,"n/a")</f>
        <v>n/a</v>
      </c>
      <c r="H158" s="36" t="str">
        <f>IF(AND(ISNUMBER(H153),ISNUMBER(H$14)),(1+H153)/((1+H156)*(1+H$14))-1,"n/a")</f>
        <v>n/a</v>
      </c>
      <c r="I158" s="2"/>
    </row>
    <row r="159">
      <c r="A159" s="3"/>
      <c r="B159" s="15" t="s">
        <v>126</v>
      </c>
      <c r="C159" s="16">
        <f>C131+C138+C145+C152</f>
        <v>1930</v>
      </c>
      <c r="D159" s="16">
        <f>D131+D138+D145+D152</f>
        <v>1919</v>
      </c>
      <c r="E159" s="16">
        <f>E131+E138+E145+E152</f>
        <v>7586</v>
      </c>
      <c r="F159" s="16">
        <f>F131+F138+F145+F152</f>
        <v>2026</v>
      </c>
      <c r="G159" s="16">
        <f>G131+G138+G145+G152</f>
        <v>2043</v>
      </c>
      <c r="H159" s="17">
        <f>H131+H138+H145+H152</f>
        <v>2105.7971754792957</v>
      </c>
      <c r="I159" s="2"/>
    </row>
    <row r="160">
      <c r="A160" s="3"/>
      <c r="B160" s="31" t="s">
        <v>127</v>
      </c>
      <c r="C160" s="8">
        <f>IFERROR(C159/Inputs!C122-1,"n/a")</f>
        <v>0.06925207756232687</v>
      </c>
      <c r="D160" s="8">
        <f>IFERROR(D159/Inputs!D122-1,"n/a")</f>
        <v>0.029506437768240357</v>
      </c>
      <c r="E160" s="8">
        <f>IFERROR(E159/Inputs!E122-1,"n/a")</f>
        <v>0.052587761898154506</v>
      </c>
      <c r="F160" s="8">
        <f>IFERROR(F159/Inputs!F122-1,"n/a")</f>
        <v>0.10348583877995643</v>
      </c>
      <c r="G160" s="8">
        <f>IFERROR(G159/Inputs!G122-1,"n/a")</f>
        <v>0.07469752761704362</v>
      </c>
      <c r="H160" s="36">
        <f>H159/C159-1</f>
        <v>0.09108661941932428</v>
      </c>
      <c r="I160" s="2"/>
    </row>
    <row r="161">
      <c r="A161" s="3"/>
      <c r="B161" s="31" t="s">
        <v>128</v>
      </c>
      <c r="C161" s="8">
        <f>C159/Inputs!G122-1</f>
        <v>0.015255128879537061</v>
      </c>
      <c r="D161" s="48">
        <f>D159/C159-1</f>
        <v>-0.0056994818652850165</v>
      </c>
      <c r="E161" s="48"/>
      <c r="F161" s="48">
        <f>F159/D159-1</f>
        <v>0.0557582073996874</v>
      </c>
      <c r="G161" s="48">
        <f>G159/F159-1</f>
        <v>0.008390918065152908</v>
      </c>
      <c r="H161" s="36">
        <f>H159/G159-1</f>
        <v>0.030737726617374284</v>
      </c>
      <c r="I161" s="2"/>
    </row>
    <row r="162">
      <c r="A162" s="3"/>
      <c r="B162" s="31" t="s">
        <v>129</v>
      </c>
      <c r="C162" s="48">
        <f>C159/C260</f>
        <v>0.309096732863549</v>
      </c>
      <c r="D162" s="48">
        <f>D159/D260</f>
        <v>0.3153656532456861</v>
      </c>
      <c r="E162" s="48">
        <f>E159/E260</f>
        <v>0.3095063239494084</v>
      </c>
      <c r="F162" s="48">
        <f>F159/F260</f>
        <v>0.32588064983110826</v>
      </c>
      <c r="G162" s="48">
        <f>G159/G260</f>
        <v>0.29763986013986016</v>
      </c>
      <c r="H162" s="36">
        <f>H159/H260</f>
        <v>0.29349866375260103</v>
      </c>
      <c r="I162" s="2"/>
    </row>
    <row r="163">
      <c r="A163" s="3"/>
      <c r="B163" s="31" t="s">
        <v>130</v>
      </c>
      <c r="C163" s="48">
        <f>C$13</f>
        <v>0</v>
      </c>
      <c r="D163" s="48">
        <f>D$13</f>
        <v>0</v>
      </c>
      <c r="E163" s="48">
        <f>E$13</f>
        <v>0</v>
      </c>
      <c r="F163" s="48">
        <f>F$13</f>
        <v>0</v>
      </c>
      <c r="G163" s="48">
        <f>G$13</f>
        <v>0</v>
      </c>
      <c r="H163" s="36">
        <f>H$13</f>
        <v>0</v>
      </c>
      <c r="I163" s="2"/>
    </row>
    <row r="164">
      <c r="A164" s="3"/>
      <c r="B164" s="31" t="s">
        <v>131</v>
      </c>
      <c r="C164" s="48" t="str">
        <f>C$14</f>
        <v>n/d</v>
      </c>
      <c r="D164" s="48" t="str">
        <f>D$14</f>
        <v>n/d</v>
      </c>
      <c r="E164" s="48" t="str">
        <f>E$14</f>
        <v>n/d</v>
      </c>
      <c r="F164" s="48" t="str">
        <f>F$14</f>
        <v>n/d</v>
      </c>
      <c r="G164" s="48" t="str">
        <f>G$14</f>
        <v>n/d</v>
      </c>
      <c r="H164" s="36" t="str">
        <f>H$14</f>
        <v>n/d</v>
      </c>
      <c r="I164" s="2"/>
    </row>
    <row r="165">
      <c r="A165" s="3"/>
      <c r="B165" s="31" t="s">
        <v>132</v>
      </c>
      <c r="C165" s="48" t="str">
        <f>IF(AND(ISNUMBER(C160),ISNUMBER(C$14)),(1+C160)/((1+C163)*(1+C$14))-1,"n/a")</f>
        <v>n/a</v>
      </c>
      <c r="D165" s="48" t="str">
        <f>IF(AND(ISNUMBER(D160),ISNUMBER(D$14)),(1+D160)/((1+D163)*(1+D$14))-1,"n/a")</f>
        <v>n/a</v>
      </c>
      <c r="E165" s="48" t="str">
        <f>IF(AND(ISNUMBER(E160),ISNUMBER(E$14)),(1+E160)/((1+E163)*(1+E$14))-1,"n/a")</f>
        <v>n/a</v>
      </c>
      <c r="F165" s="48" t="str">
        <f>IF(AND(ISNUMBER(F160),ISNUMBER(F$14)),(1+F160)/((1+F163)*(1+F$14))-1,"n/a")</f>
        <v>n/a</v>
      </c>
      <c r="G165" s="48" t="str">
        <f>IF(AND(ISNUMBER(G160),ISNUMBER(G$14)),(1+G160)/((1+G163)*(1+G$14))-1,"n/a")</f>
        <v>n/a</v>
      </c>
      <c r="H165" s="36" t="str">
        <f>IF(AND(ISNUMBER(H160),ISNUMBER(H$14)),(1+H160)/((1+H163)*(1+H$14))-1,"n/a")</f>
        <v>n/a</v>
      </c>
      <c r="I165" s="2"/>
    </row>
    <row r="166">
      <c r="A166" s="3"/>
      <c r="B166" s="3" t="s">
        <v>84</v>
      </c>
      <c r="C166" s="14">
        <v>647</v>
      </c>
      <c r="D166" s="14">
        <v>612</v>
      </c>
      <c r="E166" s="14">
        <v>2512</v>
      </c>
      <c r="F166" s="14">
        <v>655</v>
      </c>
      <c r="G166" s="14">
        <v>685</v>
      </c>
      <c r="H166" s="13">
        <f>H32*H102/1000</f>
        <v>722.133453799423</v>
      </c>
      <c r="I166" s="2"/>
    </row>
    <row r="167">
      <c r="A167" s="3"/>
      <c r="B167" s="31" t="s">
        <v>78</v>
      </c>
      <c r="C167" s="8">
        <f>IFERROR(C166/Inputs!C116-1,"n/a")</f>
        <v>0.08193979933110374</v>
      </c>
      <c r="D167" s="8">
        <f>IFERROR(D166/Inputs!D116-1,"n/a")</f>
        <v>0.05154639175257736</v>
      </c>
      <c r="E167" s="8">
        <f>IFERROR(E166/Inputs!E116-1,"n/a")</f>
        <v>0.07121535181236682</v>
      </c>
      <c r="F167" s="8">
        <f>IFERROR(F166/Inputs!F116-1,"n/a")</f>
        <v>0.07907742998352552</v>
      </c>
      <c r="G167" s="8">
        <f>IFERROR(G166/Inputs!G116-1,"n/a")</f>
        <v>0.06037151702786381</v>
      </c>
      <c r="H167" s="36">
        <f>H166/C166-1</f>
        <v>0.1161258945895256</v>
      </c>
      <c r="I167" s="2"/>
    </row>
    <row r="168">
      <c r="A168" s="3"/>
      <c r="B168" s="31" t="s">
        <v>121</v>
      </c>
      <c r="C168" s="8">
        <f>C166/Inputs!G116-1</f>
        <v>0.001547987616099089</v>
      </c>
      <c r="D168" s="48">
        <f>D166/C166-1</f>
        <v>-0.054095826893353904</v>
      </c>
      <c r="E168" s="48"/>
      <c r="F168" s="48">
        <f>F166/D166-1</f>
        <v>0.0702614379084967</v>
      </c>
      <c r="G168" s="48">
        <f>G166/F166-1</f>
        <v>0.04580152671755733</v>
      </c>
      <c r="H168" s="36">
        <f>H166/G166-1</f>
        <v>0.05420942160499709</v>
      </c>
      <c r="I168" s="2"/>
    </row>
    <row r="169">
      <c r="A169" s="3"/>
      <c r="B169" s="31" t="s">
        <v>122</v>
      </c>
      <c r="C169" s="48">
        <f>C166/C260</f>
        <v>0.10361947469570788</v>
      </c>
      <c r="D169" s="48">
        <f>D166/D260</f>
        <v>0.10057518488085455</v>
      </c>
      <c r="E169" s="48">
        <f>E166/E260</f>
        <v>0.10248878008975928</v>
      </c>
      <c r="F169" s="48">
        <f>F166/F260</f>
        <v>0.10535628116454882</v>
      </c>
      <c r="G169" s="48">
        <f>G166/G260</f>
        <v>0.0997960372960373</v>
      </c>
      <c r="H169" s="36">
        <f>H166/H260</f>
        <v>0.10064844145920222</v>
      </c>
      <c r="I169" s="2"/>
    </row>
    <row r="170">
      <c r="A170" s="3"/>
      <c r="B170" s="31" t="s">
        <v>123</v>
      </c>
      <c r="C170" s="48">
        <f>C$13</f>
        <v>0</v>
      </c>
      <c r="D170" s="48">
        <f>D$13</f>
        <v>0</v>
      </c>
      <c r="E170" s="48">
        <f>E$13</f>
        <v>0</v>
      </c>
      <c r="F170" s="48">
        <f>F$13</f>
        <v>0</v>
      </c>
      <c r="G170" s="48">
        <f>G$13</f>
        <v>0</v>
      </c>
      <c r="H170" s="36">
        <f>H$13</f>
        <v>0</v>
      </c>
      <c r="I170" s="2"/>
    </row>
    <row r="171">
      <c r="A171" s="3"/>
      <c r="B171" s="31" t="s">
        <v>124</v>
      </c>
      <c r="C171" s="48" t="str">
        <f>C$14</f>
        <v>n/d</v>
      </c>
      <c r="D171" s="48" t="str">
        <f>D$14</f>
        <v>n/d</v>
      </c>
      <c r="E171" s="48" t="str">
        <f>E$14</f>
        <v>n/d</v>
      </c>
      <c r="F171" s="48" t="str">
        <f>F$14</f>
        <v>n/d</v>
      </c>
      <c r="G171" s="48" t="str">
        <f>G$14</f>
        <v>n/d</v>
      </c>
      <c r="H171" s="36" t="str">
        <f>H$14</f>
        <v>n/d</v>
      </c>
      <c r="I171" s="2"/>
    </row>
    <row r="172">
      <c r="A172" s="3"/>
      <c r="B172" s="31" t="s">
        <v>125</v>
      </c>
      <c r="C172" s="48" t="str">
        <f>IF(AND(ISNUMBER(C167),ISNUMBER(C$14)),(1+C167)/((1+C170)*(1+C$14))-1,"n/a")</f>
        <v>n/a</v>
      </c>
      <c r="D172" s="48" t="str">
        <f>IF(AND(ISNUMBER(D167),ISNUMBER(D$14)),(1+D167)/((1+D170)*(1+D$14))-1,"n/a")</f>
        <v>n/a</v>
      </c>
      <c r="E172" s="48" t="str">
        <f>IF(AND(ISNUMBER(E167),ISNUMBER(E$14)),(1+E167)/((1+E170)*(1+E$14))-1,"n/a")</f>
        <v>n/a</v>
      </c>
      <c r="F172" s="48" t="str">
        <f>IF(AND(ISNUMBER(F167),ISNUMBER(F$14)),(1+F167)/((1+F170)*(1+F$14))-1,"n/a")</f>
        <v>n/a</v>
      </c>
      <c r="G172" s="48" t="str">
        <f>IF(AND(ISNUMBER(G167),ISNUMBER(G$14)),(1+G167)/((1+G170)*(1+G$14))-1,"n/a")</f>
        <v>n/a</v>
      </c>
      <c r="H172" s="36" t="str">
        <f>IF(AND(ISNUMBER(H167),ISNUMBER(H$14)),(1+H167)/((1+H170)*(1+H$14))-1,"n/a")</f>
        <v>n/a</v>
      </c>
      <c r="I172" s="2"/>
    </row>
    <row r="173">
      <c r="A173" s="3"/>
      <c r="B173" s="3" t="s">
        <v>85</v>
      </c>
      <c r="C173" s="14">
        <v>568</v>
      </c>
      <c r="D173" s="14">
        <v>543</v>
      </c>
      <c r="E173" s="14">
        <v>2193</v>
      </c>
      <c r="F173" s="14">
        <v>555</v>
      </c>
      <c r="G173" s="14">
        <v>621</v>
      </c>
      <c r="H173" s="13">
        <f>H35*H105/1000</f>
        <v>669.5106200490573</v>
      </c>
      <c r="I173" s="2"/>
    </row>
    <row r="174">
      <c r="A174" s="3"/>
      <c r="B174" s="31" t="s">
        <v>78</v>
      </c>
      <c r="C174" s="8">
        <f>IFERROR(C173/Inputs!C117-1,"n/a")</f>
        <v>0.07372400756143671</v>
      </c>
      <c r="D174" s="8">
        <f>IFERROR(D173/Inputs!D117-1,"n/a")</f>
        <v>0.07100591715976323</v>
      </c>
      <c r="E174" s="8">
        <f>IFERROR(E173/Inputs!E117-1,"n/a")</f>
        <v>0.053820278712157554</v>
      </c>
      <c r="F174" s="8">
        <f>IFERROR(F173/Inputs!F117-1,"n/a")</f>
        <v>0.06525911708253362</v>
      </c>
      <c r="G174" s="8">
        <f>IFERROR(G173/Inputs!G117-1,"n/a")</f>
        <v>0.106951871657754</v>
      </c>
      <c r="H174" s="36">
        <f>H173/C173-1</f>
        <v>0.17871588036805863</v>
      </c>
      <c r="I174" s="2"/>
    </row>
    <row r="175">
      <c r="A175" s="3"/>
      <c r="B175" s="31" t="s">
        <v>121</v>
      </c>
      <c r="C175" s="8">
        <f>C173/Inputs!G117-1</f>
        <v>0.012477718360071277</v>
      </c>
      <c r="D175" s="48">
        <f>D173/C173-1</f>
        <v>-0.04401408450704225</v>
      </c>
      <c r="E175" s="48"/>
      <c r="F175" s="48">
        <f>F173/D173-1</f>
        <v>0.022099447513812098</v>
      </c>
      <c r="G175" s="48">
        <f>G173/F173-1</f>
        <v>0.11891891891891881</v>
      </c>
      <c r="H175" s="36">
        <f>H173/G173-1</f>
        <v>0.0781169404976767</v>
      </c>
      <c r="I175" s="2"/>
    </row>
    <row r="176">
      <c r="A176" s="3"/>
      <c r="B176" s="31" t="s">
        <v>122</v>
      </c>
      <c r="C176" s="48">
        <f>C173/C260</f>
        <v>0.09096732863549008</v>
      </c>
      <c r="D176" s="48">
        <f>D173/D260</f>
        <v>0.08923582580115037</v>
      </c>
      <c r="E176" s="48">
        <f>E173/E260</f>
        <v>0.08947368421052632</v>
      </c>
      <c r="F176" s="48">
        <f>F173/F260</f>
        <v>0.0892713527424803</v>
      </c>
      <c r="G176" s="48">
        <f>G173/G260</f>
        <v>0.09047202797202797</v>
      </c>
      <c r="H176" s="36">
        <f>H173/H260</f>
        <v>0.09331405447813304</v>
      </c>
      <c r="I176" s="2"/>
    </row>
    <row r="177">
      <c r="A177" s="3"/>
      <c r="B177" s="31" t="s">
        <v>123</v>
      </c>
      <c r="C177" s="48">
        <f>C$13</f>
        <v>0</v>
      </c>
      <c r="D177" s="48">
        <f>D$13</f>
        <v>0</v>
      </c>
      <c r="E177" s="48">
        <f>E$13</f>
        <v>0</v>
      </c>
      <c r="F177" s="48">
        <f>F$13</f>
        <v>0</v>
      </c>
      <c r="G177" s="48">
        <f>G$13</f>
        <v>0</v>
      </c>
      <c r="H177" s="36">
        <f>H$13</f>
        <v>0</v>
      </c>
      <c r="I177" s="2"/>
    </row>
    <row r="178">
      <c r="A178" s="3"/>
      <c r="B178" s="31" t="s">
        <v>124</v>
      </c>
      <c r="C178" s="48" t="str">
        <f>C$14</f>
        <v>n/d</v>
      </c>
      <c r="D178" s="48" t="str">
        <f>D$14</f>
        <v>n/d</v>
      </c>
      <c r="E178" s="48" t="str">
        <f>E$14</f>
        <v>n/d</v>
      </c>
      <c r="F178" s="48" t="str">
        <f>F$14</f>
        <v>n/d</v>
      </c>
      <c r="G178" s="48" t="str">
        <f>G$14</f>
        <v>n/d</v>
      </c>
      <c r="H178" s="36" t="str">
        <f>H$14</f>
        <v>n/d</v>
      </c>
      <c r="I178" s="2"/>
    </row>
    <row r="179">
      <c r="A179" s="3"/>
      <c r="B179" s="31" t="s">
        <v>125</v>
      </c>
      <c r="C179" s="48" t="str">
        <f>IF(AND(ISNUMBER(C174),ISNUMBER(C$14)),(1+C174)/((1+C177)*(1+C$14))-1,"n/a")</f>
        <v>n/a</v>
      </c>
      <c r="D179" s="48" t="str">
        <f>IF(AND(ISNUMBER(D174),ISNUMBER(D$14)),(1+D174)/((1+D177)*(1+D$14))-1,"n/a")</f>
        <v>n/a</v>
      </c>
      <c r="E179" s="48" t="str">
        <f>IF(AND(ISNUMBER(E174),ISNUMBER(E$14)),(1+E174)/((1+E177)*(1+E$14))-1,"n/a")</f>
        <v>n/a</v>
      </c>
      <c r="F179" s="48" t="str">
        <f>IF(AND(ISNUMBER(F174),ISNUMBER(F$14)),(1+F174)/((1+F177)*(1+F$14))-1,"n/a")</f>
        <v>n/a</v>
      </c>
      <c r="G179" s="48" t="str">
        <f>IF(AND(ISNUMBER(G174),ISNUMBER(G$14)),(1+G174)/((1+G177)*(1+G$14))-1,"n/a")</f>
        <v>n/a</v>
      </c>
      <c r="H179" s="36" t="str">
        <f>IF(AND(ISNUMBER(H174),ISNUMBER(H$14)),(1+H174)/((1+H177)*(1+H$14))-1,"n/a")</f>
        <v>n/a</v>
      </c>
      <c r="I179" s="2"/>
    </row>
    <row r="180">
      <c r="A180" s="3"/>
      <c r="B180" s="3" t="s">
        <v>86</v>
      </c>
      <c r="C180" s="14">
        <v>327</v>
      </c>
      <c r="D180" s="14">
        <v>302</v>
      </c>
      <c r="E180" s="14">
        <v>1290</v>
      </c>
      <c r="F180" s="14">
        <v>318</v>
      </c>
      <c r="G180" s="14">
        <v>356</v>
      </c>
      <c r="H180" s="13">
        <f>H38*H108/1000</f>
        <v>369.02222529574755</v>
      </c>
      <c r="I180" s="2"/>
    </row>
    <row r="181">
      <c r="A181" s="3"/>
      <c r="B181" s="31" t="s">
        <v>78</v>
      </c>
      <c r="C181" s="8">
        <f>IFERROR(C180/Inputs!C118-1,"n/a")</f>
        <v>0.01552795031055898</v>
      </c>
      <c r="D181" s="8">
        <f>IFERROR(D180/Inputs!D118-1,"n/a")</f>
        <v>-0.0679012345679012</v>
      </c>
      <c r="E181" s="8">
        <f>IFERROR(E180/Inputs!E118-1,"n/a")</f>
        <v>-0.02714932126696834</v>
      </c>
      <c r="F181" s="8">
        <f>IFERROR(F180/Inputs!F118-1,"n/a")</f>
        <v>-0.009345794392523366</v>
      </c>
      <c r="G181" s="8">
        <f>IFERROR(G180/Inputs!G118-1,"n/a")</f>
        <v>0.04705882352941182</v>
      </c>
      <c r="H181" s="36">
        <f>H180/C180-1</f>
        <v>0.12850833423775998</v>
      </c>
      <c r="I181" s="2"/>
    </row>
    <row r="182">
      <c r="A182" s="3"/>
      <c r="B182" s="31" t="s">
        <v>121</v>
      </c>
      <c r="C182" s="8">
        <f>C180/Inputs!G118-1</f>
        <v>-0.038235294117647034</v>
      </c>
      <c r="D182" s="48">
        <f>D180/C180-1</f>
        <v>-0.07645259938837923</v>
      </c>
      <c r="E182" s="48"/>
      <c r="F182" s="48">
        <f>F180/D180-1</f>
        <v>0.052980132450331174</v>
      </c>
      <c r="G182" s="48">
        <f>G180/F180-1</f>
        <v>0.11949685534591192</v>
      </c>
      <c r="H182" s="36">
        <f>H180/G180-1</f>
        <v>0.03657928453861681</v>
      </c>
      <c r="I182" s="2"/>
    </row>
    <row r="183">
      <c r="A183" s="3"/>
      <c r="B183" s="31" t="s">
        <v>122</v>
      </c>
      <c r="C183" s="48">
        <f>C180/C260</f>
        <v>0.052370275464445865</v>
      </c>
      <c r="D183" s="48">
        <f>D180/D260</f>
        <v>0.04963023829087921</v>
      </c>
      <c r="E183" s="48">
        <f>E180/E260</f>
        <v>0.05263157894736842</v>
      </c>
      <c r="F183" s="48">
        <f>F180/F260</f>
        <v>0.0511500723821779</v>
      </c>
      <c r="G183" s="48">
        <f>G180/G260</f>
        <v>0.051864801864801864</v>
      </c>
      <c r="H183" s="36">
        <f>H180/H260</f>
        <v>0.05143303034142477</v>
      </c>
      <c r="I183" s="2"/>
    </row>
    <row r="184">
      <c r="A184" s="3"/>
      <c r="B184" s="31" t="s">
        <v>123</v>
      </c>
      <c r="C184" s="48">
        <f>C$13</f>
        <v>0</v>
      </c>
      <c r="D184" s="48">
        <f>D$13</f>
        <v>0</v>
      </c>
      <c r="E184" s="48">
        <f>E$13</f>
        <v>0</v>
      </c>
      <c r="F184" s="48">
        <f>F$13</f>
        <v>0</v>
      </c>
      <c r="G184" s="48">
        <f>G$13</f>
        <v>0</v>
      </c>
      <c r="H184" s="36">
        <f>H$13</f>
        <v>0</v>
      </c>
      <c r="I184" s="2"/>
    </row>
    <row r="185">
      <c r="A185" s="3"/>
      <c r="B185" s="31" t="s">
        <v>124</v>
      </c>
      <c r="C185" s="48" t="str">
        <f>C$14</f>
        <v>n/d</v>
      </c>
      <c r="D185" s="48" t="str">
        <f>D$14</f>
        <v>n/d</v>
      </c>
      <c r="E185" s="48" t="str">
        <f>E$14</f>
        <v>n/d</v>
      </c>
      <c r="F185" s="48" t="str">
        <f>F$14</f>
        <v>n/d</v>
      </c>
      <c r="G185" s="48" t="str">
        <f>G$14</f>
        <v>n/d</v>
      </c>
      <c r="H185" s="36" t="str">
        <f>H$14</f>
        <v>n/d</v>
      </c>
      <c r="I185" s="2"/>
    </row>
    <row r="186">
      <c r="A186" s="3"/>
      <c r="B186" s="31" t="s">
        <v>125</v>
      </c>
      <c r="C186" s="48" t="str">
        <f>IF(AND(ISNUMBER(C181),ISNUMBER(C$14)),(1+C181)/((1+C184)*(1+C$14))-1,"n/a")</f>
        <v>n/a</v>
      </c>
      <c r="D186" s="48" t="str">
        <f>IF(AND(ISNUMBER(D181),ISNUMBER(D$14)),(1+D181)/((1+D184)*(1+D$14))-1,"n/a")</f>
        <v>n/a</v>
      </c>
      <c r="E186" s="48" t="str">
        <f>IF(AND(ISNUMBER(E181),ISNUMBER(E$14)),(1+E181)/((1+E184)*(1+E$14))-1,"n/a")</f>
        <v>n/a</v>
      </c>
      <c r="F186" s="48" t="str">
        <f>IF(AND(ISNUMBER(F181),ISNUMBER(F$14)),(1+F181)/((1+F184)*(1+F$14))-1,"n/a")</f>
        <v>n/a</v>
      </c>
      <c r="G186" s="48" t="str">
        <f>IF(AND(ISNUMBER(G181),ISNUMBER(G$14)),(1+G181)/((1+G184)*(1+G$14))-1,"n/a")</f>
        <v>n/a</v>
      </c>
      <c r="H186" s="36" t="str">
        <f>IF(AND(ISNUMBER(H181),ISNUMBER(H$14)),(1+H181)/((1+H184)*(1+H$14))-1,"n/a")</f>
        <v>n/a</v>
      </c>
      <c r="I186" s="2"/>
    </row>
    <row r="187">
      <c r="A187" s="3"/>
      <c r="B187" s="3" t="s">
        <v>87</v>
      </c>
      <c r="C187" s="14">
        <v>652</v>
      </c>
      <c r="D187" s="14">
        <v>659</v>
      </c>
      <c r="E187" s="14">
        <v>2609</v>
      </c>
      <c r="F187" s="14">
        <v>663</v>
      </c>
      <c r="G187" s="14">
        <v>724</v>
      </c>
      <c r="H187" s="13">
        <f>H41*H111/1000</f>
        <v>751.4062445910305</v>
      </c>
      <c r="I187" s="2"/>
    </row>
    <row r="188">
      <c r="A188" s="3"/>
      <c r="B188" s="31" t="s">
        <v>78</v>
      </c>
      <c r="C188" s="8">
        <f>IFERROR(C187/Inputs!C119-1,"n/a")</f>
        <v>-0.029761904761904767</v>
      </c>
      <c r="D188" s="8">
        <f>IFERROR(D187/Inputs!D119-1,"n/a")</f>
        <v>-0.02945508100147276</v>
      </c>
      <c r="E188" s="8">
        <f>IFERROR(E187/Inputs!E119-1,"n/a")</f>
        <v>-0.02938988095238093</v>
      </c>
      <c r="F188" s="8">
        <f>IFERROR(F187/Inputs!F119-1,"n/a")</f>
        <v>0.04739336492891</v>
      </c>
      <c r="G188" s="8">
        <f>IFERROR(G187/Inputs!G119-1,"n/a")</f>
        <v>0.08872180451127809</v>
      </c>
      <c r="H188" s="36">
        <f>H187/C187-1</f>
        <v>0.15246356532366634</v>
      </c>
      <c r="I188" s="2"/>
    </row>
    <row r="189">
      <c r="A189" s="3"/>
      <c r="B189" s="31" t="s">
        <v>121</v>
      </c>
      <c r="C189" s="8">
        <f>C187/Inputs!G119-1</f>
        <v>-0.019548872180451093</v>
      </c>
      <c r="D189" s="48">
        <f>D187/C187-1</f>
        <v>0.010736196319018454</v>
      </c>
      <c r="E189" s="48"/>
      <c r="F189" s="48">
        <f>F187/D187-1</f>
        <v>0.006069802731411222</v>
      </c>
      <c r="G189" s="48">
        <f>G187/F187-1</f>
        <v>0.09200603318250367</v>
      </c>
      <c r="H189" s="36">
        <f>H187/G187-1</f>
        <v>0.03785392899313611</v>
      </c>
      <c r="I189" s="2"/>
    </row>
    <row r="190">
      <c r="A190" s="3"/>
      <c r="B190" s="31" t="s">
        <v>122</v>
      </c>
      <c r="C190" s="48">
        <f>C187/C260</f>
        <v>0.10442024343369635</v>
      </c>
      <c r="D190" s="48">
        <f>D187/D260</f>
        <v>0.10829909613804437</v>
      </c>
      <c r="E190" s="48">
        <f>E187/E260</f>
        <v>0.10644634842921256</v>
      </c>
      <c r="F190" s="48">
        <f>F187/F260</f>
        <v>0.1066430754383143</v>
      </c>
      <c r="G190" s="48">
        <f>G187/G260</f>
        <v>0.10547785547785547</v>
      </c>
      <c r="H190" s="36">
        <f>H187/H260</f>
        <v>0.10472838091476291</v>
      </c>
      <c r="I190" s="2"/>
    </row>
    <row r="191">
      <c r="A191" s="3"/>
      <c r="B191" s="31" t="s">
        <v>123</v>
      </c>
      <c r="C191" s="48">
        <f>C$13</f>
        <v>0</v>
      </c>
      <c r="D191" s="48">
        <f>D$13</f>
        <v>0</v>
      </c>
      <c r="E191" s="48">
        <f>E$13</f>
        <v>0</v>
      </c>
      <c r="F191" s="48">
        <f>F$13</f>
        <v>0</v>
      </c>
      <c r="G191" s="48">
        <f>G$13</f>
        <v>0</v>
      </c>
      <c r="H191" s="36">
        <f>H$13</f>
        <v>0</v>
      </c>
      <c r="I191" s="2"/>
    </row>
    <row r="192">
      <c r="A192" s="3"/>
      <c r="B192" s="31" t="s">
        <v>124</v>
      </c>
      <c r="C192" s="48" t="str">
        <f>C$14</f>
        <v>n/d</v>
      </c>
      <c r="D192" s="48" t="str">
        <f>D$14</f>
        <v>n/d</v>
      </c>
      <c r="E192" s="48" t="str">
        <f>E$14</f>
        <v>n/d</v>
      </c>
      <c r="F192" s="48" t="str">
        <f>F$14</f>
        <v>n/d</v>
      </c>
      <c r="G192" s="48" t="str">
        <f>G$14</f>
        <v>n/d</v>
      </c>
      <c r="H192" s="36" t="str">
        <f>H$14</f>
        <v>n/d</v>
      </c>
      <c r="I192" s="2"/>
    </row>
    <row r="193">
      <c r="A193" s="3"/>
      <c r="B193" s="31" t="s">
        <v>125</v>
      </c>
      <c r="C193" s="48" t="str">
        <f>IF(AND(ISNUMBER(C188),ISNUMBER(C$14)),(1+C188)/((1+C191)*(1+C$14))-1,"n/a")</f>
        <v>n/a</v>
      </c>
      <c r="D193" s="48" t="str">
        <f>IF(AND(ISNUMBER(D188),ISNUMBER(D$14)),(1+D188)/((1+D191)*(1+D$14))-1,"n/a")</f>
        <v>n/a</v>
      </c>
      <c r="E193" s="48" t="str">
        <f>IF(AND(ISNUMBER(E188),ISNUMBER(E$14)),(1+E188)/((1+E191)*(1+E$14))-1,"n/a")</f>
        <v>n/a</v>
      </c>
      <c r="F193" s="48" t="str">
        <f>IF(AND(ISNUMBER(F188),ISNUMBER(F$14)),(1+F188)/((1+F191)*(1+F$14))-1,"n/a")</f>
        <v>n/a</v>
      </c>
      <c r="G193" s="48" t="str">
        <f>IF(AND(ISNUMBER(G188),ISNUMBER(G$14)),(1+G188)/((1+G191)*(1+G$14))-1,"n/a")</f>
        <v>n/a</v>
      </c>
      <c r="H193" s="36" t="str">
        <f>IF(AND(ISNUMBER(H188),ISNUMBER(H$14)),(1+H188)/((1+H191)*(1+H$14))-1,"n/a")</f>
        <v>n/a</v>
      </c>
      <c r="I193" s="2"/>
    </row>
    <row r="194">
      <c r="A194" s="3"/>
      <c r="B194" s="15" t="s">
        <v>133</v>
      </c>
      <c r="C194" s="16">
        <f>C166+C173+C180+C187</f>
        <v>2194</v>
      </c>
      <c r="D194" s="16">
        <f>D166+D173+D180+D187</f>
        <v>2116</v>
      </c>
      <c r="E194" s="16">
        <f>E166+E173+E180+E187</f>
        <v>8604</v>
      </c>
      <c r="F194" s="16">
        <f>F166+F173+F180+F187</f>
        <v>2191</v>
      </c>
      <c r="G194" s="16">
        <f>G166+G173+G180+G187</f>
        <v>2386</v>
      </c>
      <c r="H194" s="17">
        <f>H166+H173+H180+H187</f>
        <v>2512.0725437352585</v>
      </c>
      <c r="I194" s="2"/>
    </row>
    <row r="195">
      <c r="A195" s="3"/>
      <c r="B195" s="31" t="s">
        <v>127</v>
      </c>
      <c r="C195" s="8">
        <f>IFERROR(C194/Inputs!C123-1,"n/a")</f>
        <v>0.03441772748703431</v>
      </c>
      <c r="D195" s="8">
        <f>IFERROR(D194/Inputs!D123-1,"n/a")</f>
        <v>0.011472275334607929</v>
      </c>
      <c r="E195" s="8">
        <f>IFERROR(E194/Inputs!E123-1,"n/a")</f>
        <v>0.019431279620853115</v>
      </c>
      <c r="F195" s="8">
        <f>IFERROR(F194/Inputs!F123-1,"n/a")</f>
        <v>0.05235350624399615</v>
      </c>
      <c r="G195" s="8">
        <f>IFERROR(G194/Inputs!G123-1,"n/a")</f>
        <v>0.0786618444846292</v>
      </c>
      <c r="H195" s="36">
        <f>H194/C194-1</f>
        <v>0.14497381209446614</v>
      </c>
      <c r="I195" s="2"/>
    </row>
    <row r="196">
      <c r="A196" s="3"/>
      <c r="B196" s="31" t="s">
        <v>128</v>
      </c>
      <c r="C196" s="8">
        <f>C194/Inputs!G123-1</f>
        <v>-0.008137432188065064</v>
      </c>
      <c r="D196" s="48">
        <f>D194/C194-1</f>
        <v>-0.03555150410209662</v>
      </c>
      <c r="E196" s="48"/>
      <c r="F196" s="48">
        <f>F194/D194-1</f>
        <v>0.03544423440453692</v>
      </c>
      <c r="G196" s="48">
        <f>G194/F194-1</f>
        <v>0.08900045641259702</v>
      </c>
      <c r="H196" s="36">
        <f>H194/G194-1</f>
        <v>0.05283845085300021</v>
      </c>
      <c r="I196" s="2"/>
    </row>
    <row r="197">
      <c r="A197" s="3"/>
      <c r="B197" s="31" t="s">
        <v>129</v>
      </c>
      <c r="C197" s="48">
        <f>C194/C260</f>
        <v>0.35137732222934015</v>
      </c>
      <c r="D197" s="48">
        <f>D194/D260</f>
        <v>0.3477403451109285</v>
      </c>
      <c r="E197" s="48">
        <f>E194/E260</f>
        <v>0.35104039167686657</v>
      </c>
      <c r="F197" s="48">
        <f>F194/F260</f>
        <v>0.35242078172752134</v>
      </c>
      <c r="G197" s="48">
        <f>G194/G260</f>
        <v>0.3476107226107226</v>
      </c>
      <c r="H197" s="36">
        <f>H194/H260</f>
        <v>0.350123907193523</v>
      </c>
      <c r="I197" s="2"/>
    </row>
    <row r="198">
      <c r="A198" s="3"/>
      <c r="B198" s="31" t="s">
        <v>130</v>
      </c>
      <c r="C198" s="48">
        <f>C$13</f>
        <v>0</v>
      </c>
      <c r="D198" s="48">
        <f>D$13</f>
        <v>0</v>
      </c>
      <c r="E198" s="48">
        <f>E$13</f>
        <v>0</v>
      </c>
      <c r="F198" s="48">
        <f>F$13</f>
        <v>0</v>
      </c>
      <c r="G198" s="48">
        <f>G$13</f>
        <v>0</v>
      </c>
      <c r="H198" s="36">
        <f>H$13</f>
        <v>0</v>
      </c>
      <c r="I198" s="2"/>
    </row>
    <row r="199">
      <c r="A199" s="3"/>
      <c r="B199" s="31" t="s">
        <v>131</v>
      </c>
      <c r="C199" s="48" t="str">
        <f>C$14</f>
        <v>n/d</v>
      </c>
      <c r="D199" s="48" t="str">
        <f>D$14</f>
        <v>n/d</v>
      </c>
      <c r="E199" s="48" t="str">
        <f>E$14</f>
        <v>n/d</v>
      </c>
      <c r="F199" s="48" t="str">
        <f>F$14</f>
        <v>n/d</v>
      </c>
      <c r="G199" s="48" t="str">
        <f>G$14</f>
        <v>n/d</v>
      </c>
      <c r="H199" s="36" t="str">
        <f>H$14</f>
        <v>n/d</v>
      </c>
      <c r="I199" s="2"/>
    </row>
    <row r="200">
      <c r="A200" s="3"/>
      <c r="B200" s="31" t="s">
        <v>132</v>
      </c>
      <c r="C200" s="48" t="str">
        <f>IF(AND(ISNUMBER(C195),ISNUMBER(C$14)),(1+C195)/((1+C198)*(1+C$14))-1,"n/a")</f>
        <v>n/a</v>
      </c>
      <c r="D200" s="48" t="str">
        <f>IF(AND(ISNUMBER(D195),ISNUMBER(D$14)),(1+D195)/((1+D198)*(1+D$14))-1,"n/a")</f>
        <v>n/a</v>
      </c>
      <c r="E200" s="48" t="str">
        <f>IF(AND(ISNUMBER(E195),ISNUMBER(E$14)),(1+E195)/((1+E198)*(1+E$14))-1,"n/a")</f>
        <v>n/a</v>
      </c>
      <c r="F200" s="48" t="str">
        <f>IF(AND(ISNUMBER(F195),ISNUMBER(F$14)),(1+F195)/((1+F198)*(1+F$14))-1,"n/a")</f>
        <v>n/a</v>
      </c>
      <c r="G200" s="48" t="str">
        <f>IF(AND(ISNUMBER(G195),ISNUMBER(G$14)),(1+G195)/((1+G198)*(1+G$14))-1,"n/a")</f>
        <v>n/a</v>
      </c>
      <c r="H200" s="36" t="str">
        <f>IF(AND(ISNUMBER(H195),ISNUMBER(H$14)),(1+H195)/((1+H198)*(1+H$14))-1,"n/a")</f>
        <v>n/a</v>
      </c>
      <c r="I200" s="2"/>
    </row>
    <row r="201">
      <c r="A201" s="3"/>
      <c r="B201" s="3" t="s">
        <v>89</v>
      </c>
      <c r="C201" s="14">
        <v>604</v>
      </c>
      <c r="D201" s="14">
        <v>581</v>
      </c>
      <c r="E201" s="14">
        <v>2398</v>
      </c>
      <c r="F201" s="14">
        <v>560</v>
      </c>
      <c r="G201" s="14">
        <v>703</v>
      </c>
      <c r="H201" s="13">
        <f>H47*H117/1000</f>
        <v>657.2099010265615</v>
      </c>
      <c r="I201" s="2"/>
    </row>
    <row r="202">
      <c r="A202" s="3"/>
      <c r="B202" s="31" t="s">
        <v>78</v>
      </c>
      <c r="C202" s="8">
        <f>IFERROR(C201/Inputs!C120-1,"n/a")</f>
        <v>0.004991680532445919</v>
      </c>
      <c r="D202" s="8">
        <f>IFERROR(D201/Inputs!D120-1,"n/a")</f>
        <v>0</v>
      </c>
      <c r="E202" s="8">
        <f>IFERROR(E201/Inputs!E120-1,"n/a")</f>
        <v>-0.022022838499184294</v>
      </c>
      <c r="F202" s="8">
        <f>IFERROR(F201/Inputs!F120-1,"n/a")</f>
        <v>-0.03614457831325302</v>
      </c>
      <c r="G202" s="8">
        <f>IFERROR(G201/Inputs!G120-1,"n/a")</f>
        <v>0.11234177215189867</v>
      </c>
      <c r="H202" s="36">
        <f>H201/C201-1</f>
        <v>0.08809586262675739</v>
      </c>
      <c r="I202" s="2"/>
    </row>
    <row r="203">
      <c r="A203" s="3"/>
      <c r="B203" s="31" t="s">
        <v>121</v>
      </c>
      <c r="C203" s="8">
        <f>C201/Inputs!G120-1</f>
        <v>-0.044303797468354444</v>
      </c>
      <c r="D203" s="48">
        <f>D201/C201-1</f>
        <v>-0.038079470198675525</v>
      </c>
      <c r="E203" s="48"/>
      <c r="F203" s="48">
        <f>F201/D201-1</f>
        <v>-0.03614457831325302</v>
      </c>
      <c r="G203" s="48">
        <f>G201/F201-1</f>
        <v>0.25535714285714284</v>
      </c>
      <c r="H203" s="36">
        <f>H201/G201-1</f>
        <v>-0.06513527592238766</v>
      </c>
      <c r="I203" s="2"/>
    </row>
    <row r="204">
      <c r="A204" s="3"/>
      <c r="B204" s="31" t="s">
        <v>122</v>
      </c>
      <c r="C204" s="48">
        <f>C201/C260</f>
        <v>0.09673286354900705</v>
      </c>
      <c r="D204" s="48">
        <f>D201/D260</f>
        <v>0.09548069022185703</v>
      </c>
      <c r="E204" s="48">
        <f>E201/E260</f>
        <v>0.09783761729906161</v>
      </c>
      <c r="F204" s="48">
        <f>F201/F260</f>
        <v>0.09007559916358372</v>
      </c>
      <c r="G204" s="48">
        <f>G201/G260</f>
        <v>0.10241841491841491</v>
      </c>
      <c r="H204" s="36">
        <f>H201/H260</f>
        <v>0.09159962317471133</v>
      </c>
      <c r="I204" s="2"/>
    </row>
    <row r="205">
      <c r="A205" s="3"/>
      <c r="B205" s="31" t="s">
        <v>123</v>
      </c>
      <c r="C205" s="48">
        <f>C$13</f>
        <v>0</v>
      </c>
      <c r="D205" s="48">
        <f>D$13</f>
        <v>0</v>
      </c>
      <c r="E205" s="48">
        <f>E$13</f>
        <v>0</v>
      </c>
      <c r="F205" s="48">
        <f>F$13</f>
        <v>0</v>
      </c>
      <c r="G205" s="48">
        <f>G$13</f>
        <v>0</v>
      </c>
      <c r="H205" s="36">
        <f>H$13</f>
        <v>0</v>
      </c>
      <c r="I205" s="2"/>
    </row>
    <row r="206">
      <c r="A206" s="3"/>
      <c r="B206" s="31" t="s">
        <v>124</v>
      </c>
      <c r="C206" s="48" t="str">
        <f>C$14</f>
        <v>n/d</v>
      </c>
      <c r="D206" s="48" t="str">
        <f>D$14</f>
        <v>n/d</v>
      </c>
      <c r="E206" s="48" t="str">
        <f>E$14</f>
        <v>n/d</v>
      </c>
      <c r="F206" s="48" t="str">
        <f>F$14</f>
        <v>n/d</v>
      </c>
      <c r="G206" s="48" t="str">
        <f>G$14</f>
        <v>n/d</v>
      </c>
      <c r="H206" s="36" t="str">
        <f>H$14</f>
        <v>n/d</v>
      </c>
      <c r="I206" s="2"/>
    </row>
    <row r="207">
      <c r="A207" s="3"/>
      <c r="B207" s="31" t="s">
        <v>125</v>
      </c>
      <c r="C207" s="48" t="str">
        <f>IF(AND(ISNUMBER(C202),ISNUMBER(C$14)),(1+C202)/((1+C205)*(1+C$14))-1,"n/a")</f>
        <v>n/a</v>
      </c>
      <c r="D207" s="48" t="str">
        <f>IF(AND(ISNUMBER(D202),ISNUMBER(D$14)),(1+D202)/((1+D205)*(1+D$14))-1,"n/a")</f>
        <v>n/a</v>
      </c>
      <c r="E207" s="48" t="str">
        <f>IF(AND(ISNUMBER(E202),ISNUMBER(E$14)),(1+E202)/((1+E205)*(1+E$14))-1,"n/a")</f>
        <v>n/a</v>
      </c>
      <c r="F207" s="48" t="str">
        <f>IF(AND(ISNUMBER(F202),ISNUMBER(F$14)),(1+F202)/((1+F205)*(1+F$14))-1,"n/a")</f>
        <v>n/a</v>
      </c>
      <c r="G207" s="48" t="str">
        <f>IF(AND(ISNUMBER(G202),ISNUMBER(G$14)),(1+G202)/((1+G205)*(1+G$14))-1,"n/a")</f>
        <v>n/a</v>
      </c>
      <c r="H207" s="36" t="str">
        <f>IF(AND(ISNUMBER(H202),ISNUMBER(H$14)),(1+H202)/((1+H205)*(1+H$14))-1,"n/a")</f>
        <v>n/a</v>
      </c>
      <c r="I207" s="2"/>
    </row>
    <row r="208">
      <c r="A208" s="3"/>
      <c r="B208" s="3" t="s">
        <v>90</v>
      </c>
      <c r="C208" s="14">
        <v>1199</v>
      </c>
      <c r="D208" s="14">
        <v>1143</v>
      </c>
      <c r="E208" s="14">
        <v>4632</v>
      </c>
      <c r="F208" s="14">
        <v>1116</v>
      </c>
      <c r="G208" s="14">
        <v>1386</v>
      </c>
      <c r="H208" s="13">
        <f>H50*H120/1000</f>
        <v>1554.200474479917</v>
      </c>
      <c r="I208" s="2"/>
    </row>
    <row r="209">
      <c r="A209" s="3"/>
      <c r="B209" s="31" t="s">
        <v>78</v>
      </c>
      <c r="C209" s="8">
        <f>IFERROR(C208/Inputs!C121-1,"n/a")</f>
        <v>-0.03384367445608383</v>
      </c>
      <c r="D209" s="8">
        <f>IFERROR(D208/Inputs!D121-1,"n/a")</f>
        <v>-0.08706070287539935</v>
      </c>
      <c r="E209" s="8">
        <f>IFERROR(E208/Inputs!E121-1,"n/a")</f>
        <v>-0.01697792869269954</v>
      </c>
      <c r="F209" s="8">
        <f>IFERROR(F208/Inputs!F121-1,"n/a")</f>
        <v>-0.06375838926174493</v>
      </c>
      <c r="G209" s="8">
        <f>IFERROR(G208/Inputs!G121-1,"n/a")</f>
        <v>0.2622950819672132</v>
      </c>
      <c r="H209" s="36">
        <f>H208/C208-1</f>
        <v>0.296247268123367</v>
      </c>
      <c r="I209" s="2"/>
    </row>
    <row r="210">
      <c r="A210" s="3"/>
      <c r="B210" s="31" t="s">
        <v>121</v>
      </c>
      <c r="C210" s="8">
        <f>C208/Inputs!G121-1</f>
        <v>0.09198542805100174</v>
      </c>
      <c r="D210" s="48">
        <f>D208/C208-1</f>
        <v>-0.04670558798999169</v>
      </c>
      <c r="E210" s="48"/>
      <c r="F210" s="48">
        <f>F208/D208-1</f>
        <v>-0.023622047244094446</v>
      </c>
      <c r="G210" s="48">
        <f>G208/F208-1</f>
        <v>0.24193548387096775</v>
      </c>
      <c r="H210" s="36">
        <f>H208/G208-1</f>
        <v>0.12135676369402382</v>
      </c>
      <c r="I210" s="2"/>
    </row>
    <row r="211">
      <c r="A211" s="3"/>
      <c r="B211" s="31" t="s">
        <v>122</v>
      </c>
      <c r="C211" s="48">
        <f>C208/C260</f>
        <v>0.19202434336963484</v>
      </c>
      <c r="D211" s="48">
        <f>D208/D260</f>
        <v>0.18783894823336073</v>
      </c>
      <c r="E211" s="48">
        <f>E208/E260</f>
        <v>0.18898408812729497</v>
      </c>
      <c r="F211" s="48">
        <f>F208/F260</f>
        <v>0.1795078011902847</v>
      </c>
      <c r="G211" s="48">
        <f>G208/G260</f>
        <v>0.20192307692307693</v>
      </c>
      <c r="H211" s="36">
        <f>H208/H260</f>
        <v>0.2166190399413417</v>
      </c>
      <c r="I211" s="2"/>
    </row>
    <row r="212">
      <c r="A212" s="3"/>
      <c r="B212" s="31" t="s">
        <v>123</v>
      </c>
      <c r="C212" s="48">
        <f>C$13</f>
        <v>0</v>
      </c>
      <c r="D212" s="48">
        <f>D$13</f>
        <v>0</v>
      </c>
      <c r="E212" s="48">
        <f>E$13</f>
        <v>0</v>
      </c>
      <c r="F212" s="48">
        <f>F$13</f>
        <v>0</v>
      </c>
      <c r="G212" s="48">
        <f>G$13</f>
        <v>0</v>
      </c>
      <c r="H212" s="36">
        <f>H$13</f>
        <v>0</v>
      </c>
      <c r="I212" s="2"/>
    </row>
    <row r="213">
      <c r="A213" s="3"/>
      <c r="B213" s="31" t="s">
        <v>124</v>
      </c>
      <c r="C213" s="48" t="str">
        <f>C$14</f>
        <v>n/d</v>
      </c>
      <c r="D213" s="48" t="str">
        <f>D$14</f>
        <v>n/d</v>
      </c>
      <c r="E213" s="48" t="str">
        <f>E$14</f>
        <v>n/d</v>
      </c>
      <c r="F213" s="48" t="str">
        <f>F$14</f>
        <v>n/d</v>
      </c>
      <c r="G213" s="48" t="str">
        <f>G$14</f>
        <v>n/d</v>
      </c>
      <c r="H213" s="36" t="str">
        <f>H$14</f>
        <v>n/d</v>
      </c>
      <c r="I213" s="2"/>
    </row>
    <row r="214">
      <c r="A214" s="3"/>
      <c r="B214" s="31" t="s">
        <v>125</v>
      </c>
      <c r="C214" s="48" t="str">
        <f>IF(AND(ISNUMBER(C209),ISNUMBER(C$14)),(1+C209)/((1+C212)*(1+C$14))-1,"n/a")</f>
        <v>n/a</v>
      </c>
      <c r="D214" s="48" t="str">
        <f>IF(AND(ISNUMBER(D209),ISNUMBER(D$14)),(1+D209)/((1+D212)*(1+D$14))-1,"n/a")</f>
        <v>n/a</v>
      </c>
      <c r="E214" s="48" t="str">
        <f>IF(AND(ISNUMBER(E209),ISNUMBER(E$14)),(1+E209)/((1+E212)*(1+E$14))-1,"n/a")</f>
        <v>n/a</v>
      </c>
      <c r="F214" s="48" t="str">
        <f>IF(AND(ISNUMBER(F209),ISNUMBER(F$14)),(1+F209)/((1+F212)*(1+F$14))-1,"n/a")</f>
        <v>n/a</v>
      </c>
      <c r="G214" s="48" t="str">
        <f>IF(AND(ISNUMBER(G209),ISNUMBER(G$14)),(1+G209)/((1+G212)*(1+G$14))-1,"n/a")</f>
        <v>n/a</v>
      </c>
      <c r="H214" s="36" t="str">
        <f>IF(AND(ISNUMBER(H209),ISNUMBER(H$14)),(1+H209)/((1+H212)*(1+H$14))-1,"n/a")</f>
        <v>n/a</v>
      </c>
      <c r="I214" s="2"/>
    </row>
    <row r="215">
      <c r="A215" s="3"/>
      <c r="B215" s="15" t="s">
        <v>134</v>
      </c>
      <c r="C215" s="16">
        <f>C201+C208</f>
        <v>1803</v>
      </c>
      <c r="D215" s="16">
        <f>D201+D208</f>
        <v>1724</v>
      </c>
      <c r="E215" s="16">
        <f>E201+E208</f>
        <v>7030</v>
      </c>
      <c r="F215" s="16">
        <f>F201+F208</f>
        <v>1676</v>
      </c>
      <c r="G215" s="16">
        <f>G201+G208</f>
        <v>2089</v>
      </c>
      <c r="H215" s="17">
        <f>H201+H208</f>
        <v>2211.4103755064784</v>
      </c>
      <c r="I215" s="2"/>
    </row>
    <row r="216">
      <c r="A216" s="3"/>
      <c r="B216" s="31" t="s">
        <v>127</v>
      </c>
      <c r="C216" s="8">
        <f>IFERROR(C215/Inputs!C124-1,"n/a")</f>
        <v>-0.021172638436482094</v>
      </c>
      <c r="D216" s="8">
        <f>IFERROR(D215/Inputs!D124-1,"n/a")</f>
        <v>-0.059465357337697755</v>
      </c>
      <c r="E216" s="8">
        <f>IFERROR(E215/Inputs!E124-1,"n/a")</f>
        <v>-0.01870463428252378</v>
      </c>
      <c r="F216" s="8">
        <f>IFERROR(F215/Inputs!F124-1,"n/a")</f>
        <v>-0.054709531866892314</v>
      </c>
      <c r="G216" s="8">
        <f>IFERROR(G215/Inputs!G124-1,"n/a")</f>
        <v>0.2075144508670521</v>
      </c>
      <c r="H216" s="36">
        <f>H215/C215-1</f>
        <v>0.22651712451829087</v>
      </c>
      <c r="I216" s="2"/>
    </row>
    <row r="217">
      <c r="A217" s="3"/>
      <c r="B217" s="31" t="s">
        <v>128</v>
      </c>
      <c r="C217" s="8">
        <f>C215/Inputs!G124-1</f>
        <v>0.04219653179190752</v>
      </c>
      <c r="D217" s="48">
        <f>D215/C215-1</f>
        <v>-0.043815862451469734</v>
      </c>
      <c r="E217" s="48"/>
      <c r="F217" s="48">
        <f>F215/D215-1</f>
        <v>-0.02784222737819031</v>
      </c>
      <c r="G217" s="48">
        <f>G215/F215-1</f>
        <v>0.246420047732697</v>
      </c>
      <c r="H217" s="36">
        <f>H215/G215-1</f>
        <v>0.058597594785293694</v>
      </c>
      <c r="I217" s="2"/>
    </row>
    <row r="218">
      <c r="A218" s="3"/>
      <c r="B218" s="31" t="s">
        <v>129</v>
      </c>
      <c r="C218" s="48">
        <f>C215/C260</f>
        <v>0.2887572069186419</v>
      </c>
      <c r="D218" s="48">
        <f>D215/D260</f>
        <v>0.28331963845521774</v>
      </c>
      <c r="E218" s="48">
        <f>E215/E260</f>
        <v>0.2868217054263566</v>
      </c>
      <c r="F218" s="48">
        <f>F215/F260</f>
        <v>0.2695834003538684</v>
      </c>
      <c r="G218" s="48">
        <f>G215/G260</f>
        <v>0.30434149184149184</v>
      </c>
      <c r="H218" s="36">
        <f>H215/H260</f>
        <v>0.30821866311605306</v>
      </c>
      <c r="I218" s="2"/>
    </row>
    <row r="219">
      <c r="A219" s="3"/>
      <c r="B219" s="31" t="s">
        <v>130</v>
      </c>
      <c r="C219" s="48">
        <f>C$13</f>
        <v>0</v>
      </c>
      <c r="D219" s="48">
        <f>D$13</f>
        <v>0</v>
      </c>
      <c r="E219" s="48">
        <f>E$13</f>
        <v>0</v>
      </c>
      <c r="F219" s="48">
        <f>F$13</f>
        <v>0</v>
      </c>
      <c r="G219" s="48">
        <f>G$13</f>
        <v>0</v>
      </c>
      <c r="H219" s="36">
        <f>H$13</f>
        <v>0</v>
      </c>
      <c r="I219" s="2"/>
    </row>
    <row r="220">
      <c r="A220" s="3"/>
      <c r="B220" s="31" t="s">
        <v>131</v>
      </c>
      <c r="C220" s="48" t="str">
        <f>C$14</f>
        <v>n/d</v>
      </c>
      <c r="D220" s="48" t="str">
        <f>D$14</f>
        <v>n/d</v>
      </c>
      <c r="E220" s="48" t="str">
        <f>E$14</f>
        <v>n/d</v>
      </c>
      <c r="F220" s="48" t="str">
        <f>F$14</f>
        <v>n/d</v>
      </c>
      <c r="G220" s="48" t="str">
        <f>G$14</f>
        <v>n/d</v>
      </c>
      <c r="H220" s="36" t="str">
        <f>H$14</f>
        <v>n/d</v>
      </c>
      <c r="I220" s="2"/>
    </row>
    <row r="221">
      <c r="A221" s="3"/>
      <c r="B221" s="31" t="s">
        <v>132</v>
      </c>
      <c r="C221" s="48" t="str">
        <f>IF(AND(ISNUMBER(C216),ISNUMBER(C$14)),(1+C216)/((1+C219)*(1+C$14))-1,"n/a")</f>
        <v>n/a</v>
      </c>
      <c r="D221" s="48" t="str">
        <f>IF(AND(ISNUMBER(D216),ISNUMBER(D$14)),(1+D216)/((1+D219)*(1+D$14))-1,"n/a")</f>
        <v>n/a</v>
      </c>
      <c r="E221" s="48" t="str">
        <f>IF(AND(ISNUMBER(E216),ISNUMBER(E$14)),(1+E216)/((1+E219)*(1+E$14))-1,"n/a")</f>
        <v>n/a</v>
      </c>
      <c r="F221" s="48" t="str">
        <f>IF(AND(ISNUMBER(F216),ISNUMBER(F$14)),(1+F216)/((1+F219)*(1+F$14))-1,"n/a")</f>
        <v>n/a</v>
      </c>
      <c r="G221" s="48" t="str">
        <f>IF(AND(ISNUMBER(G216),ISNUMBER(G$14)),(1+G216)/((1+G219)*(1+G$14))-1,"n/a")</f>
        <v>n/a</v>
      </c>
      <c r="H221" s="36" t="str">
        <f>IF(AND(ISNUMBER(H216),ISNUMBER(H$14)),(1+H216)/((1+H219)*(1+H$14))-1,"n/a")</f>
        <v>n/a</v>
      </c>
      <c r="I221" s="2"/>
    </row>
    <row r="222">
      <c r="A222" s="3"/>
      <c r="B222" s="15" t="s">
        <v>135</v>
      </c>
      <c r="C222" s="16">
        <f>C159+C194+C215</f>
        <v>5927</v>
      </c>
      <c r="D222" s="16">
        <f>D159+D194+D215</f>
        <v>5759</v>
      </c>
      <c r="E222" s="16">
        <f>E159+E194+E215</f>
        <v>23220</v>
      </c>
      <c r="F222" s="16">
        <f>F159+F194+F215</f>
        <v>5893</v>
      </c>
      <c r="G222" s="16">
        <f>G159+G194+G215</f>
        <v>6518</v>
      </c>
      <c r="H222" s="17">
        <f>H159+H194+H215</f>
        <v>6829.280094721033</v>
      </c>
      <c r="I222" s="2"/>
    </row>
    <row r="223">
      <c r="A223" s="3"/>
      <c r="B223" s="3" t="s">
        <v>136</v>
      </c>
      <c r="C223" s="14">
        <v>5927</v>
      </c>
      <c r="D223" s="14">
        <v>5759</v>
      </c>
      <c r="E223" s="14">
        <v>23220</v>
      </c>
      <c r="F223" s="14">
        <v>5893</v>
      </c>
      <c r="G223" s="14">
        <v>6518</v>
      </c>
      <c r="H223" s="13">
        <f>H222</f>
        <v>6829.280094721033</v>
      </c>
      <c r="I223" s="2"/>
    </row>
    <row r="224">
      <c r="A224" s="3"/>
      <c r="B224" s="31" t="s">
        <v>137</v>
      </c>
      <c r="C224" s="53">
        <f>C222-C223</f>
        <v>0</v>
      </c>
      <c r="D224" s="53">
        <f>D222-D223</f>
        <v>0</v>
      </c>
      <c r="E224" s="53">
        <f>E222-E223</f>
        <v>0</v>
      </c>
      <c r="F224" s="53">
        <f>F222-F223</f>
        <v>0</v>
      </c>
      <c r="G224" s="53">
        <f>G222-G223</f>
        <v>0</v>
      </c>
      <c r="H224" s="57">
        <f>H222-H223</f>
        <v>0</v>
      </c>
      <c r="I224" s="2"/>
    </row>
    <row r="225">
      <c r="A225" s="3"/>
      <c r="B225" s="31" t="s">
        <v>36</v>
      </c>
      <c r="C225" s="5" t="b">
        <f>ABS(C224)&lt;0.5</f>
        <v>1</v>
      </c>
      <c r="D225" s="5" t="b">
        <f>ABS(D224)&lt;0.5</f>
        <v>1</v>
      </c>
      <c r="E225" s="5" t="b">
        <f>ABS(E224)&lt;0.5</f>
        <v>1</v>
      </c>
      <c r="F225" s="5" t="b">
        <f>ABS(F224)&lt;0.5</f>
        <v>1</v>
      </c>
      <c r="G225" s="5" t="b">
        <f>ABS(G224)&lt;0.5</f>
        <v>1</v>
      </c>
      <c r="H225" s="69" t="b">
        <f>ABS(H224)&lt;0.5</f>
        <v>1</v>
      </c>
      <c r="I225" s="2" t="s">
        <v>138</v>
      </c>
    </row>
    <row r="226">
      <c r="A226" s="3"/>
      <c r="B226" s="31" t="s">
        <v>78</v>
      </c>
      <c r="C226" s="8">
        <f>IFERROR(C223/Inputs!C125-1,"n/a")</f>
        <v>0.02756588072122046</v>
      </c>
      <c r="D226" s="8">
        <f>IFERROR(D223/Inputs!D125-1,"n/a")</f>
        <v>-0.005182242183451424</v>
      </c>
      <c r="E226" s="8">
        <f>IFERROR(E223/Inputs!E125-1,"n/a")</f>
        <v>0.017929946078646175</v>
      </c>
      <c r="F226" s="8">
        <f>IFERROR(F223/Inputs!F125-1,"n/a")</f>
        <v>0.03549464066069241</v>
      </c>
      <c r="G226" s="8">
        <f>IFERROR(G223/Inputs!G125-1,"n/a")</f>
        <v>0.11552284785213085</v>
      </c>
      <c r="H226" s="36">
        <f>H223/C223-1</f>
        <v>0.15223217390265442</v>
      </c>
      <c r="I226" s="2"/>
    </row>
    <row r="227">
      <c r="A227" s="3"/>
      <c r="B227" s="31" t="s">
        <v>121</v>
      </c>
      <c r="C227" s="8">
        <f>C223/Inputs!G125-1</f>
        <v>0.014376176621598402</v>
      </c>
      <c r="D227" s="48">
        <f>D223/C223-1</f>
        <v>-0.028344862493673073</v>
      </c>
      <c r="E227" s="48"/>
      <c r="F227" s="48">
        <f>F223/D223-1</f>
        <v>0.02326792845980208</v>
      </c>
      <c r="G227" s="48">
        <f>G223/F223-1</f>
        <v>0.10605803495672839</v>
      </c>
      <c r="H227" s="36">
        <f>H223/G223-1</f>
        <v>0.047756995201140295</v>
      </c>
      <c r="I227" s="2"/>
    </row>
    <row r="228">
      <c r="A228" s="3"/>
      <c r="B228" s="31" t="s">
        <v>122</v>
      </c>
      <c r="C228" s="48">
        <f>C223/C260</f>
        <v>0.9492312620115311</v>
      </c>
      <c r="D228" s="48">
        <f>D223/D260</f>
        <v>0.9464256368118323</v>
      </c>
      <c r="E228" s="48">
        <f>E223/E260</f>
        <v>0.9473684210526315</v>
      </c>
      <c r="F228" s="48">
        <f>F223/F260</f>
        <v>0.947884831912498</v>
      </c>
      <c r="G228" s="48">
        <f>G223/G260</f>
        <v>0.9495920745920746</v>
      </c>
      <c r="H228" s="36">
        <f>H223/H260</f>
        <v>0.951841234062177</v>
      </c>
      <c r="I228" s="2"/>
    </row>
    <row r="229">
      <c r="A229" s="3"/>
      <c r="B229" s="31" t="s">
        <v>123</v>
      </c>
      <c r="C229" s="48">
        <f>C$13</f>
        <v>0</v>
      </c>
      <c r="D229" s="48">
        <f>D$13</f>
        <v>0</v>
      </c>
      <c r="E229" s="48">
        <f>E$13</f>
        <v>0</v>
      </c>
      <c r="F229" s="48">
        <f>F$13</f>
        <v>0</v>
      </c>
      <c r="G229" s="48">
        <f>G$13</f>
        <v>0</v>
      </c>
      <c r="H229" s="36">
        <f>H$13</f>
        <v>0</v>
      </c>
      <c r="I229" s="2"/>
    </row>
    <row r="230">
      <c r="A230" s="3"/>
      <c r="B230" s="31" t="s">
        <v>124</v>
      </c>
      <c r="C230" s="48" t="str">
        <f>C$14</f>
        <v>n/d</v>
      </c>
      <c r="D230" s="48" t="str">
        <f>D$14</f>
        <v>n/d</v>
      </c>
      <c r="E230" s="48" t="str">
        <f>E$14</f>
        <v>n/d</v>
      </c>
      <c r="F230" s="48" t="str">
        <f>F$14</f>
        <v>n/d</v>
      </c>
      <c r="G230" s="48" t="str">
        <f>G$14</f>
        <v>n/d</v>
      </c>
      <c r="H230" s="36" t="str">
        <f>H$14</f>
        <v>n/d</v>
      </c>
      <c r="I230" s="2"/>
    </row>
    <row r="231">
      <c r="A231" s="3"/>
      <c r="B231" s="31" t="s">
        <v>125</v>
      </c>
      <c r="C231" s="48" t="str">
        <f>IF(AND(ISNUMBER(C226),ISNUMBER(C$14)),(1+C226)/((1+C229)*(1+C$14))-1,"n/a")</f>
        <v>n/a</v>
      </c>
      <c r="D231" s="48" t="str">
        <f>IF(AND(ISNUMBER(D226),ISNUMBER(D$14)),(1+D226)/((1+D229)*(1+D$14))-1,"n/a")</f>
        <v>n/a</v>
      </c>
      <c r="E231" s="48" t="str">
        <f>IF(AND(ISNUMBER(E226),ISNUMBER(E$14)),(1+E226)/((1+E229)*(1+E$14))-1,"n/a")</f>
        <v>n/a</v>
      </c>
      <c r="F231" s="48" t="str">
        <f>IF(AND(ISNUMBER(F226),ISNUMBER(F$14)),(1+F226)/((1+F229)*(1+F$14))-1,"n/a")</f>
        <v>n/a</v>
      </c>
      <c r="G231" s="48" t="str">
        <f>IF(AND(ISNUMBER(G226),ISNUMBER(G$14)),(1+G226)/((1+G229)*(1+G$14))-1,"n/a")</f>
        <v>n/a</v>
      </c>
      <c r="H231" s="36" t="str">
        <f>IF(AND(ISNUMBER(H226),ISNUMBER(H$14)),(1+H226)/((1+H229)*(1+H$14))-1,"n/a")</f>
        <v>n/a</v>
      </c>
      <c r="I231" s="2"/>
    </row>
    <row r="232">
      <c r="A232" s="3"/>
      <c r="B232" s="31" t="s">
        <v>139</v>
      </c>
      <c r="C232" s="8">
        <f>IF(ISNUMBER(Inputs!C128),(C236-Inputs!C128)/Inputs!C125,"n/a")</f>
        <v>-0.00572122052704577</v>
      </c>
      <c r="D232" s="8">
        <f>IF(ISNUMBER(Inputs!D128),(D236-Inputs!D128)/Inputs!D125,"n/a")</f>
        <v>0.0025911210917256866</v>
      </c>
      <c r="E232" s="8" t="str">
        <f>IF(ISNUMBER(Inputs!E128),(E236-Inputs!E128)/Inputs!E125,"n/a")</f>
        <v>n/a</v>
      </c>
      <c r="F232" s="8">
        <f>IF(ISNUMBER(Inputs!F128),(F236-Inputs!F128)/Inputs!F125,"n/a")</f>
        <v>0.007555789843612722</v>
      </c>
      <c r="G232" s="8">
        <f>IF(ISNUMBER(Inputs!G128),(G236-Inputs!G128)/Inputs!G125,"n/a")</f>
        <v>0.07855553653944891</v>
      </c>
      <c r="H232" s="36">
        <f>(H236-C236)/C223</f>
        <v>0.09762914350802902</v>
      </c>
      <c r="I232" s="2"/>
    </row>
    <row r="233">
      <c r="A233" s="3"/>
      <c r="B233" s="31" t="s">
        <v>140</v>
      </c>
      <c r="C233" s="48">
        <f>IFERROR(C226-C232,"n/a")</f>
        <v>0.033287101248266227</v>
      </c>
      <c r="D233" s="48">
        <f>IFERROR(D226-D232,"n/a")</f>
        <v>-0.00777336327517711</v>
      </c>
      <c r="E233" s="48" t="str">
        <f>IFERROR(E226-E232,"n/a")</f>
        <v>n/a</v>
      </c>
      <c r="F233" s="48">
        <f>IFERROR(F226-F232,"n/a")</f>
        <v>0.02793885081707969</v>
      </c>
      <c r="G233" s="48">
        <f>IFERROR(G226-G232,"n/a")</f>
        <v>0.03696731131268194</v>
      </c>
      <c r="H233" s="36">
        <f>IFERROR(H226-H232,"n/a")</f>
        <v>0.0546030303946254</v>
      </c>
      <c r="I233" s="2"/>
    </row>
    <row r="234">
      <c r="A234" s="3"/>
      <c r="B234" s="3"/>
      <c r="C234" s="12"/>
      <c r="D234" s="12"/>
      <c r="E234" s="12"/>
      <c r="F234" s="12"/>
      <c r="G234" s="12"/>
      <c r="H234" s="41"/>
      <c r="I234" s="2"/>
    </row>
    <row r="235">
      <c r="A235" s="3"/>
      <c r="B235" s="50" t="s">
        <v>141</v>
      </c>
      <c r="C235" s="12"/>
      <c r="D235" s="12"/>
      <c r="E235" s="12"/>
      <c r="F235" s="12"/>
      <c r="G235" s="12"/>
      <c r="H235" s="41"/>
      <c r="I235" s="2"/>
    </row>
    <row r="236">
      <c r="A236" s="3"/>
      <c r="B236" s="15" t="s">
        <v>142</v>
      </c>
      <c r="C236" s="9">
        <v>602</v>
      </c>
      <c r="D236" s="9">
        <v>603</v>
      </c>
      <c r="E236" s="93">
        <f>Inputs!F128+Inputs!G128+C236+D236</f>
        <v>2339</v>
      </c>
      <c r="F236" s="9">
        <v>608</v>
      </c>
      <c r="G236" s="9">
        <v>1028</v>
      </c>
      <c r="H236" s="17">
        <f>H243</f>
        <v>1180.647933572088</v>
      </c>
      <c r="I236" s="2"/>
    </row>
    <row r="237">
      <c r="A237" s="3"/>
      <c r="B237" s="31" t="s">
        <v>78</v>
      </c>
      <c r="C237" s="8">
        <f>IFERROR(C236/Inputs!C128-1,"n/a")</f>
        <v>-0.051968503937007915</v>
      </c>
      <c r="D237" s="8">
        <f>IFERROR(D236/Inputs!D128-1,"n/a")</f>
        <v>0.025510204081632626</v>
      </c>
      <c r="E237" s="48" t="s">
        <v>143</v>
      </c>
      <c r="F237" s="8">
        <f>IFERROR(F236/Inputs!F128-1,"n/a")</f>
        <v>0.07610619469026547</v>
      </c>
      <c r="G237" s="8">
        <f>IFERROR(G236/Inputs!G128-1,"n/a")</f>
        <v>0.8066783831282953</v>
      </c>
      <c r="H237" s="36">
        <f>H236/C236-1</f>
        <v>0.9612091919802128</v>
      </c>
      <c r="I237" s="2"/>
    </row>
    <row r="238">
      <c r="A238" s="3"/>
      <c r="B238" s="3" t="s">
        <v>144</v>
      </c>
      <c r="C238" s="6">
        <f>C236-Inputs!G128</f>
        <v>33</v>
      </c>
      <c r="D238" s="4">
        <f>D236-C236</f>
        <v>1</v>
      </c>
      <c r="E238" s="4"/>
      <c r="F238" s="4">
        <f>F236-D236</f>
        <v>5</v>
      </c>
      <c r="G238" s="4">
        <f>G236-F236</f>
        <v>420</v>
      </c>
      <c r="H238" s="13">
        <f>H236-G236</f>
        <v>152.64793357208805</v>
      </c>
      <c r="I238" s="2"/>
    </row>
    <row r="239">
      <c r="A239" s="3"/>
      <c r="B239" s="3" t="s">
        <v>145</v>
      </c>
      <c r="C239" s="4">
        <f>C208</f>
        <v>1199</v>
      </c>
      <c r="D239" s="4">
        <f>D208</f>
        <v>1143</v>
      </c>
      <c r="E239" s="4">
        <f>E208</f>
        <v>4632</v>
      </c>
      <c r="F239" s="4">
        <f>F208</f>
        <v>1116</v>
      </c>
      <c r="G239" s="4">
        <f>G208</f>
        <v>1386</v>
      </c>
      <c r="H239" s="13">
        <f>H208</f>
        <v>1554.200474479917</v>
      </c>
      <c r="I239" s="2"/>
    </row>
    <row r="240">
      <c r="A240" s="3"/>
      <c r="B240" s="3" t="s">
        <v>146</v>
      </c>
      <c r="C240" s="4">
        <f>C223-C239</f>
        <v>4728</v>
      </c>
      <c r="D240" s="4">
        <f>D223-D239</f>
        <v>4616</v>
      </c>
      <c r="E240" s="4">
        <f>E223-E239</f>
        <v>18588</v>
      </c>
      <c r="F240" s="4">
        <f>F223-F239</f>
        <v>4777</v>
      </c>
      <c r="G240" s="4">
        <f>G223-G239</f>
        <v>5132</v>
      </c>
      <c r="H240" s="13">
        <f>H223-H239</f>
        <v>5275.079620241116</v>
      </c>
      <c r="I240" s="2"/>
    </row>
    <row r="241">
      <c r="A241" s="3"/>
      <c r="B241" s="3" t="s">
        <v>147</v>
      </c>
      <c r="C241" s="4">
        <f>C240*C77/(1+C77)</f>
        <v>417.05779288512184</v>
      </c>
      <c r="D241" s="4">
        <f>D240*D77/(1+D77)</f>
        <v>425.1530421772068</v>
      </c>
      <c r="E241" s="4">
        <f>E240*E77/(1+E77)</f>
        <v>1640.763635833175</v>
      </c>
      <c r="F241" s="4">
        <f>F240*F77/(1+F77)</f>
        <v>426.6540851177917</v>
      </c>
      <c r="G241" s="4">
        <f>G240*G77/(1+G77)</f>
        <v>665.6069100636225</v>
      </c>
      <c r="H241" s="13">
        <f>H240*H77/(1+H77)</f>
        <v>774.0601267768252</v>
      </c>
      <c r="I241" s="2"/>
    </row>
    <row r="242">
      <c r="A242" s="3"/>
      <c r="B242" s="3" t="s">
        <v>148</v>
      </c>
      <c r="C242" s="4">
        <f>C239*C80/(1+C80)</f>
        <v>185.2402619034333</v>
      </c>
      <c r="D242" s="4">
        <f>D239*D80/(1+D80)</f>
        <v>176.20043011161968</v>
      </c>
      <c r="E242" s="4">
        <f>E239*E80/(1+E80)</f>
        <v>689.2465331731377</v>
      </c>
      <c r="F242" s="4">
        <f>F239*F80/(1+F80)</f>
        <v>181.21409089243363</v>
      </c>
      <c r="G242" s="4">
        <f>G239*G80/(1+G80)</f>
        <v>362.5377557141831</v>
      </c>
      <c r="H242" s="13">
        <f>H239*H80/(1+H80)</f>
        <v>406.58780679526285</v>
      </c>
      <c r="I242" s="2"/>
    </row>
    <row r="243">
      <c r="A243" s="3"/>
      <c r="B243" s="15" t="s">
        <v>149</v>
      </c>
      <c r="C243" s="16">
        <f>C241+C242</f>
        <v>602.2980547885552</v>
      </c>
      <c r="D243" s="16">
        <f>D241+D242</f>
        <v>601.3534722888265</v>
      </c>
      <c r="E243" s="16">
        <f>E241+E242</f>
        <v>2330.0101690063125</v>
      </c>
      <c r="F243" s="16">
        <f>F241+F242</f>
        <v>607.8681760102253</v>
      </c>
      <c r="G243" s="16">
        <f>G241+G242</f>
        <v>1028.1446657778056</v>
      </c>
      <c r="H243" s="17">
        <f>H241+H242</f>
        <v>1180.647933572088</v>
      </c>
      <c r="I243" s="2"/>
    </row>
    <row r="244">
      <c r="A244" s="3"/>
      <c r="B244" s="31" t="s">
        <v>150</v>
      </c>
      <c r="C244" s="53">
        <f>C243-C236</f>
        <v>0.2980547885551914</v>
      </c>
      <c r="D244" s="53">
        <f>D243-D236</f>
        <v>-1.6465277111734622</v>
      </c>
      <c r="E244" s="53">
        <f>E243-E236</f>
        <v>-8.98983099368752</v>
      </c>
      <c r="F244" s="53">
        <f>F243-F236</f>
        <v>-0.1318239897747162</v>
      </c>
      <c r="G244" s="53">
        <f>G243-G236</f>
        <v>0.1446657778055851</v>
      </c>
      <c r="H244" s="57"/>
      <c r="I244" s="2" t="s">
        <v>151</v>
      </c>
    </row>
    <row r="245">
      <c r="A245" s="3"/>
      <c r="B245" s="15" t="s">
        <v>152</v>
      </c>
      <c r="C245" s="16">
        <f>C223-C236</f>
        <v>5325</v>
      </c>
      <c r="D245" s="16">
        <f>D223-D236</f>
        <v>5156</v>
      </c>
      <c r="E245" s="16">
        <f>E223-E236</f>
        <v>20881</v>
      </c>
      <c r="F245" s="16">
        <f>F223-F236</f>
        <v>5285</v>
      </c>
      <c r="G245" s="16">
        <f>G223-G236</f>
        <v>5490</v>
      </c>
      <c r="H245" s="17">
        <f>H223-H236</f>
        <v>5648.632161148945</v>
      </c>
      <c r="I245" s="2"/>
    </row>
    <row r="246">
      <c r="A246" s="3"/>
      <c r="B246" s="31" t="s">
        <v>78</v>
      </c>
      <c r="C246" s="8">
        <f>IFERROR(C245/(Inputs!C125-Inputs!C128)-1,"n/a")</f>
        <v>0.037405026300409094</v>
      </c>
      <c r="D246" s="8">
        <f>IFERROR(D245/(Inputs!D125-Inputs!D128)-1,"n/a")</f>
        <v>-0.008652182272639863</v>
      </c>
      <c r="E246" s="48" t="s">
        <v>143</v>
      </c>
      <c r="F246" s="8">
        <f>IFERROR(F245/(Inputs!F125-Inputs!F128)-1,"n/a")</f>
        <v>0.031018337885290626</v>
      </c>
      <c r="G246" s="8">
        <f>IFERROR(G245/(Inputs!G125-Inputs!G128)-1,"n/a")</f>
        <v>0.04095563139931735</v>
      </c>
      <c r="H246" s="36">
        <f>H245/C245-1</f>
        <v>0.060775992704027226</v>
      </c>
      <c r="I246" s="2"/>
    </row>
    <row r="247">
      <c r="A247" s="3"/>
      <c r="B247" s="3" t="s">
        <v>144</v>
      </c>
      <c r="C247" s="6">
        <f>C245-(Inputs!G125-Inputs!G128)</f>
        <v>51</v>
      </c>
      <c r="D247" s="4">
        <f>D245-C245</f>
        <v>-169</v>
      </c>
      <c r="E247" s="4"/>
      <c r="F247" s="4">
        <f>F245-D245</f>
        <v>129</v>
      </c>
      <c r="G247" s="4">
        <f>G245-F245</f>
        <v>205</v>
      </c>
      <c r="H247" s="13">
        <f>H245-G245</f>
        <v>158.63216114894476</v>
      </c>
      <c r="I247" s="2"/>
    </row>
    <row r="248">
      <c r="A248" s="3"/>
      <c r="B248" s="31" t="s">
        <v>153</v>
      </c>
      <c r="C248" s="48">
        <f>C236/C245</f>
        <v>0.11305164319248827</v>
      </c>
      <c r="D248" s="48">
        <f>D236/D245</f>
        <v>0.1169511249030256</v>
      </c>
      <c r="E248" s="48">
        <f>E236/E245</f>
        <v>0.11201570805995881</v>
      </c>
      <c r="F248" s="48">
        <f>F236/F245</f>
        <v>0.11504257332071902</v>
      </c>
      <c r="G248" s="48">
        <f>G236/G245</f>
        <v>0.1872495446265938</v>
      </c>
      <c r="H248" s="36">
        <f>H236/H245</f>
        <v>0.20901483755528197</v>
      </c>
      <c r="I248" s="2"/>
    </row>
    <row r="249">
      <c r="A249" s="3"/>
      <c r="B249" s="3" t="s">
        <v>94</v>
      </c>
      <c r="C249" s="71">
        <f>IFERROR((C248-Inputs!C128/(Inputs!C125-Inputs!C128))*10000,"n/a")</f>
        <v>-106.57688582302302</v>
      </c>
      <c r="D249" s="71">
        <f>IFERROR((D248-Inputs!D128/(Inputs!D125-Inputs!D128))*10000,"n/a")</f>
        <v>38.959432071978824</v>
      </c>
      <c r="E249" s="76" t="s">
        <v>143</v>
      </c>
      <c r="F249" s="71">
        <f>IFERROR((F248-Inputs!F128/(Inputs!F125-Inputs!F128))*10000,"n/a")</f>
        <v>48.201776905980594</v>
      </c>
      <c r="G249" s="71">
        <f>IFERROR((G248-Inputs!G128/(Inputs!G125-Inputs!G128))*10000,"n/a")</f>
        <v>793.6179339413267</v>
      </c>
      <c r="H249" s="74">
        <f>(H248-C248)*10000</f>
        <v>959.631943627937</v>
      </c>
      <c r="I249" s="2"/>
    </row>
    <row r="250">
      <c r="A250" s="3"/>
      <c r="B250" s="3" t="s">
        <v>95</v>
      </c>
      <c r="C250" s="71">
        <f>(C248-Inputs!G128/(Inputs!G125-Inputs!G128))*10000</f>
        <v>51.63891960027145</v>
      </c>
      <c r="D250" s="76">
        <f>(D248-C248)*10000</f>
        <v>38.994817105373336</v>
      </c>
      <c r="E250" s="76"/>
      <c r="F250" s="76">
        <f>(F248-D248)*10000</f>
        <v>-19.08551582306586</v>
      </c>
      <c r="G250" s="76">
        <f>(G248-F248)*10000</f>
        <v>722.0697130587478</v>
      </c>
      <c r="H250" s="74">
        <f>(H248-G248)*10000</f>
        <v>217.65292928688174</v>
      </c>
      <c r="I250" s="2"/>
    </row>
    <row r="251">
      <c r="A251" s="3"/>
      <c r="B251" s="3"/>
      <c r="C251" s="12"/>
      <c r="D251" s="12"/>
      <c r="E251" s="12"/>
      <c r="F251" s="12"/>
      <c r="G251" s="12"/>
      <c r="H251" s="41"/>
      <c r="I251" s="2"/>
    </row>
    <row r="252">
      <c r="A252" s="3"/>
      <c r="B252" s="50" t="s">
        <v>154</v>
      </c>
      <c r="C252" s="12"/>
      <c r="D252" s="12"/>
      <c r="E252" s="12"/>
      <c r="F252" s="12"/>
      <c r="G252" s="12"/>
      <c r="H252" s="41"/>
      <c r="I252" s="2"/>
    </row>
    <row r="253">
      <c r="A253" s="3"/>
      <c r="B253" s="3" t="s">
        <v>155</v>
      </c>
      <c r="C253" s="14">
        <v>317</v>
      </c>
      <c r="D253" s="14">
        <v>326</v>
      </c>
      <c r="E253" s="14">
        <v>1290</v>
      </c>
      <c r="F253" s="14">
        <v>324</v>
      </c>
      <c r="G253" s="14">
        <v>346</v>
      </c>
      <c r="H253" s="13">
        <f>C253*(1+H12)</f>
        <v>345.53000000000003</v>
      </c>
      <c r="I253" s="2"/>
    </row>
    <row r="254">
      <c r="A254" s="3"/>
      <c r="B254" s="31" t="s">
        <v>78</v>
      </c>
      <c r="C254" s="8">
        <f>IFERROR(C253/Inputs!C126-1,"n/a")</f>
        <v>-0.018575851393188847</v>
      </c>
      <c r="D254" s="8">
        <f>IFERROR(D253/Inputs!D126-1,"n/a")</f>
        <v>-0.01807228915662651</v>
      </c>
      <c r="E254" s="8">
        <f>IFERROR(E253/Inputs!E126-1,"n/a")</f>
        <v>-0.10354412786657397</v>
      </c>
      <c r="F254" s="8">
        <f>IFERROR(F253/Inputs!F126-1,"n/a")</f>
        <v>-0.0357142857142857</v>
      </c>
      <c r="G254" s="8">
        <f>IFERROR(G253/Inputs!G126-1,"n/a")</f>
        <v>0.112540192926045</v>
      </c>
      <c r="H254" s="36">
        <f>H253/C253-1</f>
        <v>0.09000000000000008</v>
      </c>
      <c r="I254" s="2"/>
    </row>
    <row r="255">
      <c r="A255" s="3"/>
      <c r="B255" s="31" t="s">
        <v>121</v>
      </c>
      <c r="C255" s="8">
        <f>C253/Inputs!G126-1</f>
        <v>0.019292604501607746</v>
      </c>
      <c r="D255" s="48">
        <f>D253/C253-1</f>
        <v>0.028391167192429068</v>
      </c>
      <c r="E255" s="48"/>
      <c r="F255" s="48">
        <f>F253/D253-1</f>
        <v>-0.006134969325153339</v>
      </c>
      <c r="G255" s="48">
        <f>G253/F253-1</f>
        <v>0.06790123456790131</v>
      </c>
      <c r="H255" s="36">
        <f>H253/G253-1</f>
        <v>-0.001358381502890138</v>
      </c>
      <c r="I255" s="2"/>
    </row>
    <row r="256">
      <c r="A256" s="3"/>
      <c r="B256" s="31" t="s">
        <v>122</v>
      </c>
      <c r="C256" s="48">
        <f>C253/C260</f>
        <v>0.05076873798846893</v>
      </c>
      <c r="D256" s="48">
        <f>D253/D260</f>
        <v>0.05357436318816763</v>
      </c>
      <c r="E256" s="48">
        <f>E253/E260</f>
        <v>0.05263157894736842</v>
      </c>
      <c r="F256" s="48">
        <f>F253/F260</f>
        <v>0.05211516808750201</v>
      </c>
      <c r="G256" s="48">
        <f>G253/G260</f>
        <v>0.05040792540792541</v>
      </c>
      <c r="H256" s="36">
        <f>H253/H260</f>
        <v>0.04815876593782302</v>
      </c>
      <c r="I256" s="2"/>
    </row>
    <row r="257">
      <c r="A257" s="3"/>
      <c r="B257" s="31" t="s">
        <v>123</v>
      </c>
      <c r="C257" s="48">
        <f>C$13</f>
        <v>0</v>
      </c>
      <c r="D257" s="48">
        <f>D$13</f>
        <v>0</v>
      </c>
      <c r="E257" s="48">
        <f>E$13</f>
        <v>0</v>
      </c>
      <c r="F257" s="48">
        <f>F$13</f>
        <v>0</v>
      </c>
      <c r="G257" s="48">
        <f>G$13</f>
        <v>0</v>
      </c>
      <c r="H257" s="36">
        <f>H$13</f>
        <v>0</v>
      </c>
      <c r="I257" s="2"/>
    </row>
    <row r="258">
      <c r="A258" s="3"/>
      <c r="B258" s="31" t="s">
        <v>124</v>
      </c>
      <c r="C258" s="48" t="str">
        <f>C$14</f>
        <v>n/d</v>
      </c>
      <c r="D258" s="48" t="str">
        <f>D$14</f>
        <v>n/d</v>
      </c>
      <c r="E258" s="48" t="str">
        <f>E$14</f>
        <v>n/d</v>
      </c>
      <c r="F258" s="48" t="str">
        <f>F$14</f>
        <v>n/d</v>
      </c>
      <c r="G258" s="48" t="str">
        <f>G$14</f>
        <v>n/d</v>
      </c>
      <c r="H258" s="36" t="str">
        <f>H$14</f>
        <v>n/d</v>
      </c>
      <c r="I258" s="2"/>
    </row>
    <row r="259">
      <c r="A259" s="3"/>
      <c r="B259" s="31" t="s">
        <v>125</v>
      </c>
      <c r="C259" s="48" t="str">
        <f>IF(AND(ISNUMBER(C254),ISNUMBER(C$14)),(1+C254)/((1+C257)*(1+C$14))-1,"n/a")</f>
        <v>n/a</v>
      </c>
      <c r="D259" s="48" t="str">
        <f>IF(AND(ISNUMBER(D254),ISNUMBER(D$14)),(1+D254)/((1+D257)*(1+D$14))-1,"n/a")</f>
        <v>n/a</v>
      </c>
      <c r="E259" s="48" t="str">
        <f>IF(AND(ISNUMBER(E254),ISNUMBER(E$14)),(1+E254)/((1+E257)*(1+E$14))-1,"n/a")</f>
        <v>n/a</v>
      </c>
      <c r="F259" s="48" t="str">
        <f>IF(AND(ISNUMBER(F254),ISNUMBER(F$14)),(1+F254)/((1+F257)*(1+F$14))-1,"n/a")</f>
        <v>n/a</v>
      </c>
      <c r="G259" s="48" t="str">
        <f>IF(AND(ISNUMBER(G254),ISNUMBER(G$14)),(1+G254)/((1+G257)*(1+G$14))-1,"n/a")</f>
        <v>n/a</v>
      </c>
      <c r="H259" s="36" t="str">
        <f>IF(AND(ISNUMBER(H254),ISNUMBER(H$14)),(1+H254)/((1+H257)*(1+H$14))-1,"n/a")</f>
        <v>n/a</v>
      </c>
      <c r="I259" s="2"/>
    </row>
    <row r="260">
      <c r="A260" s="3"/>
      <c r="B260" s="15" t="s">
        <v>156</v>
      </c>
      <c r="C260" s="16">
        <f>C223+C253</f>
        <v>6244</v>
      </c>
      <c r="D260" s="16">
        <f>D223+D253</f>
        <v>6085</v>
      </c>
      <c r="E260" s="16">
        <f>E223+E253</f>
        <v>24510</v>
      </c>
      <c r="F260" s="16">
        <f>F223+F253</f>
        <v>6217</v>
      </c>
      <c r="G260" s="16">
        <f>G223+G253</f>
        <v>6864</v>
      </c>
      <c r="H260" s="17">
        <f>H223+H253</f>
        <v>7174.810094721032</v>
      </c>
      <c r="I260" s="2"/>
    </row>
    <row r="261">
      <c r="A261" s="3"/>
      <c r="B261" s="31" t="s">
        <v>78</v>
      </c>
      <c r="C261" s="8">
        <f>IFERROR(C260/Inputs!C127-1,"n/a")</f>
        <v>0.02511902807420774</v>
      </c>
      <c r="D261" s="8">
        <f>IFERROR(D260/Inputs!D127-1,"n/a")</f>
        <v>-0.005881391929423274</v>
      </c>
      <c r="E261" s="8">
        <f>IFERROR(E260/Inputs!E127-1,"n/a")</f>
        <v>0.010721649484536133</v>
      </c>
      <c r="F261" s="8">
        <f>IFERROR(F260/Inputs!F127-1,"n/a")</f>
        <v>0.03152480504396871</v>
      </c>
      <c r="G261" s="8">
        <f>IFERROR(G260/Inputs!G127-1,"n/a")</f>
        <v>0.11537211569710748</v>
      </c>
      <c r="H261" s="36">
        <f>H260/C260-1</f>
        <v>0.14907272497133772</v>
      </c>
      <c r="I261" s="2"/>
    </row>
    <row r="262">
      <c r="A262" s="3"/>
      <c r="B262" s="31" t="s">
        <v>121</v>
      </c>
      <c r="C262" s="8">
        <f>C260/Inputs!G127-1</f>
        <v>0.0146246343841403</v>
      </c>
      <c r="D262" s="48">
        <f>D260/C260-1</f>
        <v>-0.025464445868033314</v>
      </c>
      <c r="E262" s="48"/>
      <c r="F262" s="48">
        <f>F260/D260-1</f>
        <v>0.02169268693508619</v>
      </c>
      <c r="G262" s="48">
        <f>G260/F260-1</f>
        <v>0.10406948689078344</v>
      </c>
      <c r="H262" s="36">
        <f>H260/G260-1</f>
        <v>0.04528119095586125</v>
      </c>
      <c r="I262" s="2"/>
    </row>
    <row r="263">
      <c r="A263" s="3"/>
      <c r="B263" s="31" t="s">
        <v>157</v>
      </c>
      <c r="C263" s="48">
        <f>C260/C260</f>
        <v>1</v>
      </c>
      <c r="D263" s="48">
        <f>D260/D260</f>
        <v>1</v>
      </c>
      <c r="E263" s="48">
        <f>E260/E260</f>
        <v>1</v>
      </c>
      <c r="F263" s="48">
        <f>F260/F260</f>
        <v>1</v>
      </c>
      <c r="G263" s="48">
        <f>G260/G260</f>
        <v>1</v>
      </c>
      <c r="H263" s="36">
        <f>H260/H260</f>
        <v>1</v>
      </c>
      <c r="I263" s="2" t="s">
        <v>158</v>
      </c>
    </row>
    <row r="264">
      <c r="A264" s="3"/>
      <c r="B264" s="31" t="s">
        <v>123</v>
      </c>
      <c r="C264" s="48">
        <f>C$13</f>
        <v>0</v>
      </c>
      <c r="D264" s="48">
        <f>D$13</f>
        <v>0</v>
      </c>
      <c r="E264" s="48">
        <f>E$13</f>
        <v>0</v>
      </c>
      <c r="F264" s="48">
        <f>F$13</f>
        <v>0</v>
      </c>
      <c r="G264" s="48">
        <f>G$13</f>
        <v>0</v>
      </c>
      <c r="H264" s="36">
        <f>H$13</f>
        <v>0</v>
      </c>
      <c r="I264" s="2"/>
    </row>
    <row r="265">
      <c r="A265" s="3"/>
      <c r="B265" s="31" t="s">
        <v>124</v>
      </c>
      <c r="C265" s="48" t="str">
        <f>C$14</f>
        <v>n/d</v>
      </c>
      <c r="D265" s="48" t="str">
        <f>D$14</f>
        <v>n/d</v>
      </c>
      <c r="E265" s="48" t="str">
        <f>E$14</f>
        <v>n/d</v>
      </c>
      <c r="F265" s="48" t="str">
        <f>F$14</f>
        <v>n/d</v>
      </c>
      <c r="G265" s="48" t="str">
        <f>G$14</f>
        <v>n/d</v>
      </c>
      <c r="H265" s="36" t="str">
        <f>H$14</f>
        <v>n/d</v>
      </c>
      <c r="I265" s="2"/>
    </row>
    <row r="266">
      <c r="A266" s="3"/>
      <c r="B266" s="31" t="s">
        <v>125</v>
      </c>
      <c r="C266" s="48" t="str">
        <f>IF(AND(ISNUMBER(C261),ISNUMBER(C$14)),(1+C261)/((1+C264)*(1+C$14))-1,"n/a")</f>
        <v>n/a</v>
      </c>
      <c r="D266" s="48" t="str">
        <f>IF(AND(ISNUMBER(D261),ISNUMBER(D$14)),(1+D261)/((1+D264)*(1+D$14))-1,"n/a")</f>
        <v>n/a</v>
      </c>
      <c r="E266" s="48" t="str">
        <f>IF(AND(ISNUMBER(E261),ISNUMBER(E$14)),(1+E261)/((1+E264)*(1+E$14))-1,"n/a")</f>
        <v>n/a</v>
      </c>
      <c r="F266" s="48" t="str">
        <f>IF(AND(ISNUMBER(F261),ISNUMBER(F$14)),(1+F261)/((1+F264)*(1+F$14))-1,"n/a")</f>
        <v>n/a</v>
      </c>
      <c r="G266" s="48" t="str">
        <f>IF(AND(ISNUMBER(G261),ISNUMBER(G$14)),(1+G261)/((1+G264)*(1+G$14))-1,"n/a")</f>
        <v>n/a</v>
      </c>
      <c r="H266" s="36" t="str">
        <f>IF(AND(ISNUMBER(H261),ISNUMBER(H$14)),(1+H261)/((1+H264)*(1+H$14))-1,"n/a")</f>
        <v>n/a</v>
      </c>
      <c r="I266" s="2"/>
    </row>
    <row r="267">
      <c r="A267" s="3"/>
      <c r="B267" s="3" t="s">
        <v>159</v>
      </c>
      <c r="C267" s="4"/>
      <c r="D267" s="4"/>
      <c r="E267" s="4"/>
      <c r="F267" s="4"/>
      <c r="G267" s="4"/>
      <c r="H267" s="22">
        <f>Inputs!C61</f>
        <v>7117.07</v>
      </c>
      <c r="I267" s="2"/>
    </row>
    <row r="268">
      <c r="A268" s="3"/>
      <c r="B268" s="31" t="s">
        <v>160</v>
      </c>
      <c r="C268" s="48"/>
      <c r="D268" s="48"/>
      <c r="E268" s="48"/>
      <c r="F268" s="48"/>
      <c r="G268" s="48"/>
      <c r="H268" s="36">
        <f>H260/H267-1</f>
        <v>0.008112902461410831</v>
      </c>
      <c r="I268" s="2"/>
    </row>
    <row r="269">
      <c r="A269" s="3"/>
      <c r="B269" s="3"/>
      <c r="C269" s="12"/>
      <c r="D269" s="12"/>
      <c r="E269" s="12"/>
      <c r="F269" s="12"/>
      <c r="G269" s="12"/>
      <c r="H269" s="41"/>
      <c r="I269" s="2"/>
    </row>
    <row r="270">
      <c r="A270" s="3"/>
      <c r="B270" s="50" t="s">
        <v>161</v>
      </c>
      <c r="C270" s="12"/>
      <c r="D270" s="12"/>
      <c r="E270" s="12"/>
      <c r="F270" s="12"/>
      <c r="G270" s="12"/>
      <c r="H270" s="41"/>
      <c r="I270" s="2"/>
    </row>
    <row r="271">
      <c r="A271" s="3"/>
      <c r="B271" s="3" t="s">
        <v>162</v>
      </c>
      <c r="C271" s="14">
        <v>752</v>
      </c>
      <c r="D271" s="4"/>
      <c r="E271" s="14">
        <v>2900</v>
      </c>
      <c r="F271" s="14">
        <v>729</v>
      </c>
      <c r="G271" s="14">
        <v>828</v>
      </c>
      <c r="H271" s="13"/>
      <c r="I271" s="2" t="s">
        <v>163</v>
      </c>
    </row>
    <row r="272">
      <c r="A272" s="3"/>
      <c r="B272" s="31" t="s">
        <v>164</v>
      </c>
      <c r="C272" s="48">
        <f>C271/C223</f>
        <v>0.12687700354310782</v>
      </c>
      <c r="D272" s="48"/>
      <c r="E272" s="48">
        <f>E271/E223</f>
        <v>0.12489233419465978</v>
      </c>
      <c r="F272" s="48">
        <f>F271/F223</f>
        <v>0.12370609197352792</v>
      </c>
      <c r="G272" s="48">
        <f>G271/G223</f>
        <v>0.1270328321571034</v>
      </c>
      <c r="H272" s="36"/>
      <c r="I272" s="2"/>
    </row>
    <row r="273">
      <c r="A273" s="3"/>
      <c r="B273" s="31" t="s">
        <v>165</v>
      </c>
      <c r="C273" s="12"/>
      <c r="D273" s="12"/>
      <c r="E273" s="12"/>
      <c r="F273" s="12"/>
      <c r="G273" s="12"/>
      <c r="H273" s="41"/>
      <c r="I273" s="2"/>
    </row>
    <row r="274">
      <c r="A274" s="3"/>
      <c r="B274" s="3"/>
      <c r="C274" s="12"/>
      <c r="D274" s="12"/>
      <c r="E274" s="12"/>
      <c r="F274" s="12"/>
      <c r="G274" s="12"/>
      <c r="H274" s="41"/>
      <c r="I274" s="2"/>
    </row>
    <row r="275">
      <c r="A275" s="3"/>
      <c r="B275" s="3"/>
      <c r="C275" s="3"/>
      <c r="D275" s="3"/>
      <c r="E275" s="3"/>
      <c r="F275" s="3"/>
      <c r="G275" s="3"/>
      <c r="H275" s="3"/>
      <c r="I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166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50" t="s">
        <v>167</v>
      </c>
      <c r="C9" s="12"/>
      <c r="D9" s="12"/>
      <c r="E9" s="12"/>
      <c r="F9" s="12"/>
      <c r="G9" s="12"/>
      <c r="H9" s="41"/>
      <c r="I9" s="2"/>
    </row>
    <row r="10">
      <c r="A10" s="3"/>
      <c r="B10" s="3" t="s">
        <v>168</v>
      </c>
      <c r="C10" s="6">
        <f>'Revenue summary'!C223</f>
        <v>5927</v>
      </c>
      <c r="D10" s="6">
        <f>'Revenue summary'!D223</f>
        <v>5759</v>
      </c>
      <c r="E10" s="6">
        <f>'Revenue summary'!E223</f>
        <v>23220</v>
      </c>
      <c r="F10" s="6">
        <f>'Revenue summary'!F223</f>
        <v>5893</v>
      </c>
      <c r="G10" s="6">
        <f>'Revenue summary'!G223</f>
        <v>6518</v>
      </c>
      <c r="H10" s="22">
        <f>'Revenue summary'!H223</f>
        <v>6829.280094721033</v>
      </c>
      <c r="I10" s="2"/>
    </row>
    <row r="11">
      <c r="A11" s="3"/>
      <c r="B11" s="3" t="s">
        <v>169</v>
      </c>
      <c r="C11" s="6">
        <f>'Revenue summary'!C253</f>
        <v>317</v>
      </c>
      <c r="D11" s="6">
        <f>'Revenue summary'!D253</f>
        <v>326</v>
      </c>
      <c r="E11" s="6">
        <f>'Revenue summary'!E253</f>
        <v>1290</v>
      </c>
      <c r="F11" s="6">
        <f>'Revenue summary'!F253</f>
        <v>324</v>
      </c>
      <c r="G11" s="6">
        <f>'Revenue summary'!G253</f>
        <v>346</v>
      </c>
      <c r="H11" s="22">
        <f>'Revenue summary'!H253</f>
        <v>345.53000000000003</v>
      </c>
      <c r="I11" s="2"/>
    </row>
    <row r="12">
      <c r="A12" s="3"/>
      <c r="B12" s="15" t="s">
        <v>156</v>
      </c>
      <c r="C12" s="16">
        <f>C10+C11</f>
        <v>6244</v>
      </c>
      <c r="D12" s="16">
        <f>D10+D11</f>
        <v>6085</v>
      </c>
      <c r="E12" s="16">
        <f>E10+E11</f>
        <v>24510</v>
      </c>
      <c r="F12" s="16">
        <f>F10+F11</f>
        <v>6217</v>
      </c>
      <c r="G12" s="16">
        <f>G10+G11</f>
        <v>6864</v>
      </c>
      <c r="H12" s="17">
        <f>H10+H11</f>
        <v>7174.810094721032</v>
      </c>
      <c r="I12" s="2" t="s">
        <v>170</v>
      </c>
    </row>
    <row r="13">
      <c r="A13" s="3"/>
      <c r="B13" s="31" t="s">
        <v>78</v>
      </c>
      <c r="C13" s="8">
        <f>IFERROR(C12/Inputs!C127-1,"n/a")</f>
        <v>0.02511902807420774</v>
      </c>
      <c r="D13" s="8">
        <f>IFERROR(D12/Inputs!D127-1,"n/a")</f>
        <v>-0.005881391929423274</v>
      </c>
      <c r="E13" s="8">
        <f>IFERROR(E12/Inputs!E127-1,"n/a")</f>
        <v>0.010721649484536133</v>
      </c>
      <c r="F13" s="8">
        <f>IFERROR(F12/Inputs!F127-1,"n/a")</f>
        <v>0.03152480504396871</v>
      </c>
      <c r="G13" s="8">
        <f>IFERROR(G12/Inputs!G127-1,"n/a")</f>
        <v>0.11537211569710748</v>
      </c>
      <c r="H13" s="36">
        <f>H12/C12-1</f>
        <v>0.14907272497133772</v>
      </c>
      <c r="I13" s="2"/>
    </row>
    <row r="14">
      <c r="A14" s="3"/>
      <c r="B14" s="31" t="s">
        <v>121</v>
      </c>
      <c r="C14" s="8">
        <f>C12/Inputs!G127-1</f>
        <v>0.0146246343841403</v>
      </c>
      <c r="D14" s="48">
        <f>D12/C12-1</f>
        <v>-0.025464445868033314</v>
      </c>
      <c r="E14" s="48"/>
      <c r="F14" s="48">
        <f>F12/D12-1</f>
        <v>0.02169268693508619</v>
      </c>
      <c r="G14" s="48">
        <f>G12/F12-1</f>
        <v>0.10406948689078344</v>
      </c>
      <c r="H14" s="36">
        <f>H12/G12-1</f>
        <v>0.04528119095586125</v>
      </c>
      <c r="I14" s="2"/>
    </row>
    <row r="15">
      <c r="A15" s="3"/>
      <c r="B15" s="50" t="s">
        <v>171</v>
      </c>
      <c r="C15" s="12"/>
      <c r="D15" s="12"/>
      <c r="E15" s="12"/>
      <c r="F15" s="12"/>
      <c r="G15" s="12"/>
      <c r="H15" s="41"/>
      <c r="I15" s="2"/>
    </row>
    <row r="16">
      <c r="A16" s="3"/>
      <c r="B16" s="3" t="s">
        <v>172</v>
      </c>
      <c r="C16" s="14">
        <v>1214</v>
      </c>
      <c r="D16" s="14">
        <v>1222</v>
      </c>
      <c r="E16" s="14">
        <v>4897</v>
      </c>
      <c r="F16" s="14">
        <v>1227</v>
      </c>
      <c r="G16" s="14">
        <v>1240</v>
      </c>
      <c r="H16" s="13">
        <f>H110</f>
        <v>1286.492674309861</v>
      </c>
      <c r="I16" s="2"/>
    </row>
    <row r="17">
      <c r="A17" s="3"/>
      <c r="B17" s="31" t="s">
        <v>78</v>
      </c>
      <c r="C17" s="8">
        <f>IFERROR(C16/Inputs!C166-1,"n/a")</f>
        <v>-0.01140065146579805</v>
      </c>
      <c r="D17" s="8">
        <f>IFERROR(D16/Inputs!D166-1,"n/a")</f>
        <v>-0.030927835051546393</v>
      </c>
      <c r="E17" s="8">
        <f>IFERROR(E16/Inputs!E166-1,"n/a")</f>
        <v>-0.0004082465809348568</v>
      </c>
      <c r="F17" s="8">
        <f>IFERROR(F16/Inputs!F166-1,"n/a")</f>
        <v>0.012376237623762387</v>
      </c>
      <c r="G17" s="8">
        <f>IFERROR(G16/Inputs!G166-1,"n/a")</f>
        <v>-0.007205764611689314</v>
      </c>
      <c r="H17" s="36">
        <f>H16/C16-1</f>
        <v>0.05971389976100583</v>
      </c>
      <c r="I17" s="2"/>
    </row>
    <row r="18">
      <c r="A18" s="3"/>
      <c r="B18" s="31" t="s">
        <v>173</v>
      </c>
      <c r="C18" s="48">
        <f>C16/C12</f>
        <v>0.19442664958360026</v>
      </c>
      <c r="D18" s="48">
        <f>D16/D12</f>
        <v>0.2008216926869351</v>
      </c>
      <c r="E18" s="48">
        <f>E16/E12</f>
        <v>0.19979600163198694</v>
      </c>
      <c r="F18" s="48">
        <f>F16/F12</f>
        <v>0.19736207173878076</v>
      </c>
      <c r="G18" s="48">
        <f>G16/G12</f>
        <v>0.18065268065268064</v>
      </c>
      <c r="H18" s="36">
        <f>H16/H12</f>
        <v>0.17930686071488028</v>
      </c>
      <c r="I18" s="2"/>
    </row>
    <row r="19">
      <c r="A19" s="3"/>
      <c r="B19" s="3" t="s">
        <v>174</v>
      </c>
      <c r="C19" s="14">
        <v>616</v>
      </c>
      <c r="D19" s="14">
        <v>595</v>
      </c>
      <c r="E19" s="14">
        <v>2390</v>
      </c>
      <c r="F19" s="14">
        <v>643</v>
      </c>
      <c r="G19" s="14">
        <v>938</v>
      </c>
      <c r="H19" s="13">
        <f>H127</f>
        <v>1060.0767969803549</v>
      </c>
      <c r="I19" s="2"/>
    </row>
    <row r="20">
      <c r="A20" s="3"/>
      <c r="B20" s="31" t="s">
        <v>78</v>
      </c>
      <c r="C20" s="8">
        <f>IFERROR(C19/Inputs!C167-1,"n/a")</f>
        <v>0.009836065573770592</v>
      </c>
      <c r="D20" s="8">
        <f>IFERROR(D19/Inputs!D167-1,"n/a")</f>
        <v>0.024096385542168752</v>
      </c>
      <c r="E20" s="8">
        <f>IFERROR(E19/Inputs!E167-1,"n/a")</f>
        <v>-0.03395311236863374</v>
      </c>
      <c r="F20" s="8">
        <f>IFERROR(F19/Inputs!F167-1,"n/a")</f>
        <v>0.06633499170812596</v>
      </c>
      <c r="G20" s="8">
        <f>IFERROR(G19/Inputs!G167-1,"n/a")</f>
        <v>0.6284722222222223</v>
      </c>
      <c r="H20" s="36">
        <f>H19/C19-1</f>
        <v>0.7209038912018748</v>
      </c>
      <c r="I20" s="2"/>
    </row>
    <row r="21">
      <c r="A21" s="3"/>
      <c r="B21" s="31" t="s">
        <v>173</v>
      </c>
      <c r="C21" s="48">
        <f>C19/C12</f>
        <v>0.09865470852017937</v>
      </c>
      <c r="D21" s="48">
        <f>D19/D12</f>
        <v>0.09778142974527526</v>
      </c>
      <c r="E21" s="48">
        <f>E19/E12</f>
        <v>0.09751121991024071</v>
      </c>
      <c r="F21" s="48">
        <f>F19/F12</f>
        <v>0.1034260897539006</v>
      </c>
      <c r="G21" s="48">
        <f>G19/G12</f>
        <v>0.13665501165501165</v>
      </c>
      <c r="H21" s="36">
        <f>H19/H12</f>
        <v>0.1477498056374093</v>
      </c>
      <c r="I21" s="2"/>
    </row>
    <row r="22">
      <c r="A22" s="3"/>
      <c r="B22" s="3" t="s">
        <v>175</v>
      </c>
      <c r="C22" s="14">
        <v>683</v>
      </c>
      <c r="D22" s="14">
        <v>670</v>
      </c>
      <c r="E22" s="14">
        <v>2626</v>
      </c>
      <c r="F22" s="14">
        <v>673</v>
      </c>
      <c r="G22" s="14">
        <v>709</v>
      </c>
      <c r="H22" s="13">
        <f>H137</f>
        <v>700.52</v>
      </c>
      <c r="I22" s="2"/>
    </row>
    <row r="23">
      <c r="A23" s="3"/>
      <c r="B23" s="31" t="s">
        <v>78</v>
      </c>
      <c r="C23" s="8">
        <f>IFERROR(C22/Inputs!C168-1,"n/a")</f>
        <v>0.060559006211180044</v>
      </c>
      <c r="D23" s="8">
        <f>IFERROR(D22/Inputs!D168-1,"n/a")</f>
        <v>0.08239095315024225</v>
      </c>
      <c r="E23" s="8">
        <f>IFERROR(E22/Inputs!E168-1,"n/a")</f>
        <v>0.042063492063492136</v>
      </c>
      <c r="F23" s="8">
        <f>IFERROR(F22/Inputs!F168-1,"n/a")</f>
        <v>0.06656101426307459</v>
      </c>
      <c r="G23" s="8">
        <f>IFERROR(G22/Inputs!G168-1,"n/a")</f>
        <v>0.10436137071651097</v>
      </c>
      <c r="H23" s="36">
        <f>H22/C22-1</f>
        <v>0.025651537335285468</v>
      </c>
      <c r="I23" s="2"/>
    </row>
    <row r="24">
      <c r="A24" s="3"/>
      <c r="B24" s="31" t="s">
        <v>173</v>
      </c>
      <c r="C24" s="48">
        <f>C22/C12</f>
        <v>0.10938500960922486</v>
      </c>
      <c r="D24" s="48">
        <f>D22/D12</f>
        <v>0.11010682004930156</v>
      </c>
      <c r="E24" s="48">
        <f>E22/E12</f>
        <v>0.10713994288045696</v>
      </c>
      <c r="F24" s="48">
        <f>F22/F12</f>
        <v>0.10825156828052115</v>
      </c>
      <c r="G24" s="48">
        <f>G22/G12</f>
        <v>0.1032925407925408</v>
      </c>
      <c r="H24" s="36">
        <f>H22/H12</f>
        <v>0.09763603367222465</v>
      </c>
      <c r="I24" s="2"/>
    </row>
    <row r="25">
      <c r="A25" s="3"/>
      <c r="B25" s="3" t="s">
        <v>176</v>
      </c>
      <c r="C25" s="6">
        <f>Inputs!D194-Inputs!C194</f>
        <v>618</v>
      </c>
      <c r="D25" s="6">
        <f>Inputs!E194-Inputs!D194</f>
        <v>624</v>
      </c>
      <c r="E25" s="6">
        <f>Inputs!E194</f>
        <v>2465</v>
      </c>
      <c r="F25" s="6">
        <f>Inputs!F194</f>
        <v>633</v>
      </c>
      <c r="G25" s="6">
        <f>Inputs!G194-Inputs!F194</f>
        <v>638</v>
      </c>
      <c r="H25" s="13">
        <f>G25+H138</f>
        <v>643</v>
      </c>
      <c r="I25" s="2"/>
    </row>
    <row r="26">
      <c r="A26" s="3"/>
      <c r="B26" s="31" t="s">
        <v>78</v>
      </c>
      <c r="C26" s="8">
        <f>IFERROR(C25/Inputs!C169-1,"n/a")</f>
        <v>0.02657807308970095</v>
      </c>
      <c r="D26" s="8">
        <f>IFERROR(D25/Inputs!D169-1,"n/a")</f>
        <v>0.02970297029702973</v>
      </c>
      <c r="E26" s="8">
        <f>IFERROR(E25/Inputs!E169-1,"n/a")</f>
        <v>0.027939949958298627</v>
      </c>
      <c r="F26" s="8">
        <f>IFERROR(F25/Inputs!F169-1,"n/a")</f>
        <v>0.03770491803278686</v>
      </c>
      <c r="G26" s="8">
        <f>IFERROR(G25/Inputs!G169-1,"n/a")</f>
        <v>0.040783034257748874</v>
      </c>
      <c r="H26" s="36">
        <f>H25/C25-1</f>
        <v>0.040453074433656866</v>
      </c>
      <c r="I26" s="2"/>
    </row>
    <row r="27">
      <c r="A27" s="3"/>
      <c r="B27" s="31" t="s">
        <v>173</v>
      </c>
      <c r="C27" s="48">
        <f>C25/C12</f>
        <v>0.09897501601537476</v>
      </c>
      <c r="D27" s="48">
        <f>D25/D12</f>
        <v>0.10254724732949877</v>
      </c>
      <c r="E27" s="48">
        <f>E25/E12</f>
        <v>0.10057119543043655</v>
      </c>
      <c r="F27" s="48">
        <f>F25/F12</f>
        <v>0.10181759691169374</v>
      </c>
      <c r="G27" s="48">
        <f>G25/G12</f>
        <v>0.09294871794871795</v>
      </c>
      <c r="H27" s="36">
        <f>H25/H12</f>
        <v>0.08961909674419066</v>
      </c>
      <c r="I27" s="2"/>
    </row>
    <row r="28">
      <c r="A28" s="3"/>
      <c r="B28" s="3" t="s">
        <v>177</v>
      </c>
      <c r="C28" s="14">
        <v>212</v>
      </c>
      <c r="D28" s="14">
        <v>229</v>
      </c>
      <c r="E28" s="14">
        <v>912</v>
      </c>
      <c r="F28" s="14">
        <v>219</v>
      </c>
      <c r="G28" s="14">
        <v>214</v>
      </c>
      <c r="H28" s="13">
        <f>C28*(1+H29)</f>
        <v>205.64</v>
      </c>
      <c r="I28" s="2"/>
    </row>
    <row r="29">
      <c r="A29" s="3"/>
      <c r="B29" s="31" t="s">
        <v>78</v>
      </c>
      <c r="C29" s="8">
        <f>IFERROR(C28/Inputs!C170-1,"n/a")</f>
        <v>-0.10548523206751059</v>
      </c>
      <c r="D29" s="8">
        <f>IFERROR(D28/Inputs!D170-1,"n/a")</f>
        <v>-0.0766129032258065</v>
      </c>
      <c r="E29" s="8">
        <f>IFERROR(E28/Inputs!E170-1,"n/a")</f>
        <v>-0.008695652173912993</v>
      </c>
      <c r="F29" s="8">
        <f>IFERROR(F28/Inputs!F170-1,"n/a")</f>
        <v>-0.09128630705394192</v>
      </c>
      <c r="G29" s="8">
        <f>IFERROR(G28/Inputs!G170-1,"n/a")</f>
        <v>-0.06956521739130439</v>
      </c>
      <c r="H29" s="80">
        <v>-0.03</v>
      </c>
      <c r="I29" s="2"/>
    </row>
    <row r="30">
      <c r="A30" s="3"/>
      <c r="B30" s="31" t="s">
        <v>173</v>
      </c>
      <c r="C30" s="48">
        <f>C28/C12</f>
        <v>0.033952594490711085</v>
      </c>
      <c r="D30" s="48">
        <f>D28/D12</f>
        <v>0.037633525061626955</v>
      </c>
      <c r="E30" s="48">
        <f>E28/E12</f>
        <v>0.037209302325581395</v>
      </c>
      <c r="F30" s="48">
        <f>F28/F12</f>
        <v>0.03522599324433006</v>
      </c>
      <c r="G30" s="48">
        <f>G28/G12</f>
        <v>0.031177156177156176</v>
      </c>
      <c r="H30" s="36">
        <f>H28/H12</f>
        <v>0.028661385776789065</v>
      </c>
      <c r="I30" s="2"/>
    </row>
    <row r="31">
      <c r="A31" s="3"/>
      <c r="B31" s="3" t="s">
        <v>178</v>
      </c>
      <c r="C31" s="14">
        <v>352</v>
      </c>
      <c r="D31" s="14">
        <v>344</v>
      </c>
      <c r="E31" s="14">
        <v>1374</v>
      </c>
      <c r="F31" s="14">
        <v>364</v>
      </c>
      <c r="G31" s="14">
        <v>362</v>
      </c>
      <c r="H31" s="13">
        <f>C31*(1+H32)</f>
        <v>373.12</v>
      </c>
      <c r="I31" s="2"/>
    </row>
    <row r="32">
      <c r="A32" s="3"/>
      <c r="B32" s="31" t="s">
        <v>78</v>
      </c>
      <c r="C32" s="8">
        <f>IFERROR(C31/Inputs!C171-1,"n/a")</f>
        <v>-0.005649717514124242</v>
      </c>
      <c r="D32" s="8">
        <f>IFERROR(D31/Inputs!D171-1,"n/a")</f>
        <v>0.2241992882562278</v>
      </c>
      <c r="E32" s="8">
        <f>IFERROR(E31/Inputs!E171-1,"n/a")</f>
        <v>0.03619909502262453</v>
      </c>
      <c r="F32" s="8">
        <f>IFERROR(F31/Inputs!F171-1,"n/a")</f>
        <v>0.013927576601671321</v>
      </c>
      <c r="G32" s="8">
        <f>IFERROR(G31/Inputs!G171-1,"n/a")</f>
        <v>0.13479623824451403</v>
      </c>
      <c r="H32" s="80">
        <v>0.06</v>
      </c>
      <c r="I32" s="2"/>
    </row>
    <row r="33">
      <c r="A33" s="3"/>
      <c r="B33" s="31" t="s">
        <v>173</v>
      </c>
      <c r="C33" s="48">
        <f>C31/C12</f>
        <v>0.05637411915438821</v>
      </c>
      <c r="D33" s="48">
        <f>D31/D12</f>
        <v>0.05653245686113394</v>
      </c>
      <c r="E33" s="48">
        <f>E31/E12</f>
        <v>0.05605875152998776</v>
      </c>
      <c r="F33" s="48">
        <f>F31/F12</f>
        <v>0.05854913945632942</v>
      </c>
      <c r="G33" s="48">
        <f>G31/G12</f>
        <v>0.052738927738927736</v>
      </c>
      <c r="H33" s="36">
        <f>H31/H12</f>
        <v>0.052004163883658514</v>
      </c>
      <c r="I33" s="2"/>
    </row>
    <row r="34">
      <c r="A34" s="3"/>
      <c r="B34" s="15" t="s">
        <v>179</v>
      </c>
      <c r="C34" s="16">
        <f>C16+C19+C22+C25+C28+C31</f>
        <v>3695</v>
      </c>
      <c r="D34" s="16">
        <f>D16+D19+D22+D25+D28+D31</f>
        <v>3684</v>
      </c>
      <c r="E34" s="16">
        <f>E16+E19+E22+E25+E28+E31</f>
        <v>14664</v>
      </c>
      <c r="F34" s="16">
        <f>F16+F19+F22+F25+F28+F31</f>
        <v>3759</v>
      </c>
      <c r="G34" s="16">
        <f>G16+G19+G22+G25+G28+G31</f>
        <v>4101</v>
      </c>
      <c r="H34" s="17">
        <f>H16+H19+H22+H25+H28+H31</f>
        <v>4268.849471290216</v>
      </c>
      <c r="I34" s="2"/>
    </row>
    <row r="35">
      <c r="A35" s="3"/>
      <c r="B35" s="31" t="s">
        <v>78</v>
      </c>
      <c r="C35" s="8">
        <f>IFERROR(C34/Inputs!C172-1,"n/a")</f>
        <v>0.0054421768707482165</v>
      </c>
      <c r="D35" s="8">
        <f>IFERROR(D34/Inputs!D172-1,"n/a")</f>
        <v>0.024471635150166815</v>
      </c>
      <c r="E35" s="8">
        <f>IFERROR(E34/Inputs!E172-1,"n/a")</f>
        <v>0.008736327990644499</v>
      </c>
      <c r="F35" s="8">
        <f>IFERROR(F34/Inputs!F172-1,"n/a")</f>
        <v>0.028172866520787654</v>
      </c>
      <c r="G35" s="8">
        <f>IFERROR(G34/Inputs!G172-1,"n/a")</f>
        <v>0.1300633783411409</v>
      </c>
      <c r="H35" s="36">
        <f>H34/C34-1</f>
        <v>0.15530432240601244</v>
      </c>
      <c r="I35" s="2"/>
    </row>
    <row r="36">
      <c r="A36" s="3"/>
      <c r="B36" s="15" t="s">
        <v>180</v>
      </c>
      <c r="C36" s="16">
        <f>C12-C34</f>
        <v>2549</v>
      </c>
      <c r="D36" s="16">
        <f>D12-D34</f>
        <v>2401</v>
      </c>
      <c r="E36" s="16">
        <f>E12-E34</f>
        <v>9846</v>
      </c>
      <c r="F36" s="16">
        <f>F12-F34</f>
        <v>2458</v>
      </c>
      <c r="G36" s="16">
        <f>G12-G34</f>
        <v>2763</v>
      </c>
      <c r="H36" s="17">
        <f>H12-H34</f>
        <v>2905.9606234308167</v>
      </c>
      <c r="I36" s="2"/>
    </row>
    <row r="37">
      <c r="A37" s="3"/>
      <c r="B37" s="31" t="s">
        <v>78</v>
      </c>
      <c r="C37" s="8">
        <f>IFERROR(C36/Inputs!C173-1,"n/a")</f>
        <v>0.055049668874172175</v>
      </c>
      <c r="D37" s="8">
        <f>IFERROR(D36/Inputs!D173-1,"n/a")</f>
        <v>-0.04910891089108915</v>
      </c>
      <c r="E37" s="8">
        <f>IFERROR(E36/Inputs!E173-1,"n/a")</f>
        <v>0.013692988777926463</v>
      </c>
      <c r="F37" s="8">
        <f>IFERROR(F36/Inputs!F173-1,"n/a")</f>
        <v>0.03669337832138342</v>
      </c>
      <c r="G37" s="8">
        <f>IFERROR(G36/Inputs!G173-1,"n/a")</f>
        <v>0.09425742574257434</v>
      </c>
      <c r="H37" s="36">
        <f>H36/C36-1</f>
        <v>0.14003947564959462</v>
      </c>
      <c r="I37" s="2"/>
    </row>
    <row r="38">
      <c r="A38" s="3"/>
      <c r="B38" s="31" t="s">
        <v>181</v>
      </c>
      <c r="C38" s="48">
        <f>C36/C12</f>
        <v>0.4082319026265215</v>
      </c>
      <c r="D38" s="48">
        <f>D36/D12</f>
        <v>0.3945768282662284</v>
      </c>
      <c r="E38" s="48">
        <f>E36/E12</f>
        <v>0.40171358629130965</v>
      </c>
      <c r="F38" s="48">
        <f>F36/F12</f>
        <v>0.3953675406144443</v>
      </c>
      <c r="G38" s="48">
        <f>G36/G12</f>
        <v>0.40253496503496505</v>
      </c>
      <c r="H38" s="36">
        <f>H36/H12</f>
        <v>0.40502265357084755</v>
      </c>
      <c r="I38" s="2"/>
    </row>
    <row r="39">
      <c r="A39" s="3"/>
      <c r="B39" s="3" t="s">
        <v>94</v>
      </c>
      <c r="C39" s="71">
        <f>(C38-Inputs!C173/Inputs!C127)*10000</f>
        <v>115.81106369749183</v>
      </c>
      <c r="D39" s="71">
        <f>(D38-Inputs!D173/Inputs!D127)*10000</f>
        <v>-179.3746678360003</v>
      </c>
      <c r="E39" s="71">
        <f>(E38-Inputs!E173/Inputs!E127)*10000</f>
        <v>11.7750381708287</v>
      </c>
      <c r="F39" s="71">
        <f>(F38-Inputs!F173/Inputs!F127)*10000</f>
        <v>19.711576710230162</v>
      </c>
      <c r="G39" s="71">
        <f>(G38-Inputs!G173/Inputs!G127)*10000</f>
        <v>-77.67277408973871</v>
      </c>
      <c r="H39" s="74">
        <f>(H38-C38)*10000</f>
        <v>-32.09249055673935</v>
      </c>
      <c r="I39" s="2"/>
    </row>
    <row r="40">
      <c r="A40" s="3"/>
      <c r="B40" s="3" t="s">
        <v>95</v>
      </c>
      <c r="C40" s="71">
        <f>(C38-Inputs!G173/Inputs!G127)*10000</f>
        <v>-20.70339817417444</v>
      </c>
      <c r="D40" s="76">
        <f>(D38-C38)*10000</f>
        <v>-136.55074360293062</v>
      </c>
      <c r="E40" s="76"/>
      <c r="F40" s="76">
        <f>(F38-D38)*10000</f>
        <v>7.907123482158718</v>
      </c>
      <c r="G40" s="76">
        <f>(G38-F38)*10000</f>
        <v>71.67424420520763</v>
      </c>
      <c r="H40" s="74">
        <f>(H38-G38)*10000</f>
        <v>24.87688535882493</v>
      </c>
      <c r="I40" s="2"/>
    </row>
    <row r="41">
      <c r="A41" s="3"/>
      <c r="B41" s="31" t="s">
        <v>182</v>
      </c>
      <c r="C41" s="48">
        <f>C34/C12</f>
        <v>0.5917680973734786</v>
      </c>
      <c r="D41" s="48">
        <f>D34/D12</f>
        <v>0.6054231717337716</v>
      </c>
      <c r="E41" s="48">
        <f>E34/E12</f>
        <v>0.5982864137086903</v>
      </c>
      <c r="F41" s="48">
        <f>F34/F12</f>
        <v>0.6046324593855558</v>
      </c>
      <c r="G41" s="48">
        <f>G34/G12</f>
        <v>0.597465034965035</v>
      </c>
      <c r="H41" s="36">
        <f>H34/H12</f>
        <v>0.5949773464291525</v>
      </c>
      <c r="I41" s="2"/>
    </row>
    <row r="42">
      <c r="A42" s="3"/>
      <c r="B42" s="3" t="s">
        <v>94</v>
      </c>
      <c r="C42" s="71">
        <f>(C41-Inputs!C172/Inputs!C127)*10000</f>
        <v>-115.81106369749183</v>
      </c>
      <c r="D42" s="71">
        <f>(D41-Inputs!D172/Inputs!D127)*10000</f>
        <v>179.37466783600087</v>
      </c>
      <c r="E42" s="71">
        <f>(E41-Inputs!E172/Inputs!E127)*10000</f>
        <v>-11.775038170829255</v>
      </c>
      <c r="F42" s="71">
        <f>(F41-Inputs!F172/Inputs!F127)*10000</f>
        <v>-19.711576710229608</v>
      </c>
      <c r="G42" s="71">
        <f>(G41-Inputs!G172/Inputs!G127)*10000</f>
        <v>77.67277408973871</v>
      </c>
      <c r="H42" s="74">
        <f>(H41-C41)*10000</f>
        <v>32.092490556738795</v>
      </c>
      <c r="I42" s="2"/>
    </row>
    <row r="43">
      <c r="A43" s="3"/>
      <c r="B43" s="3" t="s">
        <v>95</v>
      </c>
      <c r="C43" s="71">
        <f>(C41-Inputs!G172/Inputs!G127)*10000</f>
        <v>20.70339817417444</v>
      </c>
      <c r="D43" s="76">
        <f>(D41-C41)*10000</f>
        <v>136.55074360293008</v>
      </c>
      <c r="E43" s="76"/>
      <c r="F43" s="76">
        <f>(F41-D41)*10000</f>
        <v>-7.907123482158163</v>
      </c>
      <c r="G43" s="76">
        <f>(G41-F41)*10000</f>
        <v>-71.67424420520763</v>
      </c>
      <c r="H43" s="74">
        <f>(H41-G41)*10000</f>
        <v>-24.876885358825483</v>
      </c>
      <c r="I43" s="2"/>
    </row>
    <row r="44">
      <c r="A44" s="3"/>
      <c r="B44" s="50" t="s">
        <v>183</v>
      </c>
      <c r="C44" s="12"/>
      <c r="D44" s="12"/>
      <c r="E44" s="12"/>
      <c r="F44" s="12"/>
      <c r="G44" s="12"/>
      <c r="H44" s="41"/>
      <c r="I44" s="2"/>
    </row>
    <row r="45">
      <c r="A45" s="3"/>
      <c r="B45" s="3" t="s">
        <v>184</v>
      </c>
      <c r="C45" s="14">
        <v>74</v>
      </c>
      <c r="D45" s="6">
        <f>Inputs!D213-Inputs!C213</f>
        <v>318</v>
      </c>
      <c r="E45" s="6">
        <f>Inputs!D213</f>
        <v>558</v>
      </c>
      <c r="F45" s="14">
        <v>76</v>
      </c>
      <c r="G45" s="14">
        <v>80</v>
      </c>
      <c r="H45" s="27">
        <v>75</v>
      </c>
      <c r="I45" s="2"/>
    </row>
    <row r="46">
      <c r="A46" s="3"/>
      <c r="B46" s="3" t="s">
        <v>185</v>
      </c>
      <c r="C46" s="14">
        <v>12</v>
      </c>
      <c r="D46" s="6">
        <f>Inputs!D214-Inputs!C214</f>
        <v>14</v>
      </c>
      <c r="E46" s="6">
        <f>Inputs!D214</f>
        <v>56</v>
      </c>
      <c r="F46" s="14">
        <v>15</v>
      </c>
      <c r="G46" s="14">
        <v>16</v>
      </c>
      <c r="H46" s="27">
        <v>17</v>
      </c>
      <c r="I46" s="2"/>
    </row>
    <row r="47">
      <c r="A47" s="3"/>
      <c r="B47" s="3" t="s">
        <v>186</v>
      </c>
      <c r="C47" s="14">
        <v>13</v>
      </c>
      <c r="D47" s="6">
        <f>Inputs!D215-Inputs!C215</f>
        <v>15</v>
      </c>
      <c r="E47" s="6">
        <f>Inputs!D215</f>
        <v>55</v>
      </c>
      <c r="F47" s="14">
        <v>15</v>
      </c>
      <c r="G47" s="14">
        <v>15</v>
      </c>
      <c r="H47" s="27">
        <v>15</v>
      </c>
      <c r="I47" s="2"/>
    </row>
    <row r="48">
      <c r="A48" s="3"/>
      <c r="B48" s="3" t="s">
        <v>187</v>
      </c>
      <c r="C48" s="14">
        <v>-6</v>
      </c>
      <c r="D48" s="6">
        <f>Inputs!D216-Inputs!C216</f>
        <v>-14</v>
      </c>
      <c r="E48" s="6">
        <f>Inputs!D216</f>
        <v>-32</v>
      </c>
      <c r="F48" s="14">
        <v>-11</v>
      </c>
      <c r="G48" s="14">
        <v>-8</v>
      </c>
      <c r="H48" s="27">
        <v>-8</v>
      </c>
      <c r="I48" s="2"/>
    </row>
    <row r="49">
      <c r="A49" s="3"/>
      <c r="B49" s="3" t="s">
        <v>178</v>
      </c>
      <c r="C49" s="14">
        <v>3</v>
      </c>
      <c r="D49" s="6">
        <f>Inputs!D217-Inputs!C217</f>
        <v>-1</v>
      </c>
      <c r="E49" s="6">
        <f>Inputs!D217</f>
        <v>-8</v>
      </c>
      <c r="F49" s="14">
        <v>-4</v>
      </c>
      <c r="G49" s="14">
        <v>2</v>
      </c>
      <c r="H49" s="27">
        <v>0</v>
      </c>
      <c r="I49" s="2"/>
    </row>
    <row r="50">
      <c r="A50" s="3"/>
      <c r="B50" s="15" t="s">
        <v>188</v>
      </c>
      <c r="C50" s="16">
        <f>SUM(C45:C49)</f>
        <v>96</v>
      </c>
      <c r="D50" s="16">
        <f>SUM(D45:D49)</f>
        <v>332</v>
      </c>
      <c r="E50" s="16">
        <f>SUM(E45:E49)</f>
        <v>629</v>
      </c>
      <c r="F50" s="16">
        <f>SUM(F45:F49)</f>
        <v>91</v>
      </c>
      <c r="G50" s="16">
        <f>SUM(G45:G49)</f>
        <v>105</v>
      </c>
      <c r="H50" s="17">
        <f>SUM(H45:H49)</f>
        <v>99</v>
      </c>
      <c r="I50" s="2"/>
    </row>
    <row r="51">
      <c r="A51" s="3"/>
      <c r="B51" s="31" t="s">
        <v>78</v>
      </c>
      <c r="C51" s="8">
        <f>IFERROR(C50/Inputs!C174-1,"n/a")</f>
        <v>0.10344827586206895</v>
      </c>
      <c r="D51" s="8">
        <f>IFERROR(D50/Inputs!D174-1,"n/a")</f>
        <v>3.882352941176471</v>
      </c>
      <c r="E51" s="8">
        <f>IFERROR(E50/Inputs!E174-1,"n/a")</f>
        <v>0.7971428571428572</v>
      </c>
      <c r="F51" s="8">
        <f>IFERROR(F50/Inputs!F174-1,"n/a")</f>
        <v>0.16666666666666674</v>
      </c>
      <c r="G51" s="8">
        <f>IFERROR(G50/Inputs!G174-1,"n/a")</f>
        <v>-0.14634146341463417</v>
      </c>
      <c r="H51" s="36">
        <f>H50/C50-1</f>
        <v>0.03125</v>
      </c>
      <c r="I51" s="2"/>
    </row>
    <row r="52">
      <c r="A52" s="3"/>
      <c r="B52" s="3" t="s">
        <v>189</v>
      </c>
      <c r="C52" s="14">
        <v>-327</v>
      </c>
      <c r="D52" s="14">
        <v>-325</v>
      </c>
      <c r="E52" s="14">
        <v>-1309</v>
      </c>
      <c r="F52" s="14">
        <v>-320</v>
      </c>
      <c r="G52" s="14">
        <v>-313</v>
      </c>
      <c r="H52" s="13">
        <f>-H139*H140/4</f>
        <v>-309.33540000000005</v>
      </c>
      <c r="I52" s="2"/>
    </row>
    <row r="53">
      <c r="A53" s="3"/>
      <c r="B53" s="31" t="s">
        <v>78</v>
      </c>
      <c r="C53" s="8">
        <f>IFERROR(C52/Inputs!C175-1,"n/a")</f>
        <v>0.04140127388535042</v>
      </c>
      <c r="D53" s="8">
        <f>IFERROR(D52/Inputs!D175-1,"n/a")</f>
        <v>0.04166666666666674</v>
      </c>
      <c r="E53" s="8">
        <f>IFERROR(E52/Inputs!E175-1,"n/a")</f>
        <v>0.03152088258471242</v>
      </c>
      <c r="F53" s="8">
        <f>IFERROR(F52/Inputs!F175-1,"n/a")</f>
        <v>-0.006211180124223614</v>
      </c>
      <c r="G53" s="8">
        <f>IFERROR(G52/Inputs!G175-1,"n/a")</f>
        <v>-0.06567164179104479</v>
      </c>
      <c r="H53" s="36">
        <f>H52/C52-1</f>
        <v>-0.05402018348623838</v>
      </c>
      <c r="I53" s="2"/>
    </row>
    <row r="54">
      <c r="A54" s="3"/>
      <c r="B54" s="15" t="s">
        <v>190</v>
      </c>
      <c r="C54" s="16">
        <f>C36+C50+C52</f>
        <v>2318</v>
      </c>
      <c r="D54" s="16">
        <f>D36+D50+D52</f>
        <v>2408</v>
      </c>
      <c r="E54" s="16">
        <f>E36+E50+E52</f>
        <v>9166</v>
      </c>
      <c r="F54" s="16">
        <f>F36+F50+F52</f>
        <v>2229</v>
      </c>
      <c r="G54" s="16">
        <f>G36+G50+G52</f>
        <v>2555</v>
      </c>
      <c r="H54" s="17">
        <f>H36+H50+H52</f>
        <v>2695.6252234308167</v>
      </c>
      <c r="I54" s="2"/>
    </row>
    <row r="55">
      <c r="A55" s="3"/>
      <c r="B55" s="31" t="s">
        <v>78</v>
      </c>
      <c r="C55" s="8">
        <f>IFERROR(C54/Inputs!C176-1,"n/a")</f>
        <v>0.05893101873001361</v>
      </c>
      <c r="D55" s="8">
        <f>IFERROR(D54/Inputs!D176-1,"n/a")</f>
        <v>0.0556773345024113</v>
      </c>
      <c r="E55" s="8">
        <f>IFERROR(E54/Inputs!E176-1,"n/a")</f>
        <v>0.04230156925176254</v>
      </c>
      <c r="F55" s="8">
        <f>IFERROR(F54/Inputs!F176-1,"n/a")</f>
        <v>0.04795486600846255</v>
      </c>
      <c r="G55" s="8">
        <f>IFERROR(G54/Inputs!G176-1,"n/a")</f>
        <v>0.1046260268050152</v>
      </c>
      <c r="H55" s="36">
        <f>H54/C54-1</f>
        <v>0.1629099324550547</v>
      </c>
      <c r="I55" s="2"/>
    </row>
    <row r="56">
      <c r="A56" s="3"/>
      <c r="B56" s="3" t="s">
        <v>191</v>
      </c>
      <c r="C56" s="14">
        <v>-530</v>
      </c>
      <c r="D56" s="14">
        <v>-560</v>
      </c>
      <c r="E56" s="14">
        <v>-2028</v>
      </c>
      <c r="F56" s="14">
        <v>-528</v>
      </c>
      <c r="G56" s="14">
        <v>-562</v>
      </c>
      <c r="H56" s="13">
        <f>-H54*H57</f>
        <v>-633.4719275062419</v>
      </c>
      <c r="I56" s="2"/>
    </row>
    <row r="57">
      <c r="A57" s="3"/>
      <c r="B57" s="31" t="s">
        <v>192</v>
      </c>
      <c r="C57" s="48">
        <f>-C56/C54</f>
        <v>0.2286453839516825</v>
      </c>
      <c r="D57" s="48">
        <f>-D56/D54</f>
        <v>0.23255813953488372</v>
      </c>
      <c r="E57" s="48">
        <f>-E56/E54</f>
        <v>0.22125245472397992</v>
      </c>
      <c r="F57" s="48">
        <f>-F56/F54</f>
        <v>0.23687752355316286</v>
      </c>
      <c r="G57" s="48">
        <f>-G56/G54</f>
        <v>0.21996086105675147</v>
      </c>
      <c r="H57" s="80">
        <v>0.235</v>
      </c>
      <c r="I57" s="2" t="s">
        <v>193</v>
      </c>
    </row>
    <row r="58">
      <c r="A58" s="3"/>
      <c r="B58" s="3" t="s">
        <v>94</v>
      </c>
      <c r="C58" s="71">
        <f>(C57+Inputs!C177/Inputs!C176)*10000</f>
        <v>-79.92350173488816</v>
      </c>
      <c r="D58" s="71">
        <f>(D57+Inputs!D177/Inputs!D176)*10000</f>
        <v>50.263552297543924</v>
      </c>
      <c r="E58" s="71">
        <f>(E57+Inputs!E177/Inputs!E176)*10000</f>
        <v>-115.19890056552268</v>
      </c>
      <c r="F58" s="71">
        <f>(F57+Inputs!F177/Inputs!F176)*10000</f>
        <v>13.345052174787986</v>
      </c>
      <c r="G58" s="71">
        <f>(G57+Inputs!G177/Inputs!G176)*10000</f>
        <v>310.28738272488613</v>
      </c>
      <c r="H58" s="74">
        <f>(H57-C57)*10000</f>
        <v>63.546160483174965</v>
      </c>
      <c r="I58" s="2"/>
    </row>
    <row r="59">
      <c r="A59" s="3"/>
      <c r="B59" s="3" t="s">
        <v>95</v>
      </c>
      <c r="C59" s="71">
        <f>(C57+Inputs!G177/Inputs!G176)*10000</f>
        <v>397.1326116741963</v>
      </c>
      <c r="D59" s="76">
        <f>(D57-C57)*10000</f>
        <v>39.12755583201227</v>
      </c>
      <c r="E59" s="76"/>
      <c r="F59" s="76">
        <f>(F57-D57)*10000</f>
        <v>43.19384018279138</v>
      </c>
      <c r="G59" s="76">
        <f>(G57-F57)*10000</f>
        <v>-169.16662496411382</v>
      </c>
      <c r="H59" s="74">
        <f>(H57-G57)*10000</f>
        <v>150.39138943248514</v>
      </c>
      <c r="I59" s="2"/>
    </row>
    <row r="60">
      <c r="A60" s="3"/>
      <c r="B60" s="15" t="s">
        <v>194</v>
      </c>
      <c r="C60" s="16">
        <f>C54+C56</f>
        <v>1788</v>
      </c>
      <c r="D60" s="16">
        <f>D54+D56</f>
        <v>1848</v>
      </c>
      <c r="E60" s="16">
        <f>E54+E56</f>
        <v>7138</v>
      </c>
      <c r="F60" s="16">
        <f>F54+F56</f>
        <v>1701</v>
      </c>
      <c r="G60" s="16">
        <f>G54+G56</f>
        <v>1993</v>
      </c>
      <c r="H60" s="17">
        <f>H54+H56</f>
        <v>2062.153295924575</v>
      </c>
      <c r="I60" s="2"/>
    </row>
    <row r="61">
      <c r="A61" s="3"/>
      <c r="B61" s="31" t="s">
        <v>78</v>
      </c>
      <c r="C61" s="8">
        <f>IFERROR(C60/Inputs!C178-1,"n/a")</f>
        <v>0.07001795332136451</v>
      </c>
      <c r="D61" s="8">
        <f>IFERROR(D60/Inputs!D178-1,"n/a")</f>
        <v>0.04880817253121461</v>
      </c>
      <c r="E61" s="8">
        <f>IFERROR(E60/Inputs!E178-1,"n/a")</f>
        <v>0.05795168222913882</v>
      </c>
      <c r="F61" s="8">
        <f>IFERROR(F60/Inputs!F178-1,"n/a")</f>
        <v>0.046125461254612476</v>
      </c>
      <c r="G61" s="8">
        <f>IFERROR(G60/Inputs!G178-1,"n/a")</f>
        <v>0.062366737739872</v>
      </c>
      <c r="H61" s="36">
        <f>H60/C60-1</f>
        <v>0.1533295838504336</v>
      </c>
      <c r="I61" s="2"/>
    </row>
    <row r="62">
      <c r="A62" s="3"/>
      <c r="B62" s="31" t="s">
        <v>195</v>
      </c>
      <c r="C62" s="48">
        <f>C60/C12</f>
        <v>0.2863549007046765</v>
      </c>
      <c r="D62" s="48">
        <f>D60/D12</f>
        <v>0.3036976170912079</v>
      </c>
      <c r="E62" s="48">
        <f>E60/E12</f>
        <v>0.2912280701754386</v>
      </c>
      <c r="F62" s="48">
        <f>F60/F12</f>
        <v>0.27360463245938554</v>
      </c>
      <c r="G62" s="48">
        <f>G60/G12</f>
        <v>0.29035547785547783</v>
      </c>
      <c r="H62" s="36">
        <f>H60/H12</f>
        <v>0.28741573208214016</v>
      </c>
      <c r="I62" s="2"/>
    </row>
    <row r="63">
      <c r="A63" s="3"/>
      <c r="B63" s="3" t="s">
        <v>94</v>
      </c>
      <c r="C63" s="71">
        <f>(C62-Inputs!C178/Inputs!C127)*10000</f>
        <v>120.15711737347668</v>
      </c>
      <c r="D63" s="71">
        <f>(D62-Inputs!D178/Inputs!D127)*10000</f>
        <v>158.36156545545433</v>
      </c>
      <c r="E63" s="71">
        <f>(E62-Inputs!E178/Inputs!E127)*10000</f>
        <v>130.012660517273</v>
      </c>
      <c r="F63" s="71">
        <f>(F62-Inputs!F178/Inputs!F127)*10000</f>
        <v>38.18669293631449</v>
      </c>
      <c r="G63" s="71">
        <f>(G62-Inputs!G178/Inputs!G127)*10000</f>
        <v>-144.86901085048632</v>
      </c>
      <c r="H63" s="74">
        <f>(H62-C62)*10000</f>
        <v>10.608313774636557</v>
      </c>
      <c r="I63" s="2"/>
    </row>
    <row r="64">
      <c r="A64" s="3"/>
      <c r="B64" s="3" t="s">
        <v>95</v>
      </c>
      <c r="C64" s="71">
        <f>(C62-Inputs!G178/Inputs!G127)*10000</f>
        <v>-184.87478235849952</v>
      </c>
      <c r="D64" s="76">
        <f>(D62-C62)*10000</f>
        <v>173.427163865314</v>
      </c>
      <c r="E64" s="76"/>
      <c r="F64" s="76">
        <f>(F62-D62)*10000</f>
        <v>-300.9298463182236</v>
      </c>
      <c r="G64" s="76">
        <f>(G62-F62)*10000</f>
        <v>167.50845396092285</v>
      </c>
      <c r="H64" s="74">
        <f>(H62-G62)*10000</f>
        <v>-29.397457733376655</v>
      </c>
      <c r="I64" s="2"/>
    </row>
    <row r="65">
      <c r="A65" s="3"/>
      <c r="B65" s="50" t="s">
        <v>196</v>
      </c>
      <c r="C65" s="12"/>
      <c r="D65" s="12"/>
      <c r="E65" s="12"/>
      <c r="F65" s="12"/>
      <c r="G65" s="12"/>
      <c r="H65" s="41"/>
      <c r="I65" s="2"/>
    </row>
    <row r="66">
      <c r="A66" s="3"/>
      <c r="B66" s="3" t="s">
        <v>197</v>
      </c>
      <c r="C66" s="6">
        <f>'Share Count'!C10</f>
        <v>592.4</v>
      </c>
      <c r="D66" s="6">
        <f>'Share Count'!D10</f>
        <v>592.5</v>
      </c>
      <c r="E66" s="6">
        <f>'Share Count'!E10</f>
        <v>595</v>
      </c>
      <c r="F66" s="6">
        <f>'Share Count'!F10</f>
        <v>593</v>
      </c>
      <c r="G66" s="6">
        <f>'Share Count'!G10</f>
        <v>593.4</v>
      </c>
      <c r="H66" s="22">
        <f>'Share Count'!H10</f>
        <v>593.6</v>
      </c>
      <c r="I66" s="2"/>
    </row>
    <row r="67">
      <c r="A67" s="3"/>
      <c r="B67" s="3" t="s">
        <v>198</v>
      </c>
      <c r="C67" s="6">
        <f>'Share Count'!C16</f>
        <v>593.2</v>
      </c>
      <c r="D67" s="6">
        <f>'Share Count'!D16</f>
        <v>593.5</v>
      </c>
      <c r="E67" s="6">
        <f>'Share Count'!E16</f>
        <v>595.9</v>
      </c>
      <c r="F67" s="6">
        <f>'Share Count'!F16</f>
        <v>593.6</v>
      </c>
      <c r="G67" s="6">
        <f>'Share Count'!G16</f>
        <v>594</v>
      </c>
      <c r="H67" s="22">
        <f>'Share Count'!H16</f>
        <v>594.2</v>
      </c>
      <c r="I67" s="2"/>
    </row>
    <row r="68">
      <c r="A68" s="3"/>
      <c r="B68" s="3" t="s">
        <v>199</v>
      </c>
      <c r="C68" s="40">
        <f>C60/C66</f>
        <v>3.0182309250506414</v>
      </c>
      <c r="D68" s="40">
        <f>D60/D66</f>
        <v>3.118987341772152</v>
      </c>
      <c r="E68" s="40">
        <f>E60/E66</f>
        <v>11.996638655462185</v>
      </c>
      <c r="F68" s="40">
        <f>F60/F66</f>
        <v>2.8684654300168635</v>
      </c>
      <c r="G68" s="40">
        <f>G60/G66</f>
        <v>3.3586113919784295</v>
      </c>
      <c r="H68" s="72">
        <f>H60/H66</f>
        <v>3.4739779244012383</v>
      </c>
      <c r="I68" s="2"/>
    </row>
    <row r="69">
      <c r="A69" s="3"/>
      <c r="B69" s="15" t="s">
        <v>200</v>
      </c>
      <c r="C69" s="77">
        <f>C60/C67</f>
        <v>3.01416048550236</v>
      </c>
      <c r="D69" s="77">
        <f>D60/D67</f>
        <v>3.113732097725358</v>
      </c>
      <c r="E69" s="77">
        <f>E60/E67</f>
        <v>11.978519885886895</v>
      </c>
      <c r="F69" s="77">
        <f>F60/F67</f>
        <v>2.865566037735849</v>
      </c>
      <c r="G69" s="77">
        <f>G60/G67</f>
        <v>3.355218855218855</v>
      </c>
      <c r="H69" s="73">
        <f>H60/H67</f>
        <v>3.4704700368976353</v>
      </c>
      <c r="I69" s="2"/>
    </row>
    <row r="70">
      <c r="A70" s="3"/>
      <c r="B70" s="31" t="s">
        <v>78</v>
      </c>
      <c r="C70" s="8">
        <f>C69/Inputs!C179-1</f>
        <v>0.0960583583644945</v>
      </c>
      <c r="D70" s="8">
        <f>D69/Inputs!D179-1</f>
        <v>0.07001103014617116</v>
      </c>
      <c r="E70" s="8">
        <f>E69/Inputs!E179-1</f>
        <v>0.08011901585995451</v>
      </c>
      <c r="F70" s="8">
        <f>F69/Inputs!F179-1</f>
        <v>0.06132075471698095</v>
      </c>
      <c r="G70" s="8">
        <f>G69/Inputs!G179-1</f>
        <v>0.06514884292662071</v>
      </c>
      <c r="H70" s="36">
        <f>H69/C69-1</f>
        <v>0.15138860508259366</v>
      </c>
      <c r="I70" s="2"/>
    </row>
    <row r="71">
      <c r="A71" s="3"/>
      <c r="B71" s="3" t="s">
        <v>201</v>
      </c>
      <c r="C71" s="32">
        <f>Inputs!G104</f>
        <v>3.01</v>
      </c>
      <c r="D71" s="32">
        <f>Inputs!G105</f>
        <v>3.11</v>
      </c>
      <c r="E71" s="75">
        <v>11.98</v>
      </c>
      <c r="F71" s="32">
        <f>Inputs!G106</f>
        <v>2.87</v>
      </c>
      <c r="G71" s="32">
        <f>Inputs!G107</f>
        <v>3.36</v>
      </c>
      <c r="H71" s="72"/>
      <c r="I71" s="2" t="s">
        <v>202</v>
      </c>
    </row>
    <row r="72">
      <c r="A72" s="3"/>
      <c r="B72" s="31" t="s">
        <v>203</v>
      </c>
      <c r="C72" s="5" t="b">
        <f>ABS(ROUND(C60/C67,2)-C71)&lt;0.005</f>
        <v>1</v>
      </c>
      <c r="D72" s="5" t="b">
        <f>ABS(ROUND(D60/D67,2)-D71)&lt;0.005</f>
        <v>1</v>
      </c>
      <c r="E72" s="5" t="b">
        <f>ABS(ROUND(E60/E67,2)-E71)&lt;0.005</f>
        <v>1</v>
      </c>
      <c r="F72" s="5" t="b">
        <f>ABS(ROUND(F60/F67,2)-F71)&lt;0.005</f>
        <v>1</v>
      </c>
      <c r="G72" s="5" t="b">
        <f>ABS(ROUND(G60/G67,2)-G71)&lt;0.005</f>
        <v>1</v>
      </c>
      <c r="H72" s="69" t="b">
        <f>ABS(H69-H60/H67)&lt;0.000001</f>
        <v>1</v>
      </c>
      <c r="I72" s="2" t="s">
        <v>138</v>
      </c>
    </row>
    <row r="73">
      <c r="A73" s="3"/>
      <c r="B73" s="3" t="s">
        <v>204</v>
      </c>
      <c r="C73" s="75">
        <v>1.38</v>
      </c>
      <c r="D73" s="75">
        <v>1.38</v>
      </c>
      <c r="E73" s="75">
        <v>5.44</v>
      </c>
      <c r="F73" s="75">
        <v>1.38</v>
      </c>
      <c r="G73" s="75">
        <v>1.38</v>
      </c>
      <c r="H73" s="82">
        <v>1.42</v>
      </c>
      <c r="I73" s="2"/>
    </row>
    <row r="74">
      <c r="A74" s="3"/>
      <c r="B74" s="31" t="s">
        <v>78</v>
      </c>
      <c r="C74" s="8">
        <f>IFERROR(C73/Inputs!C181-1,"n/a")</f>
        <v>0.02985074626865658</v>
      </c>
      <c r="D74" s="8">
        <f>IFERROR(D73/Inputs!D181-1,"n/a")</f>
        <v>0.02985074626865658</v>
      </c>
      <c r="E74" s="8">
        <f>IFERROR(E73/Inputs!E181-1,"n/a")</f>
        <v>0.030303030303030276</v>
      </c>
      <c r="F74" s="8">
        <f>IFERROR(F73/Inputs!F181-1,"n/a")</f>
        <v>0.02985074626865658</v>
      </c>
      <c r="G74" s="8">
        <f>IFERROR(G73/Inputs!G181-1,"n/a")</f>
        <v>0.02985074626865658</v>
      </c>
      <c r="H74" s="36">
        <f>H73/C73-1</f>
        <v>0.02898550724637694</v>
      </c>
      <c r="I74" s="2"/>
    </row>
    <row r="75">
      <c r="A75" s="3"/>
      <c r="B75" s="3" t="s">
        <v>114</v>
      </c>
      <c r="C75" s="32">
        <f>C73-Inputs!G181</f>
        <v>0.039999999999999813</v>
      </c>
      <c r="D75" s="40">
        <f>D73-C73</f>
        <v>0</v>
      </c>
      <c r="E75" s="40"/>
      <c r="F75" s="40">
        <f>F73-D73</f>
        <v>0</v>
      </c>
      <c r="G75" s="40">
        <f>G73-F73</f>
        <v>0</v>
      </c>
      <c r="H75" s="72">
        <f>H73-G73</f>
        <v>0.040000000000000036</v>
      </c>
      <c r="I75" s="2"/>
    </row>
    <row r="76">
      <c r="A76" s="3"/>
      <c r="B76" s="3"/>
      <c r="C76" s="12"/>
      <c r="D76" s="12"/>
      <c r="E76" s="12"/>
      <c r="F76" s="12"/>
      <c r="G76" s="12"/>
      <c r="H76" s="41"/>
      <c r="I76" s="2"/>
    </row>
    <row r="77">
      <c r="A77" s="3"/>
      <c r="B77" s="50" t="s">
        <v>205</v>
      </c>
      <c r="C77" s="12"/>
      <c r="D77" s="12"/>
      <c r="E77" s="12"/>
      <c r="F77" s="12"/>
      <c r="G77" s="12"/>
      <c r="H77" s="41"/>
      <c r="I77" s="2"/>
    </row>
    <row r="78">
      <c r="A78" s="3"/>
      <c r="B78" s="3" t="s">
        <v>206</v>
      </c>
      <c r="C78" s="4">
        <f>C60</f>
        <v>1788</v>
      </c>
      <c r="D78" s="4">
        <f>D60</f>
        <v>1848</v>
      </c>
      <c r="E78" s="4">
        <f>E60</f>
        <v>7138</v>
      </c>
      <c r="F78" s="4">
        <f>F60</f>
        <v>1701</v>
      </c>
      <c r="G78" s="4">
        <f>G60</f>
        <v>1993</v>
      </c>
      <c r="H78" s="13">
        <f>H60</f>
        <v>2062.153295924575</v>
      </c>
      <c r="I78" s="2"/>
    </row>
    <row r="79">
      <c r="A79" s="3"/>
      <c r="B79" s="3" t="s">
        <v>207</v>
      </c>
      <c r="C79" s="4">
        <f>C131</f>
        <v>41</v>
      </c>
      <c r="D79" s="4">
        <f>D131</f>
        <v>30</v>
      </c>
      <c r="E79" s="4">
        <f>E131</f>
        <v>72</v>
      </c>
      <c r="F79" s="4">
        <f>F131</f>
        <v>36</v>
      </c>
      <c r="G79" s="4">
        <f>G131</f>
        <v>35</v>
      </c>
      <c r="H79" s="13">
        <f>H131</f>
        <v>20</v>
      </c>
      <c r="I79" s="2"/>
    </row>
    <row r="80">
      <c r="A80" s="3"/>
      <c r="B80" s="3" t="s">
        <v>208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27">
        <v>0</v>
      </c>
      <c r="I80" s="2"/>
    </row>
    <row r="81">
      <c r="A81" s="3"/>
      <c r="B81" s="3" t="s">
        <v>209</v>
      </c>
      <c r="C81" s="14">
        <v>0</v>
      </c>
      <c r="D81" s="14">
        <v>-234</v>
      </c>
      <c r="E81" s="14">
        <v>-250</v>
      </c>
      <c r="F81" s="14">
        <v>0</v>
      </c>
      <c r="G81" s="14">
        <v>0</v>
      </c>
      <c r="H81" s="27">
        <v>0</v>
      </c>
      <c r="I81" s="2"/>
    </row>
    <row r="82">
      <c r="A82" s="3"/>
      <c r="B82" s="3" t="s">
        <v>210</v>
      </c>
      <c r="C82" s="14">
        <v>0</v>
      </c>
      <c r="D82" s="14">
        <v>56</v>
      </c>
      <c r="E82" s="14">
        <v>60</v>
      </c>
      <c r="F82" s="14">
        <v>0</v>
      </c>
      <c r="G82" s="14">
        <v>0</v>
      </c>
      <c r="H82" s="27">
        <v>0</v>
      </c>
      <c r="I82" s="2"/>
    </row>
    <row r="83">
      <c r="A83" s="3"/>
      <c r="B83" s="3" t="s">
        <v>211</v>
      </c>
      <c r="C83" s="14">
        <v>0</v>
      </c>
      <c r="D83" s="14">
        <v>0</v>
      </c>
      <c r="E83" s="14">
        <v>-115</v>
      </c>
      <c r="F83" s="14">
        <v>0</v>
      </c>
      <c r="G83" s="14">
        <v>0</v>
      </c>
      <c r="H83" s="27">
        <v>0</v>
      </c>
      <c r="I83" s="2"/>
    </row>
    <row r="84">
      <c r="A84" s="3"/>
      <c r="B84" s="3" t="s">
        <v>212</v>
      </c>
      <c r="C84" s="14">
        <v>0</v>
      </c>
      <c r="D84" s="14">
        <v>0</v>
      </c>
      <c r="E84" s="14">
        <v>55</v>
      </c>
      <c r="F84" s="14">
        <v>0</v>
      </c>
      <c r="G84" s="14">
        <v>0</v>
      </c>
      <c r="H84" s="27">
        <v>0</v>
      </c>
      <c r="I84" s="2"/>
    </row>
    <row r="85">
      <c r="A85" s="3"/>
      <c r="B85" s="3" t="s">
        <v>213</v>
      </c>
      <c r="C85" s="14">
        <v>0</v>
      </c>
      <c r="D85" s="14">
        <v>0</v>
      </c>
      <c r="E85" s="14">
        <v>-13</v>
      </c>
      <c r="F85" s="14">
        <v>0</v>
      </c>
      <c r="G85" s="14">
        <v>0</v>
      </c>
      <c r="H85" s="27">
        <v>0</v>
      </c>
      <c r="I85" s="2"/>
    </row>
    <row r="86">
      <c r="A86" s="3"/>
      <c r="B86" s="15" t="s">
        <v>214</v>
      </c>
      <c r="C86" s="16">
        <f>SUM(C78:C85)</f>
        <v>1829</v>
      </c>
      <c r="D86" s="16">
        <f>SUM(D78:D85)</f>
        <v>1700</v>
      </c>
      <c r="E86" s="16">
        <f>SUM(E78:E85)</f>
        <v>6947</v>
      </c>
      <c r="F86" s="16">
        <f>SUM(F78:F85)</f>
        <v>1737</v>
      </c>
      <c r="G86" s="16">
        <f>SUM(G78:G85)</f>
        <v>2028</v>
      </c>
      <c r="H86" s="17">
        <f>SUM(H78:H85)</f>
        <v>2082.153295924575</v>
      </c>
      <c r="I86" s="2"/>
    </row>
    <row r="87">
      <c r="A87" s="3"/>
      <c r="B87" s="31" t="s">
        <v>78</v>
      </c>
      <c r="C87" s="8">
        <f>C86/(Inputs!C180*Inputs!C183)-1</f>
        <v>0.09282107967615683</v>
      </c>
      <c r="D87" s="8">
        <f>D86/(Inputs!D180*Inputs!D183)-1</f>
        <v>-0.05101730944427574</v>
      </c>
      <c r="E87" s="8">
        <f>E86/(Inputs!E180*Inputs!E183)-1</f>
        <v>0.027427750990675737</v>
      </c>
      <c r="F87" s="8">
        <f>F86/(Inputs!F180*Inputs!F183)-1</f>
        <v>0.06883756991748347</v>
      </c>
      <c r="G87" s="8">
        <f>G86/(Inputs!G180*Inputs!G183)-1</f>
        <v>0.1252638377489399</v>
      </c>
      <c r="H87" s="36">
        <f>H86/C86-1</f>
        <v>0.13841076868484148</v>
      </c>
      <c r="I87" s="2" t="s">
        <v>215</v>
      </c>
    </row>
    <row r="88">
      <c r="A88" s="3"/>
      <c r="B88" s="15" t="s">
        <v>216</v>
      </c>
      <c r="C88" s="77">
        <f>C86/C67</f>
        <v>3.083277140930546</v>
      </c>
      <c r="D88" s="77">
        <f>D86/D67</f>
        <v>2.864363942712721</v>
      </c>
      <c r="E88" s="77">
        <f>E86/E67</f>
        <v>11.657996308105387</v>
      </c>
      <c r="F88" s="77">
        <f>F86/F67</f>
        <v>2.9262129380053907</v>
      </c>
      <c r="G88" s="77">
        <f>G86/G67</f>
        <v>3.414141414141414</v>
      </c>
      <c r="H88" s="73">
        <f>H86/H67</f>
        <v>3.5041287376717856</v>
      </c>
      <c r="I88" s="2"/>
    </row>
    <row r="89">
      <c r="A89" s="3"/>
      <c r="B89" s="31" t="s">
        <v>78</v>
      </c>
      <c r="C89" s="8">
        <f>C88/Inputs!C180-1</f>
        <v>0.12119168761110766</v>
      </c>
      <c r="D89" s="8">
        <f>D88/Inputs!D180-1</f>
        <v>-0.03230947881326984</v>
      </c>
      <c r="E89" s="8">
        <f>E88/Inputs!E180-1</f>
        <v>0.0493246001895038</v>
      </c>
      <c r="F89" s="8">
        <f>F88/Inputs!F180-1</f>
        <v>0.08378256963162611</v>
      </c>
      <c r="G89" s="8">
        <f>G88/Inputs!G180-1</f>
        <v>0.12677934460112672</v>
      </c>
      <c r="H89" s="36">
        <f>H88/C88-1</f>
        <v>0.13649489731377984</v>
      </c>
      <c r="I89" s="2"/>
    </row>
    <row r="90">
      <c r="A90" s="3"/>
      <c r="B90" s="3" t="s">
        <v>217</v>
      </c>
      <c r="C90" s="32">
        <f>Inputs!E104</f>
        <v>3.08</v>
      </c>
      <c r="D90" s="32">
        <f>Inputs!E105</f>
        <v>2.86</v>
      </c>
      <c r="E90" s="75">
        <v>11.66</v>
      </c>
      <c r="F90" s="32">
        <f>Inputs!E106</f>
        <v>2.93</v>
      </c>
      <c r="G90" s="32">
        <f>Inputs!E107</f>
        <v>3.41</v>
      </c>
      <c r="H90" s="72"/>
      <c r="I90" s="2" t="s">
        <v>218</v>
      </c>
    </row>
    <row r="91">
      <c r="A91" s="3"/>
      <c r="B91" s="31" t="s">
        <v>219</v>
      </c>
      <c r="C91" s="5" t="b">
        <f>ABS(ROUND(C88,2)-C90)&lt;0.005</f>
        <v>1</v>
      </c>
      <c r="D91" s="5" t="b">
        <f>ABS(ROUND(D88,2)-D90)&lt;0.005</f>
        <v>1</v>
      </c>
      <c r="E91" s="5" t="b">
        <f>ABS(ROUND(E88,2)-E90)&lt;0.005</f>
        <v>1</v>
      </c>
      <c r="F91" s="5" t="b">
        <f>ABS(ROUND(F88,2)-F90)&lt;0.005</f>
        <v>1</v>
      </c>
      <c r="G91" s="5" t="b">
        <f>ABS(ROUND(G88,2)-G90)&lt;0.005</f>
        <v>1</v>
      </c>
      <c r="H91" s="69"/>
      <c r="I91" s="2"/>
    </row>
    <row r="92">
      <c r="A92" s="3"/>
      <c r="B92" s="15" t="s">
        <v>220</v>
      </c>
      <c r="C92" s="16">
        <f>C36+C79+C84</f>
        <v>2590</v>
      </c>
      <c r="D92" s="16">
        <f>D36+D79+D84</f>
        <v>2431</v>
      </c>
      <c r="E92" s="16">
        <f>E36+E79+E84</f>
        <v>9973</v>
      </c>
      <c r="F92" s="16">
        <f>F36+F79+F84</f>
        <v>2494</v>
      </c>
      <c r="G92" s="16">
        <f>G36+G79+G84</f>
        <v>2798</v>
      </c>
      <c r="H92" s="17">
        <f>H36+H79+H84</f>
        <v>2925.9606234308167</v>
      </c>
      <c r="I92" s="2"/>
    </row>
    <row r="93">
      <c r="A93" s="3"/>
      <c r="B93" s="31" t="s">
        <v>221</v>
      </c>
      <c r="C93" s="48">
        <f>1-C92/C12</f>
        <v>0.5852017937219731</v>
      </c>
      <c r="D93" s="48">
        <f>1-D92/D12</f>
        <v>0.6004930156121611</v>
      </c>
      <c r="E93" s="48">
        <f>1-E92/E12</f>
        <v>0.5931048551611586</v>
      </c>
      <c r="F93" s="48">
        <f>1-F92/F12</f>
        <v>0.598841885153611</v>
      </c>
      <c r="G93" s="48">
        <f>1-G92/G12</f>
        <v>0.5923659673659674</v>
      </c>
      <c r="H93" s="36">
        <f>1-H92/H12</f>
        <v>0.5921898162038277</v>
      </c>
      <c r="I93" s="2"/>
    </row>
    <row r="94">
      <c r="A94" s="3"/>
      <c r="B94" s="3" t="s">
        <v>94</v>
      </c>
      <c r="C94" s="71">
        <f>(C93-(1-Inputs!C133/Inputs!C127))*10000</f>
        <v>-181.4741002125464</v>
      </c>
      <c r="D94" s="71">
        <f>(D93-(1-Inputs!D133/Inputs!D127))*10000</f>
        <v>195.42190583570985</v>
      </c>
      <c r="E94" s="71">
        <f>(E93-(1-Inputs!E133/Inputs!E127))*10000</f>
        <v>-56.58031436779565</v>
      </c>
      <c r="F94" s="71">
        <f>(F93-(1-Inputs!F133/Inputs!F127))*10000</f>
        <v>-77.61731902967695</v>
      </c>
      <c r="G94" s="71">
        <f>(G93-(1-Inputs!G133/Inputs!G127))*10000</f>
        <v>116.05486377992081</v>
      </c>
      <c r="H94" s="74">
        <f>(H93-C93)*10000</f>
        <v>69.88022481854594</v>
      </c>
      <c r="I94" s="2"/>
    </row>
    <row r="95">
      <c r="A95" s="3"/>
      <c r="B95" s="3" t="s">
        <v>95</v>
      </c>
      <c r="C95" s="71">
        <f>(C93-(1-Inputs!G133/Inputs!G127))*10000</f>
        <v>44.413127339978374</v>
      </c>
      <c r="D95" s="76">
        <f>(D93-C93)*10000</f>
        <v>152.91221890187944</v>
      </c>
      <c r="E95" s="76"/>
      <c r="F95" s="76">
        <f>(F93-D93)*10000</f>
        <v>-16.51130458550032</v>
      </c>
      <c r="G95" s="76">
        <f>(G93-F93)*10000</f>
        <v>-64.7591778764367</v>
      </c>
      <c r="H95" s="74">
        <f>(H93-G93)*10000</f>
        <v>-1.7615116213964832</v>
      </c>
      <c r="I95" s="2"/>
    </row>
    <row r="96">
      <c r="A96" s="3"/>
      <c r="B96" s="15" t="s">
        <v>222</v>
      </c>
      <c r="C96" s="16">
        <f>C60-C56+C25-C52</f>
        <v>3263</v>
      </c>
      <c r="D96" s="16">
        <f>D60-D56+D25-D52</f>
        <v>3357</v>
      </c>
      <c r="E96" s="16">
        <f>E60-E56+E25-E52</f>
        <v>12940</v>
      </c>
      <c r="F96" s="16">
        <f>F60-F56+F25-F52</f>
        <v>3182</v>
      </c>
      <c r="G96" s="16">
        <f>G60-G56+G25-G52</f>
        <v>3506</v>
      </c>
      <c r="H96" s="17">
        <f>H60-H56+H25-H52</f>
        <v>3647.9606234308167</v>
      </c>
      <c r="I96" s="2" t="s">
        <v>223</v>
      </c>
    </row>
    <row r="97">
      <c r="A97" s="3"/>
      <c r="B97" s="31" t="s">
        <v>224</v>
      </c>
      <c r="C97" s="48">
        <f>C96/C12</f>
        <v>0.5225816784112748</v>
      </c>
      <c r="D97" s="48">
        <f>D96/D12</f>
        <v>0.551684470008217</v>
      </c>
      <c r="E97" s="48">
        <f>E96/E12</f>
        <v>0.5279477764177887</v>
      </c>
      <c r="F97" s="48">
        <f>F96/F12</f>
        <v>0.5118224223902204</v>
      </c>
      <c r="G97" s="48">
        <f>G96/G12</f>
        <v>0.5107808857808858</v>
      </c>
      <c r="H97" s="36">
        <f>H96/H12</f>
        <v>0.5084400249303958</v>
      </c>
      <c r="I97" s="2"/>
    </row>
    <row r="98">
      <c r="A98" s="3"/>
      <c r="B98" s="3" t="s">
        <v>94</v>
      </c>
      <c r="C98" s="71">
        <f>(C97-(Inputs!C178-Inputs!C177+Inputs!C169-Inputs!C175)/Inputs!C127)*10000</f>
        <v>128.13167493527345</v>
      </c>
      <c r="D98" s="71">
        <f>(D97-(Inputs!D178-Inputs!D177+Inputs!D169-Inputs!D175)/Inputs!D127)*10000</f>
        <v>290.57448279741214</v>
      </c>
      <c r="E98" s="71">
        <f>(E97-(Inputs!E178-Inputs!E177+Inputs!E169-Inputs!E175)/Inputs!E127)*10000</f>
        <v>140.92106314695928</v>
      </c>
      <c r="F98" s="71">
        <f>(F97-(Inputs!F178-Inputs!F177+Inputs!F169-Inputs!F175)/Inputs!F127)*10000</f>
        <v>42.73061182322513</v>
      </c>
      <c r="G98" s="71">
        <f>(G97-(Inputs!G178-Inputs!G177+Inputs!G169-Inputs!G175)/Inputs!G127)*10000</f>
        <v>-191.18366737801318</v>
      </c>
      <c r="H98" s="74">
        <f>(H97-C97)*10000</f>
        <v>-141.41653480879035</v>
      </c>
      <c r="I98" s="2"/>
    </row>
    <row r="99">
      <c r="A99" s="3"/>
      <c r="B99" s="3" t="s">
        <v>95</v>
      </c>
      <c r="C99" s="71">
        <f>(C97-(Inputs!G178-Inputs!G177+Inputs!G169-Inputs!G175)/Inputs!G127)*10000</f>
        <v>-73.17574107412295</v>
      </c>
      <c r="D99" s="76">
        <f>(D97-C97)*10000</f>
        <v>291.02791596942177</v>
      </c>
      <c r="E99" s="76"/>
      <c r="F99" s="76">
        <f>(F97-D97)*10000</f>
        <v>-398.6204761799661</v>
      </c>
      <c r="G99" s="76">
        <f>(G97-F97)*10000</f>
        <v>-10.415366093345924</v>
      </c>
      <c r="H99" s="74">
        <f>(H97-G97)*10000</f>
        <v>-23.40860850490012</v>
      </c>
      <c r="I99" s="2"/>
    </row>
    <row r="100">
      <c r="A100" s="3"/>
      <c r="B100" s="3" t="s">
        <v>225</v>
      </c>
      <c r="C100" s="40"/>
      <c r="D100" s="40"/>
      <c r="E100" s="40"/>
      <c r="F100" s="40"/>
      <c r="G100" s="40"/>
      <c r="H100" s="65">
        <f>Inputs!C43</f>
        <v>3.47</v>
      </c>
      <c r="I100" s="2"/>
    </row>
    <row r="101">
      <c r="A101" s="3"/>
      <c r="B101" s="3" t="s">
        <v>226</v>
      </c>
      <c r="C101" s="40"/>
      <c r="D101" s="40"/>
      <c r="E101" s="40"/>
      <c r="F101" s="40"/>
      <c r="G101" s="40"/>
      <c r="H101" s="72">
        <f>H88-H100</f>
        <v>0.03412873767178537</v>
      </c>
      <c r="I101" s="2"/>
    </row>
    <row r="102">
      <c r="A102" s="3"/>
      <c r="B102" s="3"/>
      <c r="C102" s="12"/>
      <c r="D102" s="12"/>
      <c r="E102" s="12"/>
      <c r="F102" s="12"/>
      <c r="G102" s="12"/>
      <c r="H102" s="41"/>
      <c r="I102" s="2"/>
    </row>
    <row r="103">
      <c r="A103" s="3"/>
      <c r="B103" s="50" t="s">
        <v>227</v>
      </c>
      <c r="C103" s="12"/>
      <c r="D103" s="12"/>
      <c r="E103" s="12"/>
      <c r="F103" s="12"/>
      <c r="G103" s="12"/>
      <c r="H103" s="41"/>
      <c r="I103" s="2"/>
    </row>
    <row r="104">
      <c r="A104" s="3"/>
      <c r="B104" s="3" t="s">
        <v>228</v>
      </c>
      <c r="C104" s="79">
        <v>28871</v>
      </c>
      <c r="D104" s="79">
        <v>28418</v>
      </c>
      <c r="E104" s="79">
        <v>29287</v>
      </c>
      <c r="F104" s="79">
        <v>28647</v>
      </c>
      <c r="G104" s="79">
        <v>28786</v>
      </c>
      <c r="H104" s="90">
        <v>29000</v>
      </c>
      <c r="I104" s="2" t="s">
        <v>229</v>
      </c>
    </row>
    <row r="105">
      <c r="A105" s="3"/>
      <c r="B105" s="31" t="s">
        <v>78</v>
      </c>
      <c r="C105" s="8">
        <f>IFERROR(C104/Inputs!C185-1,"n/a")</f>
        <v>-0.03589794964269022</v>
      </c>
      <c r="D105" s="8">
        <f>IFERROR(D104/Inputs!D185-1,"n/a")</f>
        <v>-0.04602370002349865</v>
      </c>
      <c r="E105" s="8">
        <f>IFERROR(E104/Inputs!E185-1,"n/a")</f>
        <v>-0.034579377637130815</v>
      </c>
      <c r="F105" s="8">
        <f>IFERROR(F104/Inputs!F185-1,"n/a")</f>
        <v>-0.04972467325681684</v>
      </c>
      <c r="G105" s="8">
        <f>IFERROR(G104/Inputs!G185-1,"n/a")</f>
        <v>-0.031133250311332517</v>
      </c>
      <c r="H105" s="36">
        <f>H104/C104-1</f>
        <v>0.004468151432233114</v>
      </c>
      <c r="I105" s="2"/>
    </row>
    <row r="106">
      <c r="A106" s="3"/>
      <c r="B106" s="3" t="s">
        <v>230</v>
      </c>
      <c r="C106" s="71">
        <f>C104-Inputs!G185</f>
        <v>-840</v>
      </c>
      <c r="D106" s="76">
        <f>D104-C104</f>
        <v>-453</v>
      </c>
      <c r="E106" s="76"/>
      <c r="F106" s="76">
        <f>F104-D104</f>
        <v>229</v>
      </c>
      <c r="G106" s="76">
        <f>G104-F104</f>
        <v>139</v>
      </c>
      <c r="H106" s="74">
        <f>H104-G104</f>
        <v>214</v>
      </c>
      <c r="I106" s="2"/>
    </row>
    <row r="107">
      <c r="A107" s="3"/>
      <c r="B107" s="3" t="s">
        <v>231</v>
      </c>
      <c r="C107" s="4">
        <f>C16/C104*1000</f>
        <v>42.04911502892176</v>
      </c>
      <c r="D107" s="4">
        <f>D16/D104*1000</f>
        <v>43.00091491308326</v>
      </c>
      <c r="E107" s="4">
        <f>E16/E104*1000</f>
        <v>167.20729333834126</v>
      </c>
      <c r="F107" s="4">
        <f>F16/F104*1000</f>
        <v>42.83171012671484</v>
      </c>
      <c r="G107" s="4">
        <f>G16/G104*1000</f>
        <v>43.0764955186549</v>
      </c>
      <c r="H107" s="13">
        <f>C107*(1+H108)</f>
        <v>44.36181635551245</v>
      </c>
      <c r="I107" s="2"/>
    </row>
    <row r="108">
      <c r="A108" s="3"/>
      <c r="B108" s="31" t="s">
        <v>78</v>
      </c>
      <c r="C108" s="8">
        <f>C107/(Inputs!C166/Inputs!C185*1000)-1</f>
        <v>0.025409445159683353</v>
      </c>
      <c r="D108" s="8">
        <f>D107/(Inputs!D166/Inputs!D185*1000)-1</f>
        <v>0.015824150948324567</v>
      </c>
      <c r="E108" s="8">
        <f>E107/(Inputs!E166/Inputs!E185*1000)-1</f>
        <v>0.035395070567854736</v>
      </c>
      <c r="F108" s="8">
        <f>F107/(Inputs!F166/Inputs!F185*1000)-1</f>
        <v>0.0653504401649716</v>
      </c>
      <c r="G108" s="8">
        <f>G107/(Inputs!G166/Inputs!G185*1000)-1</f>
        <v>0.024696363774824537</v>
      </c>
      <c r="H108" s="80">
        <v>0.055</v>
      </c>
      <c r="I108" s="2" t="s">
        <v>232</v>
      </c>
    </row>
    <row r="109">
      <c r="A109" s="3"/>
      <c r="B109" s="3" t="s">
        <v>233</v>
      </c>
      <c r="C109" s="6">
        <f>C107-Inputs!G166/Inputs!G185*1000</f>
        <v>0.010812716646846354</v>
      </c>
      <c r="D109" s="4">
        <f>D107-C107</f>
        <v>0.9517998841614954</v>
      </c>
      <c r="E109" s="4"/>
      <c r="F109" s="4">
        <f>F107-D107</f>
        <v>-0.16920478636841807</v>
      </c>
      <c r="G109" s="4">
        <f>G107-F107</f>
        <v>0.24478539194006288</v>
      </c>
      <c r="H109" s="13">
        <f>H107-G107</f>
        <v>1.2853208368575508</v>
      </c>
      <c r="I109" s="2"/>
    </row>
    <row r="110">
      <c r="A110" s="3"/>
      <c r="B110" s="3" t="s">
        <v>234</v>
      </c>
      <c r="C110" s="4">
        <f>C104*C107/1000</f>
        <v>1214.0000000000002</v>
      </c>
      <c r="D110" s="4">
        <f>D104*D107/1000</f>
        <v>1222</v>
      </c>
      <c r="E110" s="4">
        <f>E104*E107/1000</f>
        <v>4897</v>
      </c>
      <c r="F110" s="4">
        <f>F104*F107/1000</f>
        <v>1227</v>
      </c>
      <c r="G110" s="4">
        <f>G104*G107/1000</f>
        <v>1240</v>
      </c>
      <c r="H110" s="13">
        <f>H104*H107/1000</f>
        <v>1286.492674309861</v>
      </c>
      <c r="I110" s="2"/>
    </row>
    <row r="111">
      <c r="A111" s="3"/>
      <c r="B111" s="3" t="s">
        <v>235</v>
      </c>
      <c r="C111" s="79">
        <v>223029</v>
      </c>
      <c r="D111" s="79">
        <v>217566</v>
      </c>
      <c r="E111" s="79">
        <v>873644</v>
      </c>
      <c r="F111" s="79">
        <v>220582</v>
      </c>
      <c r="G111" s="79">
        <v>225163</v>
      </c>
      <c r="H111" s="74">
        <f>C111*(1+H112)</f>
        <v>230835.01499999998</v>
      </c>
      <c r="I111" s="2"/>
    </row>
    <row r="112">
      <c r="A112" s="3"/>
      <c r="B112" s="31" t="s">
        <v>78</v>
      </c>
      <c r="C112" s="8">
        <f>IFERROR(C111/Inputs!C186-1,"n/a")</f>
        <v>0.03257512974957533</v>
      </c>
      <c r="D112" s="8">
        <f>IFERROR(D111/Inputs!D186-1,"n/a")</f>
        <v>-0.004538840948398182</v>
      </c>
      <c r="E112" s="8">
        <f>IFERROR(E111/Inputs!E186-1,"n/a")</f>
        <v>0.03098705902622889</v>
      </c>
      <c r="F112" s="8">
        <f>IFERROR(F111/Inputs!F186-1,"n/a")</f>
        <v>0.03660851911726004</v>
      </c>
      <c r="G112" s="8">
        <f>IFERROR(G111/Inputs!G186-1,"n/a")</f>
        <v>0.022269338684633544</v>
      </c>
      <c r="H112" s="80">
        <v>0.035</v>
      </c>
      <c r="I112" s="2" t="s">
        <v>236</v>
      </c>
    </row>
    <row r="113">
      <c r="A113" s="3"/>
      <c r="B113" s="3" t="s">
        <v>237</v>
      </c>
      <c r="C113" s="71">
        <f>C111-Inputs!G186</f>
        <v>2771</v>
      </c>
      <c r="D113" s="76">
        <f>D111-C111</f>
        <v>-5463</v>
      </c>
      <c r="E113" s="76"/>
      <c r="F113" s="76">
        <f>F111-D111</f>
        <v>3016</v>
      </c>
      <c r="G113" s="76">
        <f>G111-F111</f>
        <v>4581</v>
      </c>
      <c r="H113" s="74">
        <f>H111-G111</f>
        <v>5672.014999999985</v>
      </c>
      <c r="I113" s="2"/>
    </row>
    <row r="114">
      <c r="A114" s="3"/>
      <c r="B114" s="3" t="s">
        <v>238</v>
      </c>
      <c r="C114" s="78">
        <v>1.052</v>
      </c>
      <c r="D114" s="78">
        <v>1.074</v>
      </c>
      <c r="E114" s="78">
        <v>1.072</v>
      </c>
      <c r="F114" s="78">
        <v>1.064</v>
      </c>
      <c r="G114" s="78">
        <v>1.051</v>
      </c>
      <c r="H114" s="83">
        <v>1.045</v>
      </c>
      <c r="I114" s="2" t="s">
        <v>239</v>
      </c>
    </row>
    <row r="115">
      <c r="A115" s="3"/>
      <c r="B115" s="31" t="s">
        <v>78</v>
      </c>
      <c r="C115" s="8">
        <f>IFERROR(C114/Inputs!C187-1,"n/a")</f>
        <v>-0.005671077504725952</v>
      </c>
      <c r="D115" s="8">
        <f>IFERROR(D114/Inputs!D187-1,"n/a")</f>
        <v>-0.0037105751391465214</v>
      </c>
      <c r="E115" s="8">
        <f>IFERROR(E114/Inputs!E187-1,"n/a")</f>
        <v>-0.009242144177449174</v>
      </c>
      <c r="F115" s="8">
        <f>IFERROR(F114/Inputs!F187-1,"n/a")</f>
        <v>-0.038843721770550954</v>
      </c>
      <c r="G115" s="8">
        <f>IFERROR(G114/Inputs!G187-1,"n/a")</f>
        <v>-0.006616257088846944</v>
      </c>
      <c r="H115" s="36">
        <f>H114/C114-1</f>
        <v>-0.0066539923954374025</v>
      </c>
      <c r="I115" s="2"/>
    </row>
    <row r="116">
      <c r="A116" s="3"/>
      <c r="B116" s="3" t="s">
        <v>230</v>
      </c>
      <c r="C116" s="64">
        <f>C114-Inputs!G187</f>
        <v>-0.006000000000000005</v>
      </c>
      <c r="D116" s="81">
        <f>D114-C114</f>
        <v>0.02200000000000002</v>
      </c>
      <c r="E116" s="81"/>
      <c r="F116" s="81">
        <f>F114-D114</f>
        <v>-0.010000000000000009</v>
      </c>
      <c r="G116" s="81">
        <f>G114-F114</f>
        <v>-0.013000000000000123</v>
      </c>
      <c r="H116" s="86">
        <f>H114-G114</f>
        <v>-0.006000000000000005</v>
      </c>
      <c r="I116" s="2"/>
    </row>
    <row r="117">
      <c r="A117" s="3"/>
      <c r="B117" s="3" t="s">
        <v>240</v>
      </c>
      <c r="C117" s="14">
        <v>235</v>
      </c>
      <c r="D117" s="14">
        <v>234</v>
      </c>
      <c r="E117" s="14">
        <v>937</v>
      </c>
      <c r="F117" s="14">
        <v>235</v>
      </c>
      <c r="G117" s="14">
        <v>237</v>
      </c>
      <c r="H117" s="13">
        <f>H111*H114/1000</f>
        <v>241.22259067499996</v>
      </c>
      <c r="I117" s="2"/>
    </row>
    <row r="118">
      <c r="A118" s="3"/>
      <c r="B118" s="31" t="s">
        <v>78</v>
      </c>
      <c r="C118" s="8">
        <f>IFERROR(C117/Inputs!C188-1,"n/a")</f>
        <v>0.026200873362445476</v>
      </c>
      <c r="D118" s="8">
        <f>IFERROR(D117/Inputs!D188-1,"n/a")</f>
        <v>-0.008474576271186418</v>
      </c>
      <c r="E118" s="8">
        <f>IFERROR(E117/Inputs!E188-1,"n/a")</f>
        <v>0.021810250817884347</v>
      </c>
      <c r="F118" s="8">
        <f>IFERROR(F117/Inputs!F188-1,"n/a")</f>
        <v>-0.004237288135593209</v>
      </c>
      <c r="G118" s="8">
        <f>IFERROR(G117/Inputs!G188-1,"n/a")</f>
        <v>0.02155172413793105</v>
      </c>
      <c r="H118" s="36">
        <f>H117/C117-1</f>
        <v>0.026479109255318933</v>
      </c>
      <c r="I118" s="2"/>
    </row>
    <row r="119">
      <c r="A119" s="3"/>
      <c r="B119" s="3" t="s">
        <v>241</v>
      </c>
      <c r="C119" s="6">
        <f>C117-Inputs!G188</f>
        <v>3</v>
      </c>
      <c r="D119" s="4">
        <f>D117-C117</f>
        <v>-1</v>
      </c>
      <c r="E119" s="4"/>
      <c r="F119" s="4">
        <f>F117-D117</f>
        <v>1</v>
      </c>
      <c r="G119" s="4">
        <f>G117-F117</f>
        <v>2</v>
      </c>
      <c r="H119" s="13">
        <f>H117-G117</f>
        <v>4.222590674999964</v>
      </c>
      <c r="I119" s="2"/>
    </row>
    <row r="120">
      <c r="A120" s="3"/>
      <c r="B120" s="3" t="s">
        <v>242</v>
      </c>
      <c r="C120" s="75">
        <v>2.56</v>
      </c>
      <c r="D120" s="75">
        <v>2.49</v>
      </c>
      <c r="E120" s="75">
        <v>2.49</v>
      </c>
      <c r="F120" s="75">
        <v>2.69</v>
      </c>
      <c r="G120" s="75">
        <v>3.86</v>
      </c>
      <c r="H120" s="82">
        <v>4.3</v>
      </c>
      <c r="I120" s="2" t="s">
        <v>243</v>
      </c>
    </row>
    <row r="121">
      <c r="A121" s="3"/>
      <c r="B121" s="31" t="s">
        <v>78</v>
      </c>
      <c r="C121" s="8">
        <f>IFERROR(C120/Inputs!C189-1,"n/a")</f>
        <v>-0.015384615384615441</v>
      </c>
      <c r="D121" s="8">
        <f>IFERROR(D120/Inputs!D189-1,"n/a")</f>
        <v>0.03319502074688807</v>
      </c>
      <c r="E121" s="8">
        <f>IFERROR(E120/Inputs!E189-1,"n/a")</f>
        <v>-0.05681818181818177</v>
      </c>
      <c r="F121" s="8">
        <f>IFERROR(F120/Inputs!F189-1,"n/a")</f>
        <v>0.07171314741035872</v>
      </c>
      <c r="G121" s="8">
        <f>IFERROR(G120/Inputs!G189-1,"n/a")</f>
        <v>0.5950413223140496</v>
      </c>
      <c r="H121" s="36">
        <f>H120/C120-1</f>
        <v>0.6796875</v>
      </c>
      <c r="I121" s="2"/>
    </row>
    <row r="122">
      <c r="A122" s="3"/>
      <c r="B122" s="3" t="s">
        <v>114</v>
      </c>
      <c r="C122" s="32">
        <f>C120-Inputs!G189</f>
        <v>0.14000000000000012</v>
      </c>
      <c r="D122" s="40">
        <f>D120-C120</f>
        <v>-0.06999999999999984</v>
      </c>
      <c r="E122" s="40"/>
      <c r="F122" s="40">
        <f>F120-D120</f>
        <v>0.19999999999999973</v>
      </c>
      <c r="G122" s="40">
        <f>G120-F120</f>
        <v>1.17</v>
      </c>
      <c r="H122" s="72">
        <f>H120-G120</f>
        <v>0.43999999999999995</v>
      </c>
      <c r="I122" s="2"/>
    </row>
    <row r="123">
      <c r="A123" s="3"/>
      <c r="B123" s="3" t="s">
        <v>244</v>
      </c>
      <c r="C123" s="4">
        <f>C117*C120</f>
        <v>601.6</v>
      </c>
      <c r="D123" s="4">
        <f>D117*D120</f>
        <v>582.6600000000001</v>
      </c>
      <c r="E123" s="4">
        <f>E117*E120</f>
        <v>2333.13</v>
      </c>
      <c r="F123" s="4">
        <f>F117*F120</f>
        <v>632.15</v>
      </c>
      <c r="G123" s="4">
        <f>G117*G120</f>
        <v>914.8199999999999</v>
      </c>
      <c r="H123" s="13">
        <f>H117*H120</f>
        <v>1037.2571399024998</v>
      </c>
      <c r="I123" s="2"/>
    </row>
    <row r="124">
      <c r="A124" s="3"/>
      <c r="B124" s="31" t="s">
        <v>245</v>
      </c>
      <c r="C124" s="48">
        <f>C19/C123-1</f>
        <v>0.02393617021276584</v>
      </c>
      <c r="D124" s="48">
        <f>D19/D123-1</f>
        <v>0.021178732022105295</v>
      </c>
      <c r="E124" s="48">
        <f>E19/E123-1</f>
        <v>0.02437498124836579</v>
      </c>
      <c r="F124" s="48">
        <f>F19/F123-1</f>
        <v>0.017163647868385645</v>
      </c>
      <c r="G124" s="48">
        <f>G19/G123-1</f>
        <v>0.02533831792046537</v>
      </c>
      <c r="H124" s="80">
        <v>0.022</v>
      </c>
      <c r="I124" s="2" t="s">
        <v>246</v>
      </c>
    </row>
    <row r="125">
      <c r="A125" s="3"/>
      <c r="B125" s="3" t="s">
        <v>94</v>
      </c>
      <c r="C125" s="71">
        <f>(C124-(Inputs!C167/(Inputs!C188*Inputs!C189)-1))*10000</f>
        <v>-5.851599854203027</v>
      </c>
      <c r="D125" s="71">
        <f>(D124-(Inputs!D167/(Inputs!D188*Inputs!D189)-1))*10000</f>
        <v>-3.417687163431715</v>
      </c>
      <c r="E125" s="71">
        <f>(E124-(Inputs!E167/(Inputs!E188*Inputs!E189)-1))*10000</f>
        <v>24.325470921913173</v>
      </c>
      <c r="F125" s="71">
        <f>(F124-(Inputs!F167/(Inputs!F188*Inputs!F189)-1))*10000</f>
        <v>-7.9840223628058204</v>
      </c>
      <c r="G125" s="71">
        <f>(G124-(Inputs!G167/(Inputs!G188*Inputs!G189)-1))*10000</f>
        <v>-5.949964141029884</v>
      </c>
      <c r="H125" s="74">
        <f>(H124-C124)*10000</f>
        <v>-19.361702127658408</v>
      </c>
      <c r="I125" s="2"/>
    </row>
    <row r="126">
      <c r="A126" s="3"/>
      <c r="B126" s="3" t="s">
        <v>95</v>
      </c>
      <c r="C126" s="71">
        <f>(C124-(Inputs!G167/(Inputs!G188*Inputs!G189)-1))*10000</f>
        <v>-19.971441218025188</v>
      </c>
      <c r="D126" s="76">
        <f>(D124-C124)*10000</f>
        <v>-27.57438190660544</v>
      </c>
      <c r="E126" s="76"/>
      <c r="F126" s="76">
        <f>(F124-D124)*10000</f>
        <v>-40.1508415371965</v>
      </c>
      <c r="G126" s="76">
        <f>(G124-F124)*10000</f>
        <v>81.74670052079725</v>
      </c>
      <c r="H126" s="74">
        <f>(H124-G124)*10000</f>
        <v>-33.38317920465371</v>
      </c>
      <c r="I126" s="2"/>
    </row>
    <row r="127">
      <c r="A127" s="3"/>
      <c r="B127" s="3" t="s">
        <v>247</v>
      </c>
      <c r="C127" s="4">
        <f>C123*(1+C124)</f>
        <v>616</v>
      </c>
      <c r="D127" s="4">
        <f>D123*(1+D124)</f>
        <v>595</v>
      </c>
      <c r="E127" s="4">
        <f>E123*(1+E124)</f>
        <v>2390</v>
      </c>
      <c r="F127" s="4">
        <f>F123*(1+F124)</f>
        <v>643</v>
      </c>
      <c r="G127" s="4">
        <f>G123*(1+G124)</f>
        <v>938.0000000000001</v>
      </c>
      <c r="H127" s="13">
        <f>H123*(1+H124)</f>
        <v>1060.0767969803549</v>
      </c>
      <c r="I127" s="2"/>
    </row>
    <row r="128">
      <c r="A128" s="3"/>
      <c r="B128" s="3" t="s">
        <v>248</v>
      </c>
      <c r="C128" s="6">
        <f>'Revenue summary'!C236-C19</f>
        <v>-14</v>
      </c>
      <c r="D128" s="6">
        <f>'Revenue summary'!D236-D19</f>
        <v>8</v>
      </c>
      <c r="E128" s="6">
        <f>'Revenue summary'!E236-E19</f>
        <v>-51</v>
      </c>
      <c r="F128" s="6">
        <f>'Revenue summary'!F236-F19</f>
        <v>-35</v>
      </c>
      <c r="G128" s="6">
        <f>'Revenue summary'!G236-G19</f>
        <v>90</v>
      </c>
      <c r="H128" s="22">
        <f>'Revenue summary'!H236-H19</f>
        <v>120.5711365917332</v>
      </c>
      <c r="I128" s="2"/>
    </row>
    <row r="129">
      <c r="A129" s="3"/>
      <c r="B129" s="3" t="s">
        <v>144</v>
      </c>
      <c r="C129" s="6">
        <f>C128-(Inputs!G128-Inputs!G167)</f>
        <v>-7</v>
      </c>
      <c r="D129" s="4">
        <f>D128-C128</f>
        <v>22</v>
      </c>
      <c r="E129" s="4"/>
      <c r="F129" s="4">
        <f>F128-D128</f>
        <v>-43</v>
      </c>
      <c r="G129" s="4">
        <f>G128-F128</f>
        <v>125</v>
      </c>
      <c r="H129" s="13">
        <f>H128-G128</f>
        <v>30.571136591733193</v>
      </c>
      <c r="I129" s="2"/>
    </row>
    <row r="130">
      <c r="A130" s="3"/>
      <c r="B130" s="3" t="s">
        <v>249</v>
      </c>
      <c r="C130" s="6">
        <f>C128-(Inputs!C128-Inputs!C167)</f>
        <v>-39</v>
      </c>
      <c r="D130" s="6">
        <f>D128-(Inputs!D128-Inputs!D167)</f>
        <v>1</v>
      </c>
      <c r="E130" s="4" t="s">
        <v>143</v>
      </c>
      <c r="F130" s="6">
        <f>F128-(Inputs!F128-Inputs!F167)</f>
        <v>3</v>
      </c>
      <c r="G130" s="6">
        <f>G128-(Inputs!G128-Inputs!G167)</f>
        <v>97</v>
      </c>
      <c r="H130" s="13">
        <f>H128-C128</f>
        <v>134.5711365917332</v>
      </c>
      <c r="I130" s="2"/>
    </row>
    <row r="131">
      <c r="A131" s="3"/>
      <c r="B131" s="3" t="s">
        <v>250</v>
      </c>
      <c r="C131" s="14">
        <v>41</v>
      </c>
      <c r="D131" s="14">
        <v>30</v>
      </c>
      <c r="E131" s="14">
        <v>72</v>
      </c>
      <c r="F131" s="14">
        <v>36</v>
      </c>
      <c r="G131" s="14">
        <v>35</v>
      </c>
      <c r="H131" s="22">
        <f>Guidance!G23</f>
        <v>20</v>
      </c>
      <c r="I131" s="2" t="s">
        <v>251</v>
      </c>
    </row>
    <row r="132">
      <c r="A132" s="3"/>
      <c r="B132" s="3" t="s">
        <v>249</v>
      </c>
      <c r="C132" s="6">
        <f>C131-Inputs!C132</f>
        <v>41</v>
      </c>
      <c r="D132" s="6">
        <f>D131-Inputs!D132</f>
        <v>30</v>
      </c>
      <c r="E132" s="6">
        <f>E131-Inputs!E132</f>
        <v>72</v>
      </c>
      <c r="F132" s="6">
        <f>F131-Inputs!F132</f>
        <v>36</v>
      </c>
      <c r="G132" s="6">
        <f>G131-Inputs!G132</f>
        <v>34</v>
      </c>
      <c r="H132" s="13">
        <f>H131-C131</f>
        <v>-21</v>
      </c>
      <c r="I132" s="2" t="s">
        <v>252</v>
      </c>
    </row>
    <row r="133">
      <c r="A133" s="3"/>
      <c r="B133" s="3" t="s">
        <v>144</v>
      </c>
      <c r="C133" s="6">
        <f>C131-Inputs!G132</f>
        <v>40</v>
      </c>
      <c r="D133" s="4">
        <f>D131-C131</f>
        <v>-11</v>
      </c>
      <c r="E133" s="4"/>
      <c r="F133" s="4">
        <f>F131-D131</f>
        <v>6</v>
      </c>
      <c r="G133" s="4">
        <f>G131-F131</f>
        <v>-1</v>
      </c>
      <c r="H133" s="13">
        <f>H131-G131</f>
        <v>-15</v>
      </c>
      <c r="I133" s="2"/>
    </row>
    <row r="134">
      <c r="A134" s="3"/>
      <c r="B134" s="3" t="s">
        <v>253</v>
      </c>
      <c r="C134" s="4">
        <f>C22-C131</f>
        <v>642</v>
      </c>
      <c r="D134" s="4">
        <f>D22-D131</f>
        <v>640</v>
      </c>
      <c r="E134" s="4">
        <f>E22-E131</f>
        <v>2554</v>
      </c>
      <c r="F134" s="4">
        <f>F22-F131</f>
        <v>637</v>
      </c>
      <c r="G134" s="4">
        <f>G22-G131</f>
        <v>674</v>
      </c>
      <c r="H134" s="13">
        <f>C134*(1+H135)</f>
        <v>680.52</v>
      </c>
      <c r="I134" s="2"/>
    </row>
    <row r="135">
      <c r="A135" s="3"/>
      <c r="B135" s="31" t="s">
        <v>78</v>
      </c>
      <c r="C135" s="8">
        <f>C134/(Inputs!C168-Inputs!C132)-1</f>
        <v>-0.0031055900621117516</v>
      </c>
      <c r="D135" s="8">
        <f>D134/(Inputs!D168-Inputs!D132)-1</f>
        <v>0.03392568659127626</v>
      </c>
      <c r="E135" s="8">
        <f>E134/(Inputs!E168-Inputs!E132)-1</f>
        <v>0.013492063492063444</v>
      </c>
      <c r="F135" s="8">
        <f>F134/(Inputs!F168-Inputs!F132)-1</f>
        <v>0.009508716323296307</v>
      </c>
      <c r="G135" s="8">
        <f>G134/(Inputs!G168-Inputs!G132)-1</f>
        <v>0.05148205928237126</v>
      </c>
      <c r="H135" s="80">
        <v>0.06</v>
      </c>
      <c r="I135" s="2" t="s">
        <v>254</v>
      </c>
    </row>
    <row r="136">
      <c r="A136" s="3"/>
      <c r="B136" s="3" t="s">
        <v>144</v>
      </c>
      <c r="C136" s="6">
        <f>C134-(Inputs!G168-Inputs!G132)</f>
        <v>1</v>
      </c>
      <c r="D136" s="4">
        <f>D134-C134</f>
        <v>-2</v>
      </c>
      <c r="E136" s="4"/>
      <c r="F136" s="4">
        <f>F134-D134</f>
        <v>-3</v>
      </c>
      <c r="G136" s="4">
        <f>G134-F134</f>
        <v>37</v>
      </c>
      <c r="H136" s="13">
        <f>H134-G134</f>
        <v>6.519999999999982</v>
      </c>
      <c r="I136" s="2"/>
    </row>
    <row r="137">
      <c r="A137" s="3"/>
      <c r="B137" s="3" t="s">
        <v>255</v>
      </c>
      <c r="C137" s="4">
        <f>C134+C131</f>
        <v>683</v>
      </c>
      <c r="D137" s="4">
        <f>D134+D131</f>
        <v>670</v>
      </c>
      <c r="E137" s="4">
        <f>E134+E131</f>
        <v>2626</v>
      </c>
      <c r="F137" s="4">
        <f>F134+F131</f>
        <v>673</v>
      </c>
      <c r="G137" s="4">
        <f>G134+G131</f>
        <v>709</v>
      </c>
      <c r="H137" s="13">
        <f>H134+H131</f>
        <v>700.52</v>
      </c>
      <c r="I137" s="2"/>
    </row>
    <row r="138">
      <c r="A138" s="3"/>
      <c r="B138" s="3" t="s">
        <v>256</v>
      </c>
      <c r="C138" s="6">
        <f>C25-Inputs!G169</f>
        <v>5</v>
      </c>
      <c r="D138" s="4">
        <f>D25-C25</f>
        <v>6</v>
      </c>
      <c r="E138" s="4" t="s">
        <v>143</v>
      </c>
      <c r="F138" s="4">
        <f>F25-D25</f>
        <v>9</v>
      </c>
      <c r="G138" s="4">
        <f>G25-F25</f>
        <v>5</v>
      </c>
      <c r="H138" s="27">
        <v>5</v>
      </c>
      <c r="I138" s="2" t="s">
        <v>257</v>
      </c>
    </row>
    <row r="139">
      <c r="A139" s="3"/>
      <c r="B139" s="3" t="s">
        <v>258</v>
      </c>
      <c r="C139" s="6">
        <f>'Balance Sheet'!C30</f>
        <v>31807</v>
      </c>
      <c r="D139" s="6">
        <f>'Balance Sheet'!D30</f>
        <v>31814</v>
      </c>
      <c r="E139" s="6">
        <f>'Balance Sheet'!E30</f>
        <v>31814</v>
      </c>
      <c r="F139" s="6">
        <f>'Balance Sheet'!F30</f>
        <v>30651</v>
      </c>
      <c r="G139" s="6">
        <f>'Balance Sheet'!G30</f>
        <v>30327</v>
      </c>
      <c r="H139" s="22">
        <f>'Balance Sheet'!H30</f>
        <v>30327</v>
      </c>
      <c r="I139" s="2"/>
    </row>
    <row r="140">
      <c r="A140" s="3"/>
      <c r="B140" s="31" t="s">
        <v>259</v>
      </c>
      <c r="C140" s="48">
        <f>-C52*4/C139</f>
        <v>0.041123023233879334</v>
      </c>
      <c r="D140" s="48">
        <f>-D52*4/D139</f>
        <v>0.0408625133588986</v>
      </c>
      <c r="E140" s="48">
        <f>-E52/E139</f>
        <v>0.04114540768215251</v>
      </c>
      <c r="F140" s="48">
        <f>-F52*4/F139</f>
        <v>0.04176046458516851</v>
      </c>
      <c r="G140" s="48">
        <f>-G52*4/G139</f>
        <v>0.04128334487420451</v>
      </c>
      <c r="H140" s="80">
        <v>0.0408</v>
      </c>
      <c r="I140" s="2" t="s">
        <v>260</v>
      </c>
    </row>
    <row r="141">
      <c r="A141" s="3"/>
      <c r="B141" s="3" t="s">
        <v>94</v>
      </c>
      <c r="C141" s="76" t="s">
        <v>143</v>
      </c>
      <c r="D141" s="71">
        <f>(D140+Inputs!D175*4/Inputs!D134)*10000</f>
        <v>8.522543181189167</v>
      </c>
      <c r="E141" s="71">
        <f>(E140+Inputs!E175/Inputs!E134)*10000</f>
        <v>4.618990902058584</v>
      </c>
      <c r="F141" s="76" t="s">
        <v>143</v>
      </c>
      <c r="G141" s="76" t="s">
        <v>143</v>
      </c>
      <c r="H141" s="74">
        <f>(H140-C140)*10000</f>
        <v>-3.2302323387933125</v>
      </c>
      <c r="I141" s="2" t="s">
        <v>261</v>
      </c>
    </row>
    <row r="142">
      <c r="A142" s="3"/>
      <c r="B142" s="3" t="s">
        <v>95</v>
      </c>
      <c r="C142" s="76" t="s">
        <v>143</v>
      </c>
      <c r="D142" s="76">
        <f>(D140-C140)*10000</f>
        <v>-2.6050987498073273</v>
      </c>
      <c r="E142" s="76"/>
      <c r="F142" s="76">
        <f>(F140-D140)*10000</f>
        <v>8.979512262699066</v>
      </c>
      <c r="G142" s="76">
        <f>(G140-F140)*10000</f>
        <v>-4.77119710964001</v>
      </c>
      <c r="H142" s="74">
        <f>(H140-G140)*10000</f>
        <v>-4.83344874204504</v>
      </c>
      <c r="I142" s="2"/>
    </row>
    <row r="143">
      <c r="A143" s="3"/>
      <c r="B143" s="3"/>
      <c r="C143" s="12"/>
      <c r="D143" s="12"/>
      <c r="E143" s="12"/>
      <c r="F143" s="12"/>
      <c r="G143" s="12"/>
      <c r="H143" s="41"/>
      <c r="I143" s="2"/>
    </row>
    <row r="144">
      <c r="A144" s="3"/>
      <c r="B144" s="50" t="s">
        <v>262</v>
      </c>
      <c r="C144" s="12"/>
      <c r="D144" s="12"/>
      <c r="E144" s="12"/>
      <c r="F144" s="12"/>
      <c r="G144" s="12"/>
      <c r="H144" s="41"/>
      <c r="I144" s="2"/>
    </row>
    <row r="145">
      <c r="A145" s="3"/>
      <c r="B145" s="3" t="s">
        <v>263</v>
      </c>
      <c r="C145" s="4"/>
      <c r="D145" s="4"/>
      <c r="E145" s="6">
        <f>E12-(Inputs!F127+Inputs!G127+C12+D12)</f>
        <v>0</v>
      </c>
      <c r="F145" s="4"/>
      <c r="G145" s="4"/>
      <c r="H145" s="13"/>
      <c r="I145" s="2"/>
    </row>
    <row r="146">
      <c r="A146" s="3"/>
      <c r="B146" s="3" t="s">
        <v>264</v>
      </c>
      <c r="C146" s="4"/>
      <c r="D146" s="4"/>
      <c r="E146" s="6">
        <f>E34-(Inputs!F172+Inputs!G172+C34+D34)</f>
        <v>0</v>
      </c>
      <c r="F146" s="4"/>
      <c r="G146" s="4"/>
      <c r="H146" s="13"/>
      <c r="I146" s="2"/>
    </row>
    <row r="147">
      <c r="A147" s="3"/>
      <c r="B147" s="3" t="s">
        <v>265</v>
      </c>
      <c r="C147" s="4"/>
      <c r="D147" s="4"/>
      <c r="E147" s="6">
        <f>E60-(Inputs!F178+Inputs!G178+C60+D60)</f>
        <v>0</v>
      </c>
      <c r="F147" s="4"/>
      <c r="G147" s="4"/>
      <c r="H147" s="13"/>
      <c r="I147" s="2"/>
    </row>
    <row r="148">
      <c r="A148" s="3"/>
      <c r="B148" s="31" t="s">
        <v>36</v>
      </c>
      <c r="C148" s="5"/>
      <c r="D148" s="5"/>
      <c r="E148" s="5" t="b">
        <f>AND(ABS(E145)&lt;0.5,ABS(E146)&lt;0.5,ABS(E147)&lt;0.5)</f>
        <v>1</v>
      </c>
      <c r="F148" s="5"/>
      <c r="G148" s="5"/>
      <c r="H148" s="69"/>
      <c r="I148" s="2"/>
    </row>
    <row r="149">
      <c r="A149" s="3"/>
      <c r="B149" s="3"/>
      <c r="C149" s="12"/>
      <c r="D149" s="12"/>
      <c r="E149" s="12"/>
      <c r="F149" s="12"/>
      <c r="G149" s="12"/>
      <c r="H149" s="41"/>
      <c r="I149" s="2"/>
    </row>
    <row r="150">
      <c r="A150" s="3"/>
      <c r="B150" s="3"/>
      <c r="C150" s="3"/>
      <c r="D150" s="3"/>
      <c r="E150" s="3"/>
      <c r="F150" s="3"/>
      <c r="G150" s="3"/>
      <c r="H150" s="3"/>
      <c r="I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266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50" t="s">
        <v>267</v>
      </c>
      <c r="C9" s="12"/>
      <c r="D9" s="12"/>
      <c r="E9" s="12"/>
      <c r="F9" s="12"/>
      <c r="G9" s="12"/>
      <c r="H9" s="41"/>
      <c r="I9" s="2"/>
    </row>
    <row r="10">
      <c r="A10" s="3"/>
      <c r="B10" s="3" t="s">
        <v>268</v>
      </c>
      <c r="C10" s="14">
        <v>808</v>
      </c>
      <c r="D10" s="14">
        <v>1266</v>
      </c>
      <c r="E10" s="4">
        <f>D10</f>
        <v>1266</v>
      </c>
      <c r="F10" s="14">
        <v>735</v>
      </c>
      <c r="G10" s="14">
        <v>1614</v>
      </c>
      <c r="H10" s="22">
        <f>G10+'Cash Flow Statement'!H30-(H32-G32)</f>
        <v>2605.282088764575</v>
      </c>
      <c r="I10" s="2"/>
    </row>
    <row r="11">
      <c r="A11" s="3"/>
      <c r="B11" s="3" t="s">
        <v>269</v>
      </c>
      <c r="C11" s="14">
        <v>3096</v>
      </c>
      <c r="D11" s="14">
        <v>3289</v>
      </c>
      <c r="E11" s="4">
        <f>D11</f>
        <v>3289</v>
      </c>
      <c r="F11" s="14">
        <v>3480</v>
      </c>
      <c r="G11" s="14">
        <v>3919</v>
      </c>
      <c r="H11" s="13">
        <f>G11</f>
        <v>3919</v>
      </c>
      <c r="I11" s="2"/>
    </row>
    <row r="12">
      <c r="A12" s="3"/>
      <c r="B12" s="3" t="s">
        <v>270</v>
      </c>
      <c r="C12" s="14">
        <v>2841</v>
      </c>
      <c r="D12" s="14">
        <v>2885</v>
      </c>
      <c r="E12" s="4">
        <f>D12</f>
        <v>2885</v>
      </c>
      <c r="F12" s="14">
        <v>2954</v>
      </c>
      <c r="G12" s="14">
        <v>2977</v>
      </c>
      <c r="H12" s="22">
        <f>G12-'Cash Flow Statement'!H21</f>
        <v>2997</v>
      </c>
      <c r="I12" s="2"/>
    </row>
    <row r="13">
      <c r="A13" s="3"/>
      <c r="B13" s="3" t="s">
        <v>271</v>
      </c>
      <c r="C13" s="14">
        <v>59392</v>
      </c>
      <c r="D13" s="14">
        <v>59645</v>
      </c>
      <c r="E13" s="4">
        <f>D13</f>
        <v>59645</v>
      </c>
      <c r="F13" s="14">
        <v>59955</v>
      </c>
      <c r="G13" s="14">
        <v>60199</v>
      </c>
      <c r="H13" s="22">
        <f>G13-'Cash Flow Statement'!H20-'Income Statement'!H25</f>
        <v>60356</v>
      </c>
      <c r="I13" s="2"/>
    </row>
    <row r="14">
      <c r="A14" s="3"/>
      <c r="B14" s="3" t="s">
        <v>272</v>
      </c>
      <c r="C14" s="14">
        <v>1090</v>
      </c>
      <c r="D14" s="14">
        <v>1036</v>
      </c>
      <c r="E14" s="4">
        <f>D14</f>
        <v>1036</v>
      </c>
      <c r="F14" s="14">
        <v>907</v>
      </c>
      <c r="G14" s="14">
        <v>875</v>
      </c>
      <c r="H14" s="13">
        <f>G14</f>
        <v>875</v>
      </c>
      <c r="I14" s="2"/>
    </row>
    <row r="15">
      <c r="A15" s="3"/>
      <c r="B15" s="3" t="s">
        <v>273</v>
      </c>
      <c r="C15" s="14">
        <v>1420</v>
      </c>
      <c r="D15" s="14">
        <v>1577</v>
      </c>
      <c r="E15" s="4">
        <f>D15</f>
        <v>1577</v>
      </c>
      <c r="F15" s="14">
        <v>1613</v>
      </c>
      <c r="G15" s="14">
        <v>1627</v>
      </c>
      <c r="H15" s="13">
        <f>G15</f>
        <v>1627</v>
      </c>
      <c r="I15" s="2"/>
    </row>
    <row r="16">
      <c r="A16" s="3"/>
      <c r="B16" s="15" t="s">
        <v>274</v>
      </c>
      <c r="C16" s="16">
        <f>SUM(C10:C15)</f>
        <v>68647</v>
      </c>
      <c r="D16" s="16">
        <f>SUM(D10:D15)</f>
        <v>69698</v>
      </c>
      <c r="E16" s="16">
        <f>SUM(E10:E15)</f>
        <v>69698</v>
      </c>
      <c r="F16" s="16">
        <f>SUM(F10:F15)</f>
        <v>69644</v>
      </c>
      <c r="G16" s="16">
        <f>SUM(G10:G15)</f>
        <v>71211</v>
      </c>
      <c r="H16" s="17">
        <f>SUM(H10:H15)</f>
        <v>72379.28208876458</v>
      </c>
      <c r="I16" s="2"/>
    </row>
    <row r="17">
      <c r="A17" s="3"/>
      <c r="B17" s="50" t="s">
        <v>275</v>
      </c>
      <c r="C17" s="12"/>
      <c r="D17" s="12"/>
      <c r="E17" s="12"/>
      <c r="F17" s="12"/>
      <c r="G17" s="12"/>
      <c r="H17" s="41"/>
      <c r="I17" s="2"/>
    </row>
    <row r="18">
      <c r="A18" s="3"/>
      <c r="B18" s="3" t="s">
        <v>276</v>
      </c>
      <c r="C18" s="14">
        <v>1521</v>
      </c>
      <c r="D18" s="14">
        <v>1520</v>
      </c>
      <c r="E18" s="4">
        <f>D18</f>
        <v>1520</v>
      </c>
      <c r="F18" s="14">
        <v>867</v>
      </c>
      <c r="G18" s="14">
        <v>1288</v>
      </c>
      <c r="H18" s="13">
        <f>G18</f>
        <v>1288</v>
      </c>
      <c r="I18" s="2"/>
    </row>
    <row r="19">
      <c r="A19" s="3"/>
      <c r="B19" s="3" t="s">
        <v>277</v>
      </c>
      <c r="C19" s="14">
        <v>3699</v>
      </c>
      <c r="D19" s="14">
        <v>3494</v>
      </c>
      <c r="E19" s="4">
        <f>D19</f>
        <v>3494</v>
      </c>
      <c r="F19" s="14">
        <v>3735</v>
      </c>
      <c r="G19" s="14">
        <v>4324</v>
      </c>
      <c r="H19" s="22">
        <f>G19+'Cash Flow Statement'!H13</f>
        <v>4224</v>
      </c>
      <c r="I19" s="2"/>
    </row>
    <row r="20">
      <c r="A20" s="3"/>
      <c r="B20" s="3" t="s">
        <v>278</v>
      </c>
      <c r="C20" s="14">
        <v>30286</v>
      </c>
      <c r="D20" s="14">
        <v>30294</v>
      </c>
      <c r="E20" s="4">
        <f>D20</f>
        <v>30294</v>
      </c>
      <c r="F20" s="14">
        <v>29784</v>
      </c>
      <c r="G20" s="14">
        <v>29039</v>
      </c>
      <c r="H20" s="22">
        <f>G20+'Cash Flow Statement'!H26+'Cash Flow Statement'!H27</f>
        <v>29039</v>
      </c>
      <c r="I20" s="2"/>
    </row>
    <row r="21">
      <c r="A21" s="3"/>
      <c r="B21" s="3" t="s">
        <v>279</v>
      </c>
      <c r="C21" s="14">
        <v>764</v>
      </c>
      <c r="D21" s="14">
        <v>738</v>
      </c>
      <c r="E21" s="4">
        <f>D21</f>
        <v>738</v>
      </c>
      <c r="F21" s="14">
        <v>619</v>
      </c>
      <c r="G21" s="14">
        <v>609</v>
      </c>
      <c r="H21" s="13">
        <f>G21</f>
        <v>609</v>
      </c>
      <c r="I21" s="2"/>
    </row>
    <row r="22">
      <c r="A22" s="3"/>
      <c r="B22" s="3" t="s">
        <v>280</v>
      </c>
      <c r="C22" s="14">
        <v>13329</v>
      </c>
      <c r="D22" s="14">
        <v>13421</v>
      </c>
      <c r="E22" s="4">
        <f>D22</f>
        <v>13421</v>
      </c>
      <c r="F22" s="14">
        <v>13475</v>
      </c>
      <c r="G22" s="14">
        <v>13525</v>
      </c>
      <c r="H22" s="22">
        <f>G22+'Cash Flow Statement'!H12</f>
        <v>13565</v>
      </c>
      <c r="I22" s="2"/>
    </row>
    <row r="23">
      <c r="A23" s="3"/>
      <c r="B23" s="3" t="s">
        <v>281</v>
      </c>
      <c r="C23" s="14">
        <v>1744</v>
      </c>
      <c r="D23" s="14">
        <v>1764</v>
      </c>
      <c r="E23" s="4">
        <f>D23</f>
        <v>1764</v>
      </c>
      <c r="F23" s="14">
        <v>1746</v>
      </c>
      <c r="G23" s="14">
        <v>1753</v>
      </c>
      <c r="H23" s="13">
        <f>G23</f>
        <v>1753</v>
      </c>
      <c r="I23" s="2"/>
    </row>
    <row r="24">
      <c r="A24" s="3"/>
      <c r="B24" s="15" t="s">
        <v>282</v>
      </c>
      <c r="C24" s="16">
        <f>SUM(C18:C23)</f>
        <v>51343</v>
      </c>
      <c r="D24" s="16">
        <f>SUM(D18:D23)</f>
        <v>51231</v>
      </c>
      <c r="E24" s="16">
        <f>SUM(E18:E23)</f>
        <v>51231</v>
      </c>
      <c r="F24" s="16">
        <f>SUM(F18:F23)</f>
        <v>50226</v>
      </c>
      <c r="G24" s="16">
        <f>SUM(G18:G23)</f>
        <v>50538</v>
      </c>
      <c r="H24" s="17">
        <f>SUM(H18:H23)</f>
        <v>50478</v>
      </c>
      <c r="I24" s="2"/>
    </row>
    <row r="25">
      <c r="A25" s="3"/>
      <c r="B25" s="15" t="s">
        <v>283</v>
      </c>
      <c r="C25" s="9">
        <v>17304</v>
      </c>
      <c r="D25" s="9">
        <v>18467</v>
      </c>
      <c r="E25" s="16">
        <f>D25</f>
        <v>18467</v>
      </c>
      <c r="F25" s="9">
        <v>19418</v>
      </c>
      <c r="G25" s="9">
        <v>20673</v>
      </c>
      <c r="H25" s="68">
        <f>G25+'Income Statement'!H60+'Cash Flow Statement'!H24+'Cash Flow Statement'!H25+'Cash Flow Statement'!H28</f>
        <v>21901.282088764576</v>
      </c>
      <c r="I25" s="2"/>
    </row>
    <row r="26">
      <c r="A26" s="3"/>
      <c r="B26" s="15" t="s">
        <v>284</v>
      </c>
      <c r="C26" s="16">
        <f>C24+C25</f>
        <v>68647</v>
      </c>
      <c r="D26" s="16">
        <f>D24+D25</f>
        <v>69698</v>
      </c>
      <c r="E26" s="16">
        <f>E24+E25</f>
        <v>69698</v>
      </c>
      <c r="F26" s="16">
        <f>F24+F25</f>
        <v>69644</v>
      </c>
      <c r="G26" s="16">
        <f>G24+G25</f>
        <v>71211</v>
      </c>
      <c r="H26" s="17">
        <f>H24+H25</f>
        <v>72379.28208876458</v>
      </c>
      <c r="I26" s="2"/>
    </row>
    <row r="27">
      <c r="A27" s="3"/>
      <c r="B27" s="31" t="s">
        <v>285</v>
      </c>
      <c r="C27" s="53">
        <f>C16-C24-C25</f>
        <v>0</v>
      </c>
      <c r="D27" s="53">
        <f>D16-D24-D25</f>
        <v>0</v>
      </c>
      <c r="E27" s="53">
        <f>E16-E24-E25</f>
        <v>0</v>
      </c>
      <c r="F27" s="53">
        <f>F16-F24-F25</f>
        <v>0</v>
      </c>
      <c r="G27" s="53">
        <f>G16-G24-G25</f>
        <v>0</v>
      </c>
      <c r="H27" s="57">
        <f>H16-H24-H25</f>
        <v>0</v>
      </c>
      <c r="I27" s="2"/>
    </row>
    <row r="28">
      <c r="A28" s="3"/>
      <c r="B28" s="31" t="s">
        <v>36</v>
      </c>
      <c r="C28" s="5" t="b">
        <f>ABS(C27)&lt;0.5</f>
        <v>1</v>
      </c>
      <c r="D28" s="5" t="b">
        <f>ABS(D27)&lt;0.5</f>
        <v>1</v>
      </c>
      <c r="E28" s="5" t="b">
        <f>ABS(E27)&lt;0.5</f>
        <v>1</v>
      </c>
      <c r="F28" s="5" t="b">
        <f>ABS(F27)&lt;0.5</f>
        <v>1</v>
      </c>
      <c r="G28" s="5" t="b">
        <f>ABS(G27)&lt;0.5</f>
        <v>1</v>
      </c>
      <c r="H28" s="69" t="b">
        <f>ABS(H27)&lt;0.5</f>
        <v>1</v>
      </c>
      <c r="I28" s="2"/>
    </row>
    <row r="29">
      <c r="A29" s="3"/>
      <c r="B29" s="50" t="s">
        <v>286</v>
      </c>
      <c r="C29" s="12"/>
      <c r="D29" s="12"/>
      <c r="E29" s="12"/>
      <c r="F29" s="12"/>
      <c r="G29" s="12"/>
      <c r="H29" s="41"/>
      <c r="I29" s="2"/>
    </row>
    <row r="30">
      <c r="A30" s="3"/>
      <c r="B30" s="15" t="s">
        <v>287</v>
      </c>
      <c r="C30" s="16">
        <f>C18+C20</f>
        <v>31807</v>
      </c>
      <c r="D30" s="16">
        <f>D18+D20</f>
        <v>31814</v>
      </c>
      <c r="E30" s="16">
        <f>E18+E20</f>
        <v>31814</v>
      </c>
      <c r="F30" s="16">
        <f>F18+F20</f>
        <v>30651</v>
      </c>
      <c r="G30" s="16">
        <f>G18+G20</f>
        <v>30327</v>
      </c>
      <c r="H30" s="17">
        <f>H18+H20</f>
        <v>30327</v>
      </c>
      <c r="I30" s="2"/>
    </row>
    <row r="31">
      <c r="A31" s="3"/>
      <c r="B31" s="3" t="s">
        <v>288</v>
      </c>
      <c r="C31" s="4">
        <f>C30-C10</f>
        <v>30999</v>
      </c>
      <c r="D31" s="4">
        <f>D30-D10</f>
        <v>30548</v>
      </c>
      <c r="E31" s="4">
        <f>E30-E10</f>
        <v>30548</v>
      </c>
      <c r="F31" s="4">
        <f>F30-F10</f>
        <v>29916</v>
      </c>
      <c r="G31" s="4">
        <f>G30-G10</f>
        <v>28713</v>
      </c>
      <c r="H31" s="13">
        <f>H30-H10</f>
        <v>27721.717911235424</v>
      </c>
      <c r="I31" s="2"/>
    </row>
    <row r="32">
      <c r="A32" s="3"/>
      <c r="B32" s="3" t="s">
        <v>289</v>
      </c>
      <c r="C32" s="14">
        <v>22</v>
      </c>
      <c r="D32" s="14">
        <v>14</v>
      </c>
      <c r="E32" s="4">
        <f>D32</f>
        <v>14</v>
      </c>
      <c r="F32" s="14">
        <v>16</v>
      </c>
      <c r="G32" s="14">
        <v>9</v>
      </c>
      <c r="H32" s="13">
        <f>G32</f>
        <v>9</v>
      </c>
      <c r="I32" s="2"/>
    </row>
    <row r="33">
      <c r="A33" s="3"/>
      <c r="B33" s="31" t="s">
        <v>290</v>
      </c>
      <c r="C33" s="59">
        <f>C30/('Income Statement'!C96*4)</f>
        <v>2.4369445295740118</v>
      </c>
      <c r="D33" s="59">
        <f>D30/('Income Statement'!D96*4)</f>
        <v>2.369228477807566</v>
      </c>
      <c r="E33" s="59">
        <f>E30/'Income Statement'!E96</f>
        <v>2.458578052550232</v>
      </c>
      <c r="F33" s="59">
        <f>F30/('Income Statement'!F96*4)</f>
        <v>2.408155248271527</v>
      </c>
      <c r="G33" s="59">
        <f>G30/('Income Statement'!G96*4)</f>
        <v>2.1625071306332004</v>
      </c>
      <c r="H33" s="55">
        <f>H30/('Income Statement'!H96*4)</f>
        <v>2.078353025880403</v>
      </c>
      <c r="I33" s="2" t="s">
        <v>291</v>
      </c>
    </row>
    <row r="34">
      <c r="A34" s="3"/>
      <c r="B34" s="3" t="s">
        <v>292</v>
      </c>
      <c r="C34" s="4"/>
      <c r="D34" s="4"/>
      <c r="E34" s="4"/>
      <c r="F34" s="4"/>
      <c r="G34" s="4"/>
      <c r="H34" s="22">
        <f>Inputs!C83</f>
        <v>27454</v>
      </c>
      <c r="I34" s="2"/>
    </row>
    <row r="35">
      <c r="A35" s="3"/>
      <c r="B35" s="3"/>
      <c r="C35" s="12"/>
      <c r="D35" s="12"/>
      <c r="E35" s="12"/>
      <c r="F35" s="12"/>
      <c r="G35" s="12"/>
      <c r="H35" s="41"/>
      <c r="I35" s="2"/>
    </row>
    <row r="36">
      <c r="A36" s="3"/>
      <c r="B36" s="3"/>
      <c r="C36" s="3"/>
      <c r="D36" s="3"/>
      <c r="E36" s="3"/>
      <c r="F36" s="3"/>
      <c r="G36" s="3"/>
      <c r="H36" s="3"/>
      <c r="I36" s="3"/>
    </row>
    <row r="37">
      <c r="A37" s="3"/>
      <c r="B37" s="3"/>
      <c r="C37" s="3"/>
      <c r="D37" s="3"/>
      <c r="E37" s="3"/>
      <c r="F37" s="3"/>
      <c r="G37" s="3"/>
      <c r="H37" s="3"/>
      <c r="I37" s="3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293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50" t="s">
        <v>294</v>
      </c>
      <c r="C9" s="12"/>
      <c r="D9" s="12"/>
      <c r="E9" s="12"/>
      <c r="F9" s="12"/>
      <c r="G9" s="12"/>
      <c r="H9" s="41"/>
      <c r="I9" s="2"/>
    </row>
    <row r="10">
      <c r="A10" s="3"/>
      <c r="B10" s="3" t="s">
        <v>295</v>
      </c>
      <c r="C10" s="6">
        <f>'Income Statement'!C60</f>
        <v>1788</v>
      </c>
      <c r="D10" s="6">
        <f>'Income Statement'!D60</f>
        <v>1848</v>
      </c>
      <c r="E10" s="6">
        <f>'Income Statement'!E60</f>
        <v>7138</v>
      </c>
      <c r="F10" s="6">
        <f>'Income Statement'!F60</f>
        <v>1701</v>
      </c>
      <c r="G10" s="6">
        <f>'Income Statement'!G60</f>
        <v>1993</v>
      </c>
      <c r="H10" s="22">
        <f>'Income Statement'!H60</f>
        <v>2062.153295924575</v>
      </c>
      <c r="I10" s="2"/>
    </row>
    <row r="11">
      <c r="A11" s="3"/>
      <c r="B11" s="3" t="s">
        <v>176</v>
      </c>
      <c r="C11" s="6">
        <f>'Income Statement'!C25</f>
        <v>618</v>
      </c>
      <c r="D11" s="6">
        <f>'Income Statement'!D25</f>
        <v>624</v>
      </c>
      <c r="E11" s="6">
        <f>'Income Statement'!E25</f>
        <v>2465</v>
      </c>
      <c r="F11" s="6">
        <f>'Income Statement'!F25</f>
        <v>633</v>
      </c>
      <c r="G11" s="6">
        <f>'Income Statement'!G25</f>
        <v>638</v>
      </c>
      <c r="H11" s="22">
        <f>'Income Statement'!H25</f>
        <v>643</v>
      </c>
      <c r="I11" s="2"/>
    </row>
    <row r="12">
      <c r="A12" s="3"/>
      <c r="B12" s="3" t="s">
        <v>296</v>
      </c>
      <c r="C12" s="6">
        <f>Inputs!D195-Inputs!C195</f>
        <v>295</v>
      </c>
      <c r="D12" s="6">
        <f>Inputs!E195-Inputs!D195</f>
        <v>69</v>
      </c>
      <c r="E12" s="6">
        <f>Inputs!E195</f>
        <v>241</v>
      </c>
      <c r="F12" s="6">
        <f>Inputs!F195</f>
        <v>54</v>
      </c>
      <c r="G12" s="6">
        <f>Inputs!G195-Inputs!F195</f>
        <v>39</v>
      </c>
      <c r="H12" s="27">
        <v>40</v>
      </c>
      <c r="I12" s="2"/>
    </row>
    <row r="13">
      <c r="A13" s="3"/>
      <c r="B13" s="3" t="s">
        <v>297</v>
      </c>
      <c r="C13" s="6">
        <f>Inputs!D196-Inputs!C196</f>
        <v>-179</v>
      </c>
      <c r="D13" s="6">
        <f>Inputs!E196-Inputs!D196</f>
        <v>-316</v>
      </c>
      <c r="E13" s="6">
        <f>Inputs!E196</f>
        <v>-554</v>
      </c>
      <c r="F13" s="6">
        <f>Inputs!F196</f>
        <v>52</v>
      </c>
      <c r="G13" s="6">
        <f>Inputs!G196-Inputs!F196</f>
        <v>406</v>
      </c>
      <c r="H13" s="27">
        <v>-100</v>
      </c>
      <c r="I13" s="2"/>
    </row>
    <row r="14">
      <c r="A14" s="3"/>
      <c r="B14" s="15" t="s">
        <v>298</v>
      </c>
      <c r="C14" s="16">
        <f>SUM(C10:C13)</f>
        <v>2522</v>
      </c>
      <c r="D14" s="16">
        <f>SUM(D10:D13)</f>
        <v>2225</v>
      </c>
      <c r="E14" s="16">
        <f>SUM(E10:E13)</f>
        <v>9290</v>
      </c>
      <c r="F14" s="16">
        <f>SUM(F10:F13)</f>
        <v>2440</v>
      </c>
      <c r="G14" s="16">
        <f>SUM(G10:G13)</f>
        <v>3076</v>
      </c>
      <c r="H14" s="17">
        <f>SUM(H10:H13)</f>
        <v>2645.153295924575</v>
      </c>
      <c r="I14" s="2"/>
    </row>
    <row r="15">
      <c r="A15" s="3"/>
      <c r="B15" s="3" t="s">
        <v>299</v>
      </c>
      <c r="C15" s="6">
        <f>Inputs!D197-Inputs!C197</f>
        <v>2522</v>
      </c>
      <c r="D15" s="6">
        <f>Inputs!E197-Inputs!D197</f>
        <v>2225</v>
      </c>
      <c r="E15" s="6">
        <f>Inputs!E197</f>
        <v>9290</v>
      </c>
      <c r="F15" s="6">
        <f>Inputs!F197</f>
        <v>2440</v>
      </c>
      <c r="G15" s="6">
        <f>Inputs!G197-Inputs!F197</f>
        <v>3076</v>
      </c>
      <c r="H15" s="13">
        <f>H14</f>
        <v>2645.153295924575</v>
      </c>
      <c r="I15" s="2"/>
    </row>
    <row r="16">
      <c r="A16" s="3"/>
      <c r="B16" s="31" t="s">
        <v>300</v>
      </c>
      <c r="C16" s="53">
        <f>C14-C15</f>
        <v>0</v>
      </c>
      <c r="D16" s="53">
        <f>D14-D15</f>
        <v>0</v>
      </c>
      <c r="E16" s="53">
        <f>E14-E15</f>
        <v>0</v>
      </c>
      <c r="F16" s="53">
        <f>F14-F15</f>
        <v>0</v>
      </c>
      <c r="G16" s="53">
        <f>G14-G15</f>
        <v>0</v>
      </c>
      <c r="H16" s="57">
        <f>H14-H15</f>
        <v>0</v>
      </c>
      <c r="I16" s="2" t="s">
        <v>301</v>
      </c>
    </row>
    <row r="17">
      <c r="A17" s="3"/>
      <c r="B17" s="3" t="s">
        <v>302</v>
      </c>
      <c r="C17" s="6">
        <f>Inputs!D193-Inputs!C193</f>
        <v>1788</v>
      </c>
      <c r="D17" s="6">
        <f>Inputs!E193-Inputs!D193</f>
        <v>1848</v>
      </c>
      <c r="E17" s="6">
        <f>Inputs!E193</f>
        <v>7138</v>
      </c>
      <c r="F17" s="6">
        <f>Inputs!F193</f>
        <v>1701</v>
      </c>
      <c r="G17" s="6">
        <f>Inputs!G193-Inputs!F193</f>
        <v>1993</v>
      </c>
      <c r="H17" s="13">
        <f>H10</f>
        <v>2062.153295924575</v>
      </c>
      <c r="I17" s="2"/>
    </row>
    <row r="18">
      <c r="A18" s="3"/>
      <c r="B18" s="31" t="s">
        <v>303</v>
      </c>
      <c r="C18" s="53">
        <f>C17-C10</f>
        <v>0</v>
      </c>
      <c r="D18" s="53">
        <f>D17-D10</f>
        <v>0</v>
      </c>
      <c r="E18" s="53">
        <f>E17-E10</f>
        <v>0</v>
      </c>
      <c r="F18" s="53">
        <f>F17-F10</f>
        <v>0</v>
      </c>
      <c r="G18" s="53">
        <f>G17-G10</f>
        <v>0</v>
      </c>
      <c r="H18" s="57">
        <f>H17-H10</f>
        <v>0</v>
      </c>
      <c r="I18" s="2" t="s">
        <v>304</v>
      </c>
    </row>
    <row r="19">
      <c r="A19" s="3"/>
      <c r="B19" s="50" t="s">
        <v>305</v>
      </c>
      <c r="C19" s="12"/>
      <c r="D19" s="12"/>
      <c r="E19" s="12"/>
      <c r="F19" s="12"/>
      <c r="G19" s="12"/>
      <c r="H19" s="41"/>
      <c r="I19" s="2"/>
    </row>
    <row r="20">
      <c r="A20" s="3"/>
      <c r="B20" s="3" t="s">
        <v>306</v>
      </c>
      <c r="C20" s="6">
        <f>Inputs!D198-Inputs!C198</f>
        <v>-950</v>
      </c>
      <c r="D20" s="6">
        <f>Inputs!E198-Inputs!D198</f>
        <v>-999</v>
      </c>
      <c r="E20" s="6">
        <f>Inputs!E198</f>
        <v>-3791</v>
      </c>
      <c r="F20" s="6">
        <f>Inputs!F198</f>
        <v>-937</v>
      </c>
      <c r="G20" s="6">
        <f>Inputs!G198-Inputs!F198</f>
        <v>-873</v>
      </c>
      <c r="H20" s="27">
        <v>-800</v>
      </c>
      <c r="I20" s="2"/>
    </row>
    <row r="21">
      <c r="A21" s="3"/>
      <c r="B21" s="3" t="s">
        <v>307</v>
      </c>
      <c r="C21" s="6">
        <f>Inputs!D199-Inputs!C199</f>
        <v>-2</v>
      </c>
      <c r="D21" s="6">
        <f>Inputs!E199-Inputs!D199</f>
        <v>28</v>
      </c>
      <c r="E21" s="6">
        <f>Inputs!E199</f>
        <v>29</v>
      </c>
      <c r="F21" s="6">
        <f>Inputs!F199</f>
        <v>-51</v>
      </c>
      <c r="G21" s="6">
        <f>Inputs!G199-Inputs!F199</f>
        <v>-203</v>
      </c>
      <c r="H21" s="27">
        <v>-20</v>
      </c>
      <c r="I21" s="2"/>
    </row>
    <row r="22">
      <c r="A22" s="3"/>
      <c r="B22" s="15" t="s">
        <v>308</v>
      </c>
      <c r="C22" s="16">
        <f>C20+C21</f>
        <v>-952</v>
      </c>
      <c r="D22" s="16">
        <f>D20+D21</f>
        <v>-971</v>
      </c>
      <c r="E22" s="16">
        <f>E20+E21</f>
        <v>-3762</v>
      </c>
      <c r="F22" s="16">
        <f>F20+F21</f>
        <v>-988</v>
      </c>
      <c r="G22" s="16">
        <f>G20+G21</f>
        <v>-1076</v>
      </c>
      <c r="H22" s="17">
        <f>H20+H21</f>
        <v>-820</v>
      </c>
      <c r="I22" s="2"/>
    </row>
    <row r="23">
      <c r="A23" s="3"/>
      <c r="B23" s="50" t="s">
        <v>309</v>
      </c>
      <c r="C23" s="12"/>
      <c r="D23" s="12"/>
      <c r="E23" s="12"/>
      <c r="F23" s="12"/>
      <c r="G23" s="12"/>
      <c r="H23" s="41"/>
      <c r="I23" s="2"/>
    </row>
    <row r="24">
      <c r="A24" s="3"/>
      <c r="B24" s="3" t="s">
        <v>310</v>
      </c>
      <c r="C24" s="6">
        <f>Inputs!D201-Inputs!C201</f>
        <v>-819</v>
      </c>
      <c r="D24" s="6">
        <f>Inputs!E201-Inputs!D201</f>
        <v>-818</v>
      </c>
      <c r="E24" s="6">
        <f>Inputs!E201</f>
        <v>-3236</v>
      </c>
      <c r="F24" s="6">
        <f>Inputs!F201</f>
        <v>-821</v>
      </c>
      <c r="G24" s="6">
        <f>Inputs!G201-Inputs!F201</f>
        <v>-819</v>
      </c>
      <c r="H24" s="22">
        <f>-'Income Statement'!H73*'Share Count'!H20</f>
        <v>-843.87120716</v>
      </c>
      <c r="I24" s="2"/>
    </row>
    <row r="25">
      <c r="A25" s="3"/>
      <c r="B25" s="3" t="s">
        <v>311</v>
      </c>
      <c r="C25" s="6">
        <f>Inputs!D202-Inputs!C202</f>
        <v>0</v>
      </c>
      <c r="D25" s="6">
        <f>Inputs!E202-Inputs!D202</f>
        <v>0</v>
      </c>
      <c r="E25" s="6">
        <f>Inputs!E202</f>
        <v>-2679</v>
      </c>
      <c r="F25" s="6">
        <f>Inputs!F202</f>
        <v>0</v>
      </c>
      <c r="G25" s="6">
        <f>Inputs!G202-Inputs!F202</f>
        <v>-26</v>
      </c>
      <c r="H25" s="27">
        <v>0</v>
      </c>
      <c r="I25" s="2"/>
    </row>
    <row r="26">
      <c r="A26" s="3"/>
      <c r="B26" s="3" t="s">
        <v>312</v>
      </c>
      <c r="C26" s="6">
        <f>Inputs!D203-Inputs!C203</f>
        <v>0</v>
      </c>
      <c r="D26" s="6">
        <f>Inputs!E203-Inputs!D203</f>
        <v>0</v>
      </c>
      <c r="E26" s="6">
        <f>Inputs!E203</f>
        <v>1995</v>
      </c>
      <c r="F26" s="6">
        <f>Inputs!F203</f>
        <v>0</v>
      </c>
      <c r="G26" s="6">
        <f>Inputs!G203-Inputs!F203</f>
        <v>0</v>
      </c>
      <c r="H26" s="27">
        <v>0</v>
      </c>
      <c r="I26" s="2"/>
    </row>
    <row r="27">
      <c r="A27" s="3"/>
      <c r="B27" s="3" t="s">
        <v>313</v>
      </c>
      <c r="C27" s="6">
        <f>Inputs!D204-Inputs!C204</f>
        <v>-1015</v>
      </c>
      <c r="D27" s="6">
        <f>Inputs!E204-Inputs!D204</f>
        <v>-4</v>
      </c>
      <c r="E27" s="6">
        <f>Inputs!E204</f>
        <v>-1428</v>
      </c>
      <c r="F27" s="6">
        <f>Inputs!F204</f>
        <v>-1172</v>
      </c>
      <c r="G27" s="6">
        <f>Inputs!G204-Inputs!F204</f>
        <v>-334</v>
      </c>
      <c r="H27" s="27">
        <v>0</v>
      </c>
      <c r="I27" s="2"/>
    </row>
    <row r="28">
      <c r="A28" s="3"/>
      <c r="B28" s="3" t="s">
        <v>307</v>
      </c>
      <c r="C28" s="6">
        <f>Inputs!D205-Inputs!C205</f>
        <v>11</v>
      </c>
      <c r="D28" s="6">
        <f>Inputs!E205-Inputs!D205</f>
        <v>18</v>
      </c>
      <c r="E28" s="6">
        <f>Inputs!E205</f>
        <v>72</v>
      </c>
      <c r="F28" s="6">
        <f>Inputs!F205</f>
        <v>12</v>
      </c>
      <c r="G28" s="6">
        <f>Inputs!G205-Inputs!F205</f>
        <v>51</v>
      </c>
      <c r="H28" s="27">
        <v>10</v>
      </c>
      <c r="I28" s="2"/>
    </row>
    <row r="29">
      <c r="A29" s="3"/>
      <c r="B29" s="15" t="s">
        <v>314</v>
      </c>
      <c r="C29" s="16">
        <f>SUM(C24:C28)</f>
        <v>-1823</v>
      </c>
      <c r="D29" s="16">
        <f>SUM(D24:D28)</f>
        <v>-804</v>
      </c>
      <c r="E29" s="16">
        <f>SUM(E24:E28)</f>
        <v>-5276</v>
      </c>
      <c r="F29" s="16">
        <f>SUM(F24:F28)</f>
        <v>-1981</v>
      </c>
      <c r="G29" s="16">
        <f>SUM(G24:G28)</f>
        <v>-1128</v>
      </c>
      <c r="H29" s="17">
        <f>SUM(H24:H28)</f>
        <v>-833.87120716</v>
      </c>
      <c r="I29" s="2"/>
    </row>
    <row r="30">
      <c r="A30" s="3"/>
      <c r="B30" s="15" t="s">
        <v>315</v>
      </c>
      <c r="C30" s="16">
        <f>C14+C22+C29</f>
        <v>-253</v>
      </c>
      <c r="D30" s="16">
        <f>D14+D22+D29</f>
        <v>450</v>
      </c>
      <c r="E30" s="16">
        <f>E14+E22+E29</f>
        <v>252</v>
      </c>
      <c r="F30" s="16">
        <f>F14+F22+F29</f>
        <v>-529</v>
      </c>
      <c r="G30" s="16">
        <f>G14+G22+G29</f>
        <v>872</v>
      </c>
      <c r="H30" s="17">
        <f>H14+H22+H29</f>
        <v>991.2820887645751</v>
      </c>
      <c r="I30" s="2"/>
    </row>
    <row r="31">
      <c r="A31" s="3"/>
      <c r="B31" s="3" t="s">
        <v>316</v>
      </c>
      <c r="C31" s="6">
        <f>Inputs!C209</f>
        <v>1083</v>
      </c>
      <c r="D31" s="4">
        <f>C32</f>
        <v>830</v>
      </c>
      <c r="E31" s="6">
        <f>Inputs!E208</f>
        <v>1028</v>
      </c>
      <c r="F31" s="4">
        <f>D32</f>
        <v>1280</v>
      </c>
      <c r="G31" s="4">
        <f>F32</f>
        <v>751</v>
      </c>
      <c r="H31" s="13">
        <f>G32</f>
        <v>1623</v>
      </c>
      <c r="I31" s="2"/>
    </row>
    <row r="32">
      <c r="A32" s="3"/>
      <c r="B32" s="15" t="s">
        <v>317</v>
      </c>
      <c r="C32" s="16">
        <f>C31+C30</f>
        <v>830</v>
      </c>
      <c r="D32" s="16">
        <f>D31+D30</f>
        <v>1280</v>
      </c>
      <c r="E32" s="16">
        <f>E31+E30</f>
        <v>1280</v>
      </c>
      <c r="F32" s="16">
        <f>F31+F30</f>
        <v>751</v>
      </c>
      <c r="G32" s="16">
        <f>G31+G30</f>
        <v>1623</v>
      </c>
      <c r="H32" s="17">
        <f>H31+H30</f>
        <v>2614.282088764575</v>
      </c>
      <c r="I32" s="2"/>
    </row>
    <row r="33">
      <c r="A33" s="3"/>
      <c r="B33" s="3" t="s">
        <v>318</v>
      </c>
      <c r="C33" s="6">
        <f>'Balance Sheet'!C10+'Balance Sheet'!C32</f>
        <v>830</v>
      </c>
      <c r="D33" s="6">
        <f>'Balance Sheet'!D10+'Balance Sheet'!D32</f>
        <v>1280</v>
      </c>
      <c r="E33" s="6">
        <f>'Balance Sheet'!E10+'Balance Sheet'!E32</f>
        <v>1280</v>
      </c>
      <c r="F33" s="6">
        <f>'Balance Sheet'!F10+'Balance Sheet'!F32</f>
        <v>751</v>
      </c>
      <c r="G33" s="6">
        <f>'Balance Sheet'!G10+'Balance Sheet'!G32</f>
        <v>1623</v>
      </c>
      <c r="H33" s="22">
        <f>'Balance Sheet'!H10+'Balance Sheet'!H32</f>
        <v>2614.282088764575</v>
      </c>
      <c r="I33" s="2"/>
    </row>
    <row r="34">
      <c r="A34" s="3"/>
      <c r="B34" s="31" t="s">
        <v>319</v>
      </c>
      <c r="C34" s="53">
        <f>C32-C33</f>
        <v>0</v>
      </c>
      <c r="D34" s="53">
        <f>D32-D33</f>
        <v>0</v>
      </c>
      <c r="E34" s="53">
        <f>E32-E33</f>
        <v>0</v>
      </c>
      <c r="F34" s="53">
        <f>F32-F33</f>
        <v>0</v>
      </c>
      <c r="G34" s="53">
        <f>G32-G33</f>
        <v>0</v>
      </c>
      <c r="H34" s="57">
        <f>H32-H33</f>
        <v>0</v>
      </c>
      <c r="I34" s="2"/>
    </row>
    <row r="35">
      <c r="A35" s="3"/>
      <c r="B35" s="31" t="s">
        <v>36</v>
      </c>
      <c r="C35" s="5" t="b">
        <f>ABS(C34)&lt;0.5</f>
        <v>1</v>
      </c>
      <c r="D35" s="5" t="b">
        <f>ABS(D34)&lt;0.5</f>
        <v>1</v>
      </c>
      <c r="E35" s="5" t="b">
        <f>ABS(E34)&lt;0.5</f>
        <v>1</v>
      </c>
      <c r="F35" s="5" t="b">
        <f>ABS(F34)&lt;0.5</f>
        <v>1</v>
      </c>
      <c r="G35" s="5" t="b">
        <f>ABS(G34)&lt;0.5</f>
        <v>1</v>
      </c>
      <c r="H35" s="69" t="b">
        <f>ABS(H34)&lt;0.5</f>
        <v>1</v>
      </c>
      <c r="I35" s="2" t="s">
        <v>320</v>
      </c>
    </row>
    <row r="36">
      <c r="A36" s="3"/>
      <c r="B36" s="50" t="s">
        <v>321</v>
      </c>
      <c r="C36" s="12"/>
      <c r="D36" s="12"/>
      <c r="E36" s="12"/>
      <c r="F36" s="12"/>
      <c r="G36" s="12"/>
      <c r="H36" s="41"/>
      <c r="I36" s="2"/>
    </row>
    <row r="37">
      <c r="A37" s="3"/>
      <c r="B37" s="15" t="s">
        <v>322</v>
      </c>
      <c r="C37" s="16">
        <f>C14+C22+C24</f>
        <v>751</v>
      </c>
      <c r="D37" s="16">
        <f>D14+D22+D24</f>
        <v>436</v>
      </c>
      <c r="E37" s="16">
        <f>E14+E22+E24</f>
        <v>2292</v>
      </c>
      <c r="F37" s="16">
        <f>F14+F22+F24</f>
        <v>631</v>
      </c>
      <c r="G37" s="16">
        <f>G14+G22+G24</f>
        <v>1181</v>
      </c>
      <c r="H37" s="17">
        <f>H14+H22+H24</f>
        <v>981.2820887645751</v>
      </c>
      <c r="I37" s="2"/>
    </row>
    <row r="38">
      <c r="A38" s="3"/>
      <c r="B38" s="3" t="s">
        <v>323</v>
      </c>
      <c r="C38" s="4">
        <f>-C20</f>
        <v>950</v>
      </c>
      <c r="D38" s="4">
        <f>-D20</f>
        <v>999</v>
      </c>
      <c r="E38" s="4">
        <f>-E20</f>
        <v>3791</v>
      </c>
      <c r="F38" s="4">
        <f>-F20</f>
        <v>937</v>
      </c>
      <c r="G38" s="4">
        <f>-G20</f>
        <v>873</v>
      </c>
      <c r="H38" s="13">
        <f>-H20</f>
        <v>800</v>
      </c>
      <c r="I38" s="2"/>
    </row>
    <row r="39">
      <c r="A39" s="3"/>
      <c r="B39" s="31" t="s">
        <v>324</v>
      </c>
      <c r="C39" s="8">
        <f>C38/'Income Statement'!C12</f>
        <v>0.1521460602178091</v>
      </c>
      <c r="D39" s="8">
        <f>D38/'Income Statement'!D12</f>
        <v>0.16417419884963025</v>
      </c>
      <c r="E39" s="8">
        <f>E38/'Income Statement'!E12</f>
        <v>0.15467156262749898</v>
      </c>
      <c r="F39" s="8">
        <f>F38/'Income Statement'!F12</f>
        <v>0.15071577931478206</v>
      </c>
      <c r="G39" s="8">
        <f>G38/'Income Statement'!G12</f>
        <v>0.1271853146853147</v>
      </c>
      <c r="H39" s="51">
        <f>H38/'Income Statement'!H12</f>
        <v>0.11150120901298995</v>
      </c>
      <c r="I39" s="2"/>
    </row>
    <row r="40">
      <c r="A40" s="3"/>
      <c r="B40" s="31" t="s">
        <v>325</v>
      </c>
      <c r="C40" s="58">
        <f>C14/C10</f>
        <v>1.4105145413870246</v>
      </c>
      <c r="D40" s="58">
        <f>D14/D10</f>
        <v>1.204004329004329</v>
      </c>
      <c r="E40" s="58">
        <f>E14/E10</f>
        <v>1.3014850098066686</v>
      </c>
      <c r="F40" s="58">
        <f>F14/F10</f>
        <v>1.4344503233392123</v>
      </c>
      <c r="G40" s="58">
        <f>G14/G10</f>
        <v>1.5434019066733566</v>
      </c>
      <c r="H40" s="67">
        <f>H14/H10</f>
        <v>1.2827141906240338</v>
      </c>
      <c r="I40" s="2"/>
    </row>
    <row r="41">
      <c r="A41" s="3"/>
      <c r="B41" s="3"/>
      <c r="C41" s="12"/>
      <c r="D41" s="12"/>
      <c r="E41" s="12"/>
      <c r="F41" s="12"/>
      <c r="G41" s="12"/>
      <c r="H41" s="41"/>
      <c r="I41" s="2"/>
    </row>
    <row r="42">
      <c r="A42" s="3"/>
      <c r="B42" s="3"/>
      <c r="C42" s="3"/>
      <c r="D42" s="3"/>
      <c r="E42" s="3"/>
      <c r="F42" s="3"/>
      <c r="G42" s="3"/>
      <c r="H42" s="3"/>
      <c r="I42" s="3"/>
    </row>
    <row r="43">
      <c r="A43" s="3"/>
      <c r="B43" s="3"/>
      <c r="C43" s="3"/>
      <c r="D43" s="3"/>
      <c r="E43" s="3"/>
      <c r="F43" s="3"/>
      <c r="G43" s="3"/>
      <c r="H43" s="3"/>
      <c r="I43" s="3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5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326</v>
      </c>
      <c r="C3" s="3"/>
      <c r="D3" s="3"/>
      <c r="E3" s="3"/>
      <c r="F3" s="3"/>
      <c r="G3" s="3"/>
      <c r="H3" s="3"/>
      <c r="I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</row>
    <row r="8">
      <c r="A8" s="3"/>
      <c r="B8" s="3"/>
      <c r="C8" s="3"/>
      <c r="D8" s="3"/>
      <c r="E8" s="3"/>
      <c r="F8" s="3"/>
      <c r="G8" s="3"/>
      <c r="H8" s="3"/>
      <c r="I8" s="15" t="s">
        <v>12</v>
      </c>
    </row>
    <row r="9">
      <c r="A9" s="3"/>
      <c r="B9" s="50" t="s">
        <v>327</v>
      </c>
      <c r="C9" s="12"/>
      <c r="D9" s="12"/>
      <c r="E9" s="12"/>
      <c r="F9" s="12"/>
      <c r="G9" s="12"/>
      <c r="H9" s="41"/>
      <c r="I9" s="2"/>
    </row>
    <row r="10">
      <c r="A10" s="3"/>
      <c r="B10" s="3" t="s">
        <v>328</v>
      </c>
      <c r="C10" s="14">
        <v>592.4</v>
      </c>
      <c r="D10" s="14">
        <v>592.5</v>
      </c>
      <c r="E10" s="14">
        <v>595</v>
      </c>
      <c r="F10" s="14">
        <v>593</v>
      </c>
      <c r="G10" s="14">
        <v>593.4</v>
      </c>
      <c r="H10" s="13">
        <f>G10+H12</f>
        <v>593.6</v>
      </c>
      <c r="I10" s="2"/>
    </row>
    <row r="11">
      <c r="A11" s="3"/>
      <c r="B11" s="31" t="s">
        <v>78</v>
      </c>
      <c r="C11" s="8">
        <f>IFERROR(C10/Inputs!C182-1,"n/a")</f>
        <v>-0.025016458196181812</v>
      </c>
      <c r="D11" s="8">
        <f>IFERROR(D10/Inputs!D182-1,"n/a")</f>
        <v>-0.019364448857994154</v>
      </c>
      <c r="E11" s="8">
        <f>IFERROR(E10/Inputs!E182-1,"n/a")</f>
        <v>-0.02073732718894017</v>
      </c>
      <c r="F11" s="8">
        <f>IFERROR(F10/Inputs!F182-1,"n/a")</f>
        <v>-0.01331114808652245</v>
      </c>
      <c r="G11" s="8">
        <f>IFERROR(G10/Inputs!G182-1,"n/a")</f>
        <v>-0.0011782528193907682</v>
      </c>
      <c r="H11" s="36">
        <f>H10/C10-1</f>
        <v>0.002025658338960179</v>
      </c>
      <c r="I11" s="2"/>
    </row>
    <row r="12">
      <c r="A12" s="3"/>
      <c r="B12" s="3" t="s">
        <v>329</v>
      </c>
      <c r="C12" s="6">
        <f>C10-Inputs!G182</f>
        <v>-1.7000000000000455</v>
      </c>
      <c r="D12" s="4">
        <f>D10-C10</f>
        <v>0.10000000000002274</v>
      </c>
      <c r="E12" s="6">
        <f>E10-Inputs!E182</f>
        <v>-12.600000000000023</v>
      </c>
      <c r="F12" s="4">
        <f>F10-D10</f>
        <v>0.5</v>
      </c>
      <c r="G12" s="4">
        <f>G10-F10</f>
        <v>0.39999999999997726</v>
      </c>
      <c r="H12" s="27">
        <v>0.2</v>
      </c>
      <c r="I12" s="2" t="s">
        <v>330</v>
      </c>
    </row>
    <row r="13">
      <c r="A13" s="3"/>
      <c r="B13" s="3" t="s">
        <v>331</v>
      </c>
      <c r="C13" s="4">
        <f>C16-C10</f>
        <v>0.8000000000000682</v>
      </c>
      <c r="D13" s="4">
        <f>D16-D10</f>
        <v>1</v>
      </c>
      <c r="E13" s="4">
        <f>E16-E10</f>
        <v>0.8999999999999773</v>
      </c>
      <c r="F13" s="4">
        <f>F16-F10</f>
        <v>0.6000000000000227</v>
      </c>
      <c r="G13" s="4">
        <f>G16-G10</f>
        <v>0.6000000000000227</v>
      </c>
      <c r="H13" s="27">
        <v>0.6</v>
      </c>
      <c r="I13" s="2" t="s">
        <v>332</v>
      </c>
    </row>
    <row r="14">
      <c r="A14" s="3"/>
      <c r="B14" s="3" t="s">
        <v>333</v>
      </c>
      <c r="C14" s="6">
        <f>C13-(Inputs!C183-Inputs!C182)</f>
        <v>-0.1999999999999318</v>
      </c>
      <c r="D14" s="6">
        <f>D13-(Inputs!D183-Inputs!D182)</f>
        <v>0</v>
      </c>
      <c r="E14" s="6">
        <f>E13-(Inputs!E183-Inputs!E182)</f>
        <v>-0.10000000000002274</v>
      </c>
      <c r="F14" s="6">
        <f>F13-(Inputs!F183-Inputs!F182)</f>
        <v>-0.2999999999999545</v>
      </c>
      <c r="G14" s="6">
        <f>G13-(Inputs!G183-Inputs!G182)</f>
        <v>-0.09999999999990905</v>
      </c>
      <c r="H14" s="13">
        <f>H13-C13</f>
        <v>-0.20000000000006823</v>
      </c>
      <c r="I14" s="2"/>
    </row>
    <row r="15">
      <c r="A15" s="3"/>
      <c r="B15" s="3" t="s">
        <v>334</v>
      </c>
      <c r="C15" s="6">
        <f>C13-(Inputs!G183-Inputs!G182)</f>
        <v>0.10000000000013642</v>
      </c>
      <c r="D15" s="4">
        <f>D13-C13</f>
        <v>0.1999999999999318</v>
      </c>
      <c r="E15" s="4"/>
      <c r="F15" s="4">
        <f>F13-D13</f>
        <v>-0.39999999999997726</v>
      </c>
      <c r="G15" s="4">
        <f>G13-F13</f>
        <v>0</v>
      </c>
      <c r="H15" s="13">
        <f>H13-G13</f>
        <v>0</v>
      </c>
      <c r="I15" s="2"/>
    </row>
    <row r="16">
      <c r="A16" s="3"/>
      <c r="B16" s="15" t="s">
        <v>335</v>
      </c>
      <c r="C16" s="9">
        <v>593.2</v>
      </c>
      <c r="D16" s="9">
        <v>593.5</v>
      </c>
      <c r="E16" s="9">
        <v>595.9</v>
      </c>
      <c r="F16" s="9">
        <v>593.6</v>
      </c>
      <c r="G16" s="9">
        <v>594</v>
      </c>
      <c r="H16" s="17">
        <f>H10+H13</f>
        <v>594.2</v>
      </c>
      <c r="I16" s="2"/>
    </row>
    <row r="17">
      <c r="A17" s="3"/>
      <c r="B17" s="31" t="s">
        <v>78</v>
      </c>
      <c r="C17" s="8">
        <f>IFERROR(C16/Inputs!C183-1,"n/a")</f>
        <v>-0.025303976339138945</v>
      </c>
      <c r="D17" s="8">
        <f>IFERROR(D16/Inputs!D183-1,"n/a")</f>
        <v>-0.01933245208195644</v>
      </c>
      <c r="E17" s="8">
        <f>IFERROR(E16/Inputs!E183-1,"n/a")</f>
        <v>-0.0208675649030563</v>
      </c>
      <c r="F17" s="8">
        <f>IFERROR(F16/Inputs!F183-1,"n/a")</f>
        <v>-0.013789666057484551</v>
      </c>
      <c r="G17" s="8">
        <f>IFERROR(G16/Inputs!G183-1,"n/a")</f>
        <v>-0.0013449899125755893</v>
      </c>
      <c r="H17" s="36">
        <f>H16/C16-1</f>
        <v>0.001685772083614312</v>
      </c>
      <c r="I17" s="2"/>
    </row>
    <row r="18">
      <c r="A18" s="3"/>
      <c r="B18" s="3" t="s">
        <v>334</v>
      </c>
      <c r="C18" s="6">
        <f>C16-Inputs!G183</f>
        <v>-1.599999999999909</v>
      </c>
      <c r="D18" s="4">
        <f>D16-C16</f>
        <v>0.2999999999999545</v>
      </c>
      <c r="E18" s="4"/>
      <c r="F18" s="4">
        <f>F16-D16</f>
        <v>0.10000000000002274</v>
      </c>
      <c r="G18" s="4">
        <f>G16-F16</f>
        <v>0.39999999999997726</v>
      </c>
      <c r="H18" s="13">
        <f>H16-G16</f>
        <v>0.20000000000004547</v>
      </c>
      <c r="I18" s="2"/>
    </row>
    <row r="19">
      <c r="A19" s="3"/>
      <c r="B19" s="50" t="s">
        <v>336</v>
      </c>
      <c r="C19" s="12"/>
      <c r="D19" s="12"/>
      <c r="E19" s="12"/>
      <c r="F19" s="12"/>
      <c r="G19" s="12"/>
      <c r="H19" s="41"/>
      <c r="I19" s="2"/>
    </row>
    <row r="20">
      <c r="A20" s="3"/>
      <c r="B20" s="3" t="s">
        <v>337</v>
      </c>
      <c r="C20" s="14">
        <v>593.160889</v>
      </c>
      <c r="D20" s="14">
        <v>593.39146</v>
      </c>
      <c r="E20" s="4">
        <f>D20</f>
        <v>593.39146</v>
      </c>
      <c r="F20" s="14">
        <v>593.713213</v>
      </c>
      <c r="G20" s="14">
        <v>594.075498</v>
      </c>
      <c r="H20" s="13">
        <f>G20+H12</f>
        <v>594.2754980000001</v>
      </c>
      <c r="I20" s="2" t="s">
        <v>338</v>
      </c>
    </row>
    <row r="21">
      <c r="A21" s="3"/>
      <c r="B21" s="3" t="s">
        <v>339</v>
      </c>
      <c r="C21" s="6">
        <f>-'Cash Flow Statement'!C25</f>
        <v>0</v>
      </c>
      <c r="D21" s="6">
        <f>-'Cash Flow Statement'!D25</f>
        <v>0</v>
      </c>
      <c r="E21" s="6">
        <f>-'Cash Flow Statement'!E25</f>
        <v>2679</v>
      </c>
      <c r="F21" s="6">
        <f>-'Cash Flow Statement'!F25</f>
        <v>0</v>
      </c>
      <c r="G21" s="6">
        <f>-'Cash Flow Statement'!G25</f>
        <v>26</v>
      </c>
      <c r="H21" s="22">
        <f>-'Cash Flow Statement'!H25</f>
        <v>0</v>
      </c>
      <c r="I21" s="2"/>
    </row>
    <row r="22">
      <c r="A22" s="3"/>
      <c r="B22" s="15" t="s">
        <v>340</v>
      </c>
      <c r="C22" s="16"/>
      <c r="D22" s="16"/>
      <c r="E22" s="16"/>
      <c r="F22" s="16"/>
      <c r="G22" s="16"/>
      <c r="H22" s="17">
        <f>H16</f>
        <v>594.2</v>
      </c>
      <c r="I22" s="2"/>
    </row>
    <row r="23">
      <c r="A23" s="3"/>
      <c r="B23" s="31" t="s">
        <v>341</v>
      </c>
      <c r="C23" s="5"/>
      <c r="D23" s="5"/>
      <c r="E23" s="5"/>
      <c r="F23" s="5"/>
      <c r="G23" s="5"/>
      <c r="H23" s="42" t="b">
        <f>ABS('Income Statement'!H88*H16-'Income Statement'!H86)&lt;0.001</f>
        <v>1</v>
      </c>
      <c r="I23" s="2" t="s">
        <v>342</v>
      </c>
    </row>
    <row r="24">
      <c r="A24" s="3"/>
      <c r="B24" s="3"/>
      <c r="C24" s="12"/>
      <c r="D24" s="12"/>
      <c r="E24" s="12"/>
      <c r="F24" s="12"/>
      <c r="G24" s="12"/>
      <c r="H24" s="41"/>
      <c r="I24" s="2"/>
    </row>
    <row r="25">
      <c r="A25" s="3"/>
      <c r="B25" s="3"/>
      <c r="C25" s="3"/>
      <c r="D25" s="3"/>
      <c r="E25" s="3"/>
      <c r="F25" s="3"/>
      <c r="G25" s="3"/>
      <c r="H25" s="3"/>
      <c r="I25" s="3"/>
    </row>
    <row r="26">
      <c r="A26" s="3"/>
      <c r="B26" s="3"/>
      <c r="C26" s="3"/>
      <c r="D26" s="3"/>
      <c r="E26" s="3"/>
      <c r="F26" s="3"/>
      <c r="G26" s="3"/>
      <c r="H26" s="3"/>
      <c r="I26" s="3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4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5" t="s">
        <v>343</v>
      </c>
      <c r="C3" s="3"/>
      <c r="D3" s="3"/>
      <c r="E3" s="3"/>
      <c r="F3" s="3"/>
      <c r="G3" s="3"/>
      <c r="H3" s="3"/>
      <c r="I3" s="3"/>
      <c r="J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  <c r="J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  <c r="J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  <c r="J7" s="7"/>
    </row>
    <row r="8">
      <c r="A8" s="3"/>
      <c r="B8" s="102" t="s">
        <v>344</v>
      </c>
      <c r="C8" s="3"/>
      <c r="D8" s="3"/>
      <c r="E8" s="3"/>
      <c r="F8" s="3"/>
      <c r="G8" s="3"/>
      <c r="H8" s="3"/>
      <c r="I8" s="3"/>
      <c r="J8" s="3"/>
    </row>
    <row r="9" ht="23.24853515625">
      <c r="A9" s="3"/>
      <c r="B9" s="44" t="s">
        <v>345</v>
      </c>
      <c r="C9" s="20" t="s">
        <v>346</v>
      </c>
      <c r="D9" s="20" t="s">
        <v>3</v>
      </c>
      <c r="E9" s="20" t="s">
        <v>347</v>
      </c>
      <c r="F9" s="20" t="s">
        <v>348</v>
      </c>
      <c r="G9" s="20" t="s">
        <v>349</v>
      </c>
      <c r="H9" s="20" t="s">
        <v>350</v>
      </c>
      <c r="I9" s="101" t="s">
        <v>351</v>
      </c>
      <c r="J9" s="107" t="s">
        <v>352</v>
      </c>
    </row>
    <row r="10" ht="42">
      <c r="A10" s="3"/>
      <c r="B10" s="24" t="s">
        <v>353</v>
      </c>
      <c r="C10" s="26">
        <v>45953</v>
      </c>
      <c r="D10" s="19" t="s">
        <v>354</v>
      </c>
      <c r="E10" s="37">
        <v>0.07</v>
      </c>
      <c r="F10" s="37">
        <v>0.11</v>
      </c>
      <c r="G10" s="23">
        <f>AVERAGE(E10:F10)</f>
        <v>0.09</v>
      </c>
      <c r="H10" s="52">
        <f>'Income Statement'!E69/Inputs!E179-1</f>
        <v>0.08011901585995451</v>
      </c>
      <c r="I10" s="19" t="str">
        <f>IF(ISNUMBER(H10),IF(H10&gt;G10,"Beat",IF(H10&lt;G10,"Miss","In line")),"Pending")</f>
        <v>Miss</v>
      </c>
      <c r="J10" s="24" t="s">
        <v>355</v>
      </c>
    </row>
    <row r="11" ht="42">
      <c r="A11" s="3"/>
      <c r="B11" s="24" t="s">
        <v>356</v>
      </c>
      <c r="C11" s="26">
        <v>45953</v>
      </c>
      <c r="D11" s="19" t="s">
        <v>354</v>
      </c>
      <c r="E11" s="43">
        <v>3400</v>
      </c>
      <c r="F11" s="43">
        <v>3400</v>
      </c>
      <c r="G11" s="34">
        <f>AVERAGE(E11:F11)</f>
        <v>3400</v>
      </c>
      <c r="H11" s="54">
        <f>-'Cash Flow Statement'!E20</f>
        <v>3791</v>
      </c>
      <c r="I11" s="19" t="str">
        <f>IF(ISNUMBER(H11),IF(H11&gt;G11,"Above plan",IF(H11&lt;G11,"Below plan","On plan")),"Pending")</f>
        <v>Above plan</v>
      </c>
      <c r="J11" s="24" t="s">
        <v>357</v>
      </c>
    </row>
    <row r="12" ht="42">
      <c r="A12" s="3"/>
      <c r="B12" s="24" t="s">
        <v>358</v>
      </c>
      <c r="C12" s="26">
        <v>46049</v>
      </c>
      <c r="D12" s="19" t="s">
        <v>359</v>
      </c>
      <c r="E12" s="37">
        <v>0.04</v>
      </c>
      <c r="F12" s="37">
        <v>0.06</v>
      </c>
      <c r="G12" s="23">
        <f>AVERAGE(E12:F12)</f>
        <v>0.05</v>
      </c>
      <c r="H12" s="23"/>
      <c r="I12" s="19" t="str">
        <f>IF(ISNUMBER(H12),IF(H12&gt;G12,"Beat",IF(H12&lt;G12,"Miss","In line")),"Pending")</f>
        <v>Pending</v>
      </c>
      <c r="J12" s="24" t="s">
        <v>360</v>
      </c>
    </row>
    <row r="13" ht="42">
      <c r="A13" s="3"/>
      <c r="B13" s="24" t="s">
        <v>361</v>
      </c>
      <c r="C13" s="26">
        <v>46135</v>
      </c>
      <c r="D13" s="19" t="s">
        <v>359</v>
      </c>
      <c r="E13" s="37">
        <v>0.04</v>
      </c>
      <c r="F13" s="37">
        <v>0.06</v>
      </c>
      <c r="G13" s="23">
        <f>AVERAGE(E13:F13)</f>
        <v>0.05</v>
      </c>
      <c r="H13" s="23"/>
      <c r="I13" s="19" t="str">
        <f>IF(ISNUMBER(H13),IF(H13&gt;G13,"Beat",IF(H13&lt;G13,"Miss","In line")),"Pending")</f>
        <v>Pending</v>
      </c>
      <c r="J13" s="24" t="s">
        <v>362</v>
      </c>
    </row>
    <row r="14" ht="42">
      <c r="A14" s="3"/>
      <c r="B14" s="24" t="s">
        <v>363</v>
      </c>
      <c r="C14" s="26">
        <v>46226</v>
      </c>
      <c r="D14" s="19" t="s">
        <v>359</v>
      </c>
      <c r="E14" s="37">
        <v>0.07</v>
      </c>
      <c r="F14" s="37">
        <v>0.09</v>
      </c>
      <c r="G14" s="23">
        <f>AVERAGE(E14:F14)</f>
        <v>0.08</v>
      </c>
      <c r="H14" s="23"/>
      <c r="I14" s="19" t="str">
        <f>IF(ISNUMBER(H14),IF(H14&gt;G14,"Beat",IF(H14&lt;G14,"Miss","In line")),"Pending")</f>
        <v>Pending</v>
      </c>
      <c r="J14" s="24" t="s">
        <v>364</v>
      </c>
    </row>
    <row r="15" ht="42">
      <c r="A15" s="3"/>
      <c r="B15" s="24" t="s">
        <v>365</v>
      </c>
      <c r="C15" s="26">
        <v>46226</v>
      </c>
      <c r="D15" s="19" t="s">
        <v>359</v>
      </c>
      <c r="E15" s="25">
        <f>'Income Statement'!E71*(1+E14)</f>
        <v>12.818600000000002</v>
      </c>
      <c r="F15" s="25">
        <f>'Income Statement'!E71*(1+F14)</f>
        <v>13.058200000000001</v>
      </c>
      <c r="G15" s="29">
        <f>AVERAGE(E15:F15)</f>
        <v>12.938400000000001</v>
      </c>
      <c r="H15" s="29"/>
      <c r="I15" s="19" t="str">
        <f>IF(ISNUMBER(H15),IF(H15&gt;G15,"Beat",IF(H15&lt;G15,"Miss","In line")),"Pending")</f>
        <v>Pending</v>
      </c>
      <c r="J15" s="24" t="s">
        <v>366</v>
      </c>
    </row>
    <row r="16" ht="42">
      <c r="A16" s="3"/>
      <c r="B16" s="24" t="s">
        <v>367</v>
      </c>
      <c r="C16" s="26">
        <v>46226</v>
      </c>
      <c r="D16" s="19" t="s">
        <v>368</v>
      </c>
      <c r="E16" s="25">
        <f>E15-'Income Statement'!F71-'Income Statement'!G71</f>
        <v>6.588600000000003</v>
      </c>
      <c r="F16" s="25">
        <f>F15-'Income Statement'!F71-'Income Statement'!G71</f>
        <v>6.8282000000000025</v>
      </c>
      <c r="G16" s="29">
        <f>AVERAGE(E16:F16)</f>
        <v>6.708400000000003</v>
      </c>
      <c r="H16" s="29"/>
      <c r="I16" s="19" t="str">
        <f>IF(ISNUMBER(H16),IF(H16&gt;G16,"Beat",IF(H16&lt;G16,"Miss","In line")),"Pending")</f>
        <v>Pending</v>
      </c>
      <c r="J16" s="24" t="s">
        <v>369</v>
      </c>
    </row>
    <row r="17" ht="42">
      <c r="A17" s="3"/>
      <c r="B17" s="24" t="s">
        <v>370</v>
      </c>
      <c r="C17" s="26">
        <v>46226</v>
      </c>
      <c r="D17" s="19" t="s">
        <v>371</v>
      </c>
      <c r="E17" s="25">
        <f>E16*'Income Statement'!C90/('Income Statement'!C90+'Income Statement'!D90)</f>
        <v>3.4163111111111126</v>
      </c>
      <c r="F17" s="25">
        <f>F16*'Income Statement'!C90/('Income Statement'!C90+'Income Statement'!D90)</f>
        <v>3.5405481481481496</v>
      </c>
      <c r="G17" s="29">
        <f>AVERAGE(E17:F17)</f>
        <v>3.4784296296296313</v>
      </c>
      <c r="H17" s="29"/>
      <c r="I17" s="19" t="str">
        <f>IF(ISNUMBER(H17),IF(H17&gt;G17,"Beat",IF(H17&lt;G17,"Miss","In line")),"Pending")</f>
        <v>Pending</v>
      </c>
      <c r="J17" s="24" t="s">
        <v>372</v>
      </c>
    </row>
    <row r="18" ht="42">
      <c r="A18" s="3"/>
      <c r="B18" s="24" t="s">
        <v>373</v>
      </c>
      <c r="C18" s="26">
        <v>46049</v>
      </c>
      <c r="D18" s="19" t="s">
        <v>359</v>
      </c>
      <c r="E18" s="43">
        <v>3300</v>
      </c>
      <c r="F18" s="43">
        <v>3300</v>
      </c>
      <c r="G18" s="34">
        <f>AVERAGE(E18:F18)</f>
        <v>3300</v>
      </c>
      <c r="H18" s="34"/>
      <c r="I18" s="19" t="str">
        <f>IF(ISNUMBER(H18),IF(H18&gt;G18,"Above plan",IF(H18&lt;G18,"Below plan","On plan")),"Pending")</f>
        <v>Pending</v>
      </c>
      <c r="J18" s="24" t="s">
        <v>374</v>
      </c>
    </row>
    <row r="19" ht="42">
      <c r="A19" s="3"/>
      <c r="B19" s="24" t="s">
        <v>375</v>
      </c>
      <c r="C19" s="26">
        <v>46226</v>
      </c>
      <c r="D19" s="19" t="s">
        <v>359</v>
      </c>
      <c r="E19" s="37">
        <v>0.06</v>
      </c>
      <c r="F19" s="37">
        <v>0.06</v>
      </c>
      <c r="G19" s="23">
        <f>AVERAGE(E19:F19)</f>
        <v>0.06</v>
      </c>
      <c r="H19" s="23"/>
      <c r="I19" s="19" t="str">
        <f>IF(ISNUMBER(H19),IF(H19&gt;G19,"Beat",IF(H19&lt;G19,"Miss","In line")),"Pending")</f>
        <v>Pending</v>
      </c>
      <c r="J19" s="24" t="s">
        <v>376</v>
      </c>
    </row>
    <row r="20" ht="42">
      <c r="A20" s="3"/>
      <c r="B20" s="24" t="s">
        <v>377</v>
      </c>
      <c r="C20" s="26">
        <v>46281</v>
      </c>
      <c r="D20" s="19" t="s">
        <v>371</v>
      </c>
      <c r="E20" s="28">
        <v>4.25</v>
      </c>
      <c r="F20" s="28">
        <v>4.25</v>
      </c>
      <c r="G20" s="29">
        <f>AVERAGE(E20:F20)</f>
        <v>4.25</v>
      </c>
      <c r="H20" s="29"/>
      <c r="I20" s="19" t="str">
        <f>IF(ISNUMBER(H20),IF(H20&gt;G20,"Beat",IF(H20&lt;G20,"Miss","In line")),"Pending")</f>
        <v>Pending</v>
      </c>
      <c r="J20" s="24" t="s">
        <v>378</v>
      </c>
    </row>
    <row r="21" ht="42">
      <c r="A21" s="3"/>
      <c r="B21" s="24" t="s">
        <v>379</v>
      </c>
      <c r="C21" s="26">
        <v>46281</v>
      </c>
      <c r="D21" s="19" t="s">
        <v>371</v>
      </c>
      <c r="E21" s="37">
        <v>0.05</v>
      </c>
      <c r="F21" s="37">
        <v>0.05</v>
      </c>
      <c r="G21" s="23">
        <f>AVERAGE(E21:F21)</f>
        <v>0.05</v>
      </c>
      <c r="H21" s="23"/>
      <c r="I21" s="19" t="str">
        <f>IF(ISNUMBER(H21),IF(H21&gt;G21,"Beat",IF(H21&lt;G21,"Miss","In line")),"Pending")</f>
        <v>Pending</v>
      </c>
      <c r="J21" s="24" t="s">
        <v>380</v>
      </c>
    </row>
    <row r="22" ht="42">
      <c r="A22" s="3"/>
      <c r="B22" s="24" t="s">
        <v>381</v>
      </c>
      <c r="C22" s="26">
        <v>46281</v>
      </c>
      <c r="D22" s="19" t="s">
        <v>371</v>
      </c>
      <c r="E22" s="21">
        <v>120</v>
      </c>
      <c r="F22" s="45"/>
      <c r="G22" s="45">
        <f>E22</f>
        <v>120</v>
      </c>
      <c r="H22" s="45"/>
      <c r="I22" s="19" t="str">
        <f>IF(ISNUMBER(H22),IF(H22&gt;G22,"Beat",IF(H22&lt;G22,"Miss","In line")),"Pending")</f>
        <v>Pending</v>
      </c>
      <c r="J22" s="24" t="s">
        <v>378</v>
      </c>
    </row>
    <row r="23" ht="42">
      <c r="A23" s="3"/>
      <c r="B23" s="24" t="s">
        <v>382</v>
      </c>
      <c r="C23" s="26">
        <v>46281</v>
      </c>
      <c r="D23" s="19" t="s">
        <v>371</v>
      </c>
      <c r="E23" s="43">
        <v>20</v>
      </c>
      <c r="F23" s="43">
        <v>20</v>
      </c>
      <c r="G23" s="34">
        <f>AVERAGE(E23:F23)</f>
        <v>20</v>
      </c>
      <c r="H23" s="34"/>
      <c r="I23" s="19" t="str">
        <f>IF(ISNUMBER(H23),IF(H23&gt;G23,"Beat",IF(H23&lt;G23,"Miss","In line")),"Pending")</f>
        <v>Pending</v>
      </c>
      <c r="J23" s="24" t="s">
        <v>383</v>
      </c>
    </row>
    <row r="24">
      <c r="A24" s="3"/>
      <c r="B24" s="3"/>
      <c r="C24" s="12"/>
      <c r="D24" s="12"/>
      <c r="E24" s="12"/>
      <c r="F24" s="12"/>
      <c r="G24" s="12"/>
      <c r="H24" s="12"/>
      <c r="I24" s="3"/>
      <c r="J24" s="47"/>
    </row>
    <row r="25">
      <c r="A25" s="3"/>
      <c r="B25" s="31" t="s">
        <v>384</v>
      </c>
      <c r="C25" s="12"/>
      <c r="D25" s="12"/>
      <c r="E25" s="12"/>
      <c r="F25" s="12"/>
      <c r="G25" s="12"/>
      <c r="H25" s="12"/>
      <c r="I25" s="3"/>
      <c r="J25" s="47"/>
    </row>
    <row r="26">
      <c r="A26" s="3"/>
      <c r="B26" s="31" t="s">
        <v>385</v>
      </c>
      <c r="C26" s="12"/>
      <c r="D26" s="12"/>
      <c r="E26" s="12"/>
      <c r="F26" s="12"/>
      <c r="G26" s="12"/>
      <c r="H26" s="12"/>
      <c r="I26" s="3"/>
      <c r="J26" s="47"/>
    </row>
    <row r="27">
      <c r="A27" s="3"/>
      <c r="B27" s="3"/>
      <c r="C27" s="12"/>
      <c r="D27" s="12"/>
      <c r="E27" s="12"/>
      <c r="F27" s="12"/>
      <c r="G27" s="12"/>
      <c r="H27" s="12"/>
      <c r="I27" s="3"/>
      <c r="J27" s="47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40" customWidth="1"/>
    <col min="10" max="10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5" t="s">
        <v>386</v>
      </c>
      <c r="C3" s="3"/>
      <c r="D3" s="3"/>
      <c r="E3" s="3"/>
      <c r="F3" s="3"/>
      <c r="G3" s="3"/>
      <c r="H3" s="3"/>
      <c r="I3" s="3"/>
      <c r="J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  <c r="J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  <c r="J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  <c r="J7" s="7"/>
    </row>
    <row r="8">
      <c r="A8" s="3"/>
      <c r="B8" s="102" t="s">
        <v>344</v>
      </c>
      <c r="C8" s="3"/>
      <c r="D8" s="3"/>
      <c r="E8" s="3"/>
      <c r="F8" s="3"/>
      <c r="G8" s="3"/>
      <c r="H8" s="3"/>
      <c r="I8" s="3"/>
      <c r="J8" s="3"/>
    </row>
    <row r="9">
      <c r="A9" s="3"/>
      <c r="B9" s="44" t="s">
        <v>352</v>
      </c>
      <c r="C9" s="20" t="s">
        <v>387</v>
      </c>
      <c r="D9" s="20" t="s">
        <v>388</v>
      </c>
      <c r="E9" s="107" t="s">
        <v>389</v>
      </c>
      <c r="F9" s="20" t="s">
        <v>390</v>
      </c>
      <c r="G9" s="20" t="s">
        <v>391</v>
      </c>
      <c r="H9" s="107" t="s">
        <v>392</v>
      </c>
      <c r="I9" s="104" t="s">
        <v>393</v>
      </c>
      <c r="J9" s="104" t="s">
        <v>394</v>
      </c>
    </row>
    <row r="10" ht="31.5">
      <c r="A10" s="3"/>
      <c r="B10" s="24" t="s">
        <v>395</v>
      </c>
      <c r="C10" s="19" t="s">
        <v>396</v>
      </c>
      <c r="D10" s="26">
        <v>46313</v>
      </c>
      <c r="E10" s="105" t="s">
        <v>397</v>
      </c>
      <c r="F10" s="26">
        <v>46315</v>
      </c>
      <c r="G10" s="19" t="s">
        <v>398</v>
      </c>
      <c r="H10" s="103" t="s">
        <v>399</v>
      </c>
      <c r="I10" s="24" t="s">
        <v>400</v>
      </c>
      <c r="J10" s="62" t="s">
        <v>401</v>
      </c>
    </row>
    <row r="11" ht="31.5">
      <c r="A11" s="3"/>
      <c r="B11" s="24" t="s">
        <v>402</v>
      </c>
      <c r="C11" s="19" t="s">
        <v>403</v>
      </c>
      <c r="D11" s="26">
        <v>46313</v>
      </c>
      <c r="E11" s="105" t="s">
        <v>397</v>
      </c>
      <c r="F11" s="26">
        <v>46315</v>
      </c>
      <c r="G11" s="19" t="s">
        <v>398</v>
      </c>
      <c r="H11" s="103" t="s">
        <v>399</v>
      </c>
      <c r="I11" s="24" t="s">
        <v>404</v>
      </c>
      <c r="J11" s="62" t="s">
        <v>405</v>
      </c>
    </row>
    <row r="12" ht="31.5">
      <c r="A12" s="3"/>
      <c r="B12" s="24" t="s">
        <v>406</v>
      </c>
      <c r="C12" s="19" t="s">
        <v>407</v>
      </c>
      <c r="D12" s="26">
        <v>45953</v>
      </c>
      <c r="E12" s="105" t="s">
        <v>408</v>
      </c>
      <c r="F12" s="26">
        <v>46315</v>
      </c>
      <c r="G12" s="19" t="s">
        <v>398</v>
      </c>
      <c r="H12" s="103" t="s">
        <v>409</v>
      </c>
      <c r="I12" s="24" t="s">
        <v>410</v>
      </c>
      <c r="J12" s="62" t="s">
        <v>411</v>
      </c>
    </row>
    <row r="13" ht="31.5">
      <c r="A13" s="3"/>
      <c r="B13" s="24" t="s">
        <v>412</v>
      </c>
      <c r="C13" s="19" t="s">
        <v>413</v>
      </c>
      <c r="D13" s="26">
        <v>46049</v>
      </c>
      <c r="E13" s="105" t="s">
        <v>408</v>
      </c>
      <c r="F13" s="26">
        <v>46315</v>
      </c>
      <c r="G13" s="19" t="s">
        <v>398</v>
      </c>
      <c r="H13" s="103" t="s">
        <v>409</v>
      </c>
      <c r="I13" s="24" t="s">
        <v>414</v>
      </c>
      <c r="J13" s="62" t="s">
        <v>415</v>
      </c>
    </row>
    <row r="14" ht="31.5">
      <c r="A14" s="3"/>
      <c r="B14" s="24" t="s">
        <v>416</v>
      </c>
      <c r="C14" s="19" t="s">
        <v>417</v>
      </c>
      <c r="D14" s="26">
        <v>46135</v>
      </c>
      <c r="E14" s="105" t="s">
        <v>408</v>
      </c>
      <c r="F14" s="26">
        <v>46315</v>
      </c>
      <c r="G14" s="19" t="s">
        <v>398</v>
      </c>
      <c r="H14" s="103" t="s">
        <v>409</v>
      </c>
      <c r="I14" s="24" t="s">
        <v>418</v>
      </c>
      <c r="J14" s="62" t="s">
        <v>419</v>
      </c>
    </row>
    <row r="15" ht="31.5">
      <c r="A15" s="3"/>
      <c r="B15" s="24" t="s">
        <v>420</v>
      </c>
      <c r="C15" s="19" t="s">
        <v>421</v>
      </c>
      <c r="D15" s="26">
        <v>46226</v>
      </c>
      <c r="E15" s="105" t="s">
        <v>408</v>
      </c>
      <c r="F15" s="26">
        <v>46315</v>
      </c>
      <c r="G15" s="19" t="s">
        <v>398</v>
      </c>
      <c r="H15" s="103" t="s">
        <v>409</v>
      </c>
      <c r="I15" s="24" t="s">
        <v>422</v>
      </c>
      <c r="J15" s="62" t="s">
        <v>423</v>
      </c>
    </row>
    <row r="16" ht="31.5">
      <c r="A16" s="3"/>
      <c r="B16" s="24" t="s">
        <v>424</v>
      </c>
      <c r="C16" s="19" t="s">
        <v>425</v>
      </c>
      <c r="D16" s="26">
        <v>46226</v>
      </c>
      <c r="E16" s="105" t="s">
        <v>426</v>
      </c>
      <c r="F16" s="26">
        <v>46315</v>
      </c>
      <c r="G16" s="19" t="s">
        <v>398</v>
      </c>
      <c r="H16" s="103" t="s">
        <v>427</v>
      </c>
      <c r="I16" s="24" t="s">
        <v>428</v>
      </c>
      <c r="J16" s="62" t="s">
        <v>429</v>
      </c>
    </row>
    <row r="17" ht="31.5">
      <c r="A17" s="3"/>
      <c r="B17" s="24" t="s">
        <v>430</v>
      </c>
      <c r="C17" s="19" t="s">
        <v>431</v>
      </c>
      <c r="D17" s="26">
        <v>45953</v>
      </c>
      <c r="E17" s="105" t="s">
        <v>432</v>
      </c>
      <c r="F17" s="26">
        <v>46315</v>
      </c>
      <c r="G17" s="19" t="s">
        <v>398</v>
      </c>
      <c r="H17" s="103" t="s">
        <v>409</v>
      </c>
      <c r="I17" s="24" t="s">
        <v>433</v>
      </c>
      <c r="J17" s="62" t="s">
        <v>434</v>
      </c>
    </row>
    <row r="18" ht="31.5">
      <c r="A18" s="3"/>
      <c r="B18" s="24" t="s">
        <v>435</v>
      </c>
      <c r="C18" s="19" t="s">
        <v>436</v>
      </c>
      <c r="D18" s="26">
        <v>46226</v>
      </c>
      <c r="E18" s="105" t="s">
        <v>432</v>
      </c>
      <c r="F18" s="26">
        <v>46315</v>
      </c>
      <c r="G18" s="19" t="s">
        <v>398</v>
      </c>
      <c r="H18" s="103" t="s">
        <v>409</v>
      </c>
      <c r="I18" s="24" t="s">
        <v>437</v>
      </c>
      <c r="J18" s="62" t="s">
        <v>438</v>
      </c>
    </row>
    <row r="19" ht="31.5">
      <c r="A19" s="3"/>
      <c r="B19" s="24" t="s">
        <v>439</v>
      </c>
      <c r="C19" s="19" t="s">
        <v>440</v>
      </c>
      <c r="D19" s="26">
        <v>46059</v>
      </c>
      <c r="E19" s="105" t="s">
        <v>432</v>
      </c>
      <c r="F19" s="26">
        <v>46315</v>
      </c>
      <c r="G19" s="19" t="s">
        <v>398</v>
      </c>
      <c r="H19" s="103" t="s">
        <v>409</v>
      </c>
      <c r="I19" s="24" t="s">
        <v>441</v>
      </c>
      <c r="J19" s="62" t="s">
        <v>442</v>
      </c>
    </row>
    <row r="20" ht="31.5">
      <c r="A20" s="3"/>
      <c r="B20" s="24" t="s">
        <v>443</v>
      </c>
      <c r="C20" s="19" t="s">
        <v>444</v>
      </c>
      <c r="D20" s="26">
        <v>46135</v>
      </c>
      <c r="E20" s="105" t="s">
        <v>432</v>
      </c>
      <c r="F20" s="26">
        <v>46315</v>
      </c>
      <c r="G20" s="19" t="s">
        <v>398</v>
      </c>
      <c r="H20" s="103" t="s">
        <v>409</v>
      </c>
      <c r="I20" s="24" t="s">
        <v>445</v>
      </c>
      <c r="J20" s="62" t="s">
        <v>446</v>
      </c>
    </row>
    <row r="21" ht="31.5">
      <c r="A21" s="3"/>
      <c r="B21" s="24" t="s">
        <v>447</v>
      </c>
      <c r="C21" s="19" t="s">
        <v>448</v>
      </c>
      <c r="D21" s="26">
        <v>46281</v>
      </c>
      <c r="E21" s="105" t="s">
        <v>449</v>
      </c>
      <c r="F21" s="26">
        <v>46315</v>
      </c>
      <c r="G21" s="19" t="s">
        <v>398</v>
      </c>
      <c r="H21" s="103" t="s">
        <v>427</v>
      </c>
      <c r="I21" s="24" t="s">
        <v>450</v>
      </c>
      <c r="J21" s="62" t="s">
        <v>451</v>
      </c>
    </row>
    <row r="22" ht="31.5">
      <c r="A22" s="3"/>
      <c r="B22" s="24" t="s">
        <v>452</v>
      </c>
      <c r="C22" s="19" t="s">
        <v>453</v>
      </c>
      <c r="D22" s="26">
        <v>46281</v>
      </c>
      <c r="E22" s="105" t="s">
        <v>454</v>
      </c>
      <c r="F22" s="26">
        <v>46315</v>
      </c>
      <c r="G22" s="19" t="s">
        <v>398</v>
      </c>
      <c r="H22" s="103" t="s">
        <v>455</v>
      </c>
      <c r="I22" s="24" t="s">
        <v>456</v>
      </c>
      <c r="J22" s="62" t="s">
        <v>457</v>
      </c>
    </row>
    <row r="23" ht="31.5">
      <c r="A23" s="3"/>
      <c r="B23" s="24" t="s">
        <v>458</v>
      </c>
      <c r="C23" s="19" t="s">
        <v>459</v>
      </c>
      <c r="D23" s="26">
        <v>45953</v>
      </c>
      <c r="E23" s="105" t="s">
        <v>460</v>
      </c>
      <c r="F23" s="26">
        <v>46315</v>
      </c>
      <c r="G23" s="19" t="s">
        <v>398</v>
      </c>
      <c r="H23" s="103" t="s">
        <v>461</v>
      </c>
      <c r="I23" s="24" t="s">
        <v>462</v>
      </c>
      <c r="J23" s="62" t="s">
        <v>463</v>
      </c>
    </row>
    <row r="24" ht="31.5">
      <c r="A24" s="3"/>
      <c r="B24" s="24" t="s">
        <v>464</v>
      </c>
      <c r="C24" s="19" t="s">
        <v>465</v>
      </c>
      <c r="D24" s="26">
        <v>46049</v>
      </c>
      <c r="E24" s="105" t="s">
        <v>460</v>
      </c>
      <c r="F24" s="26">
        <v>46315</v>
      </c>
      <c r="G24" s="19" t="s">
        <v>398</v>
      </c>
      <c r="H24" s="103" t="s">
        <v>461</v>
      </c>
      <c r="I24" s="24" t="s">
        <v>466</v>
      </c>
      <c r="J24" s="62" t="s">
        <v>467</v>
      </c>
    </row>
    <row r="25" ht="31.5">
      <c r="A25" s="3"/>
      <c r="B25" s="24" t="s">
        <v>468</v>
      </c>
      <c r="C25" s="19" t="s">
        <v>469</v>
      </c>
      <c r="D25" s="26">
        <v>46135</v>
      </c>
      <c r="E25" s="105" t="s">
        <v>460</v>
      </c>
      <c r="F25" s="26">
        <v>46315</v>
      </c>
      <c r="G25" s="19" t="s">
        <v>398</v>
      </c>
      <c r="H25" s="103" t="s">
        <v>461</v>
      </c>
      <c r="I25" s="24" t="s">
        <v>470</v>
      </c>
      <c r="J25" s="62" t="s">
        <v>471</v>
      </c>
    </row>
    <row r="26" ht="31.5">
      <c r="A26" s="3"/>
      <c r="B26" s="24" t="s">
        <v>472</v>
      </c>
      <c r="C26" s="19" t="s">
        <v>473</v>
      </c>
      <c r="D26" s="26">
        <v>46226</v>
      </c>
      <c r="E26" s="105" t="s">
        <v>460</v>
      </c>
      <c r="F26" s="26">
        <v>46315</v>
      </c>
      <c r="G26" s="19" t="s">
        <v>398</v>
      </c>
      <c r="H26" s="103" t="s">
        <v>461</v>
      </c>
      <c r="I26" s="24" t="s">
        <v>474</v>
      </c>
      <c r="J26" s="62" t="s">
        <v>475</v>
      </c>
    </row>
    <row r="27" ht="31.5">
      <c r="A27" s="3"/>
      <c r="B27" s="24" t="s">
        <v>476</v>
      </c>
      <c r="C27" s="19" t="s">
        <v>477</v>
      </c>
      <c r="D27" s="26">
        <v>46307</v>
      </c>
      <c r="E27" s="105" t="s">
        <v>478</v>
      </c>
      <c r="F27" s="26">
        <v>46315</v>
      </c>
      <c r="G27" s="19" t="s">
        <v>398</v>
      </c>
      <c r="H27" s="103" t="s">
        <v>479</v>
      </c>
      <c r="I27" s="24" t="s">
        <v>480</v>
      </c>
      <c r="J27" s="62" t="s">
        <v>481</v>
      </c>
    </row>
    <row r="28" ht="31.5">
      <c r="A28" s="3"/>
      <c r="B28" s="24" t="s">
        <v>482</v>
      </c>
      <c r="C28" s="19" t="s">
        <v>483</v>
      </c>
      <c r="D28" s="70" t="s">
        <v>484</v>
      </c>
      <c r="E28" s="105" t="s">
        <v>460</v>
      </c>
      <c r="F28" s="26">
        <v>46315</v>
      </c>
      <c r="G28" s="19" t="s">
        <v>398</v>
      </c>
      <c r="H28" s="103" t="s">
        <v>485</v>
      </c>
      <c r="I28" s="24" t="s">
        <v>486</v>
      </c>
      <c r="J28" s="62" t="s">
        <v>487</v>
      </c>
    </row>
    <row r="29" ht="31.5">
      <c r="A29" s="3"/>
      <c r="B29" s="24" t="s">
        <v>488</v>
      </c>
      <c r="C29" s="19" t="s">
        <v>489</v>
      </c>
      <c r="D29" s="26">
        <v>46232</v>
      </c>
      <c r="E29" s="105" t="s">
        <v>460</v>
      </c>
      <c r="F29" s="26">
        <v>46315</v>
      </c>
      <c r="G29" s="19" t="s">
        <v>398</v>
      </c>
      <c r="H29" s="103" t="s">
        <v>490</v>
      </c>
      <c r="I29" s="24" t="s">
        <v>491</v>
      </c>
      <c r="J29" s="62" t="s">
        <v>492</v>
      </c>
    </row>
    <row r="30" ht="31.5">
      <c r="A30" s="3"/>
      <c r="B30" s="24" t="s">
        <v>493</v>
      </c>
      <c r="C30" s="19" t="s">
        <v>494</v>
      </c>
      <c r="D30" s="26">
        <v>46311</v>
      </c>
      <c r="E30" s="105" t="s">
        <v>495</v>
      </c>
      <c r="F30" s="26">
        <v>46315</v>
      </c>
      <c r="G30" s="19" t="s">
        <v>398</v>
      </c>
      <c r="H30" s="103" t="s">
        <v>479</v>
      </c>
      <c r="I30" s="24" t="s">
        <v>496</v>
      </c>
      <c r="J30" s="62" t="s">
        <v>497</v>
      </c>
    </row>
    <row r="31" ht="31.5">
      <c r="A31" s="3"/>
      <c r="B31" s="24" t="s">
        <v>498</v>
      </c>
      <c r="C31" s="19" t="s">
        <v>499</v>
      </c>
      <c r="D31" s="26">
        <v>46243</v>
      </c>
      <c r="E31" s="105" t="s">
        <v>500</v>
      </c>
      <c r="F31" s="26">
        <v>46315</v>
      </c>
      <c r="G31" s="19" t="s">
        <v>398</v>
      </c>
      <c r="H31" s="103" t="s">
        <v>479</v>
      </c>
      <c r="I31" s="24" t="s">
        <v>501</v>
      </c>
      <c r="J31" s="62" t="s">
        <v>502</v>
      </c>
    </row>
    <row r="32" ht="31.5">
      <c r="A32" s="3"/>
      <c r="B32" s="24" t="s">
        <v>503</v>
      </c>
      <c r="C32" s="19" t="s">
        <v>504</v>
      </c>
      <c r="D32" s="26">
        <v>46302</v>
      </c>
      <c r="E32" s="105" t="s">
        <v>460</v>
      </c>
      <c r="F32" s="26">
        <v>46315</v>
      </c>
      <c r="G32" s="19" t="s">
        <v>398</v>
      </c>
      <c r="H32" s="103" t="s">
        <v>479</v>
      </c>
      <c r="I32" s="24" t="s">
        <v>505</v>
      </c>
      <c r="J32" s="62" t="s">
        <v>506</v>
      </c>
    </row>
    <row r="33" ht="31.5">
      <c r="A33" s="3"/>
      <c r="B33" s="24" t="s">
        <v>507</v>
      </c>
      <c r="C33" s="19" t="s">
        <v>508</v>
      </c>
      <c r="D33" s="26">
        <v>46310</v>
      </c>
      <c r="E33" s="105" t="s">
        <v>509</v>
      </c>
      <c r="F33" s="26">
        <v>46315</v>
      </c>
      <c r="G33" s="19" t="s">
        <v>398</v>
      </c>
      <c r="H33" s="103" t="s">
        <v>490</v>
      </c>
      <c r="I33" s="24" t="s">
        <v>510</v>
      </c>
      <c r="J33" s="62" t="s">
        <v>511</v>
      </c>
    </row>
    <row r="34" ht="31.5">
      <c r="A34" s="3"/>
      <c r="B34" s="24" t="s">
        <v>512</v>
      </c>
      <c r="C34" s="19" t="s">
        <v>513</v>
      </c>
      <c r="D34" s="26">
        <v>46300</v>
      </c>
      <c r="E34" s="105" t="s">
        <v>514</v>
      </c>
      <c r="F34" s="26">
        <v>46315</v>
      </c>
      <c r="G34" s="19" t="s">
        <v>398</v>
      </c>
      <c r="H34" s="103" t="s">
        <v>515</v>
      </c>
      <c r="I34" s="24" t="s">
        <v>516</v>
      </c>
      <c r="J34" s="62" t="s">
        <v>517</v>
      </c>
    </row>
    <row r="35" ht="31.5">
      <c r="A35" s="3"/>
      <c r="B35" s="24" t="s">
        <v>518</v>
      </c>
      <c r="C35" s="19" t="s">
        <v>519</v>
      </c>
      <c r="D35" s="26">
        <v>46309</v>
      </c>
      <c r="E35" s="105" t="s">
        <v>520</v>
      </c>
      <c r="F35" s="26">
        <v>46315</v>
      </c>
      <c r="G35" s="19" t="s">
        <v>398</v>
      </c>
      <c r="H35" s="103" t="s">
        <v>521</v>
      </c>
      <c r="I35" s="24" t="s">
        <v>522</v>
      </c>
      <c r="J35" s="62" t="s">
        <v>523</v>
      </c>
    </row>
    <row r="36" ht="31.5">
      <c r="A36" s="3"/>
      <c r="B36" s="24" t="s">
        <v>524</v>
      </c>
      <c r="C36" s="19" t="s">
        <v>525</v>
      </c>
      <c r="D36" s="26">
        <v>46251</v>
      </c>
      <c r="E36" s="105" t="s">
        <v>526</v>
      </c>
      <c r="F36" s="26">
        <v>46315</v>
      </c>
      <c r="G36" s="19" t="s">
        <v>398</v>
      </c>
      <c r="H36" s="103" t="s">
        <v>515</v>
      </c>
      <c r="I36" s="24" t="s">
        <v>527</v>
      </c>
      <c r="J36" s="62" t="s">
        <v>528</v>
      </c>
    </row>
    <row r="37" ht="31.5">
      <c r="A37" s="3"/>
      <c r="B37" s="24" t="s">
        <v>529</v>
      </c>
      <c r="C37" s="19" t="s">
        <v>530</v>
      </c>
      <c r="D37" s="26">
        <v>46295</v>
      </c>
      <c r="E37" s="105" t="s">
        <v>531</v>
      </c>
      <c r="F37" s="26">
        <v>46315</v>
      </c>
      <c r="G37" s="19" t="s">
        <v>398</v>
      </c>
      <c r="H37" s="103" t="s">
        <v>479</v>
      </c>
      <c r="I37" s="24" t="s">
        <v>532</v>
      </c>
      <c r="J37" s="62" t="s">
        <v>533</v>
      </c>
    </row>
    <row r="38">
      <c r="A38" s="3"/>
      <c r="B38" s="3"/>
      <c r="C38" s="12"/>
      <c r="D38" s="12"/>
      <c r="E38" s="12"/>
      <c r="F38" s="12"/>
      <c r="G38" s="12"/>
      <c r="H38" s="12"/>
      <c r="I38" s="3"/>
      <c r="J38" s="3"/>
    </row>
    <row r="39">
      <c r="A39" s="3"/>
      <c r="B39" s="15" t="s">
        <v>534</v>
      </c>
      <c r="C39" s="12"/>
      <c r="D39" s="12"/>
      <c r="E39" s="12"/>
      <c r="F39" s="12"/>
      <c r="G39" s="12"/>
      <c r="H39" s="12"/>
      <c r="I39" s="3"/>
      <c r="J39" s="3"/>
    </row>
    <row r="40">
      <c r="A40" s="3"/>
      <c r="B40" s="3" t="s">
        <v>535</v>
      </c>
      <c r="C40" s="12"/>
      <c r="D40" s="12"/>
      <c r="E40" s="12"/>
      <c r="F40" s="12"/>
      <c r="G40" s="12"/>
      <c r="H40" s="12"/>
      <c r="I40" s="3"/>
      <c r="J40" s="3"/>
    </row>
    <row r="41">
      <c r="A41" s="3"/>
      <c r="B41" s="3" t="s">
        <v>536</v>
      </c>
      <c r="C41" s="12"/>
      <c r="D41" s="12"/>
      <c r="E41" s="12"/>
      <c r="F41" s="12"/>
      <c r="G41" s="12"/>
      <c r="H41" s="12"/>
      <c r="I41" s="3"/>
      <c r="J41" s="3"/>
    </row>
    <row r="42">
      <c r="A42" s="3"/>
      <c r="B42" s="3" t="s">
        <v>537</v>
      </c>
      <c r="C42" s="12"/>
      <c r="D42" s="12"/>
      <c r="E42" s="12"/>
      <c r="F42" s="12"/>
      <c r="G42" s="12"/>
      <c r="H42" s="12"/>
      <c r="I42" s="3"/>
      <c r="J42" s="3"/>
    </row>
    <row r="43">
      <c r="A43" s="3"/>
      <c r="B43" s="3" t="s">
        <v>538</v>
      </c>
      <c r="C43" s="12"/>
      <c r="D43" s="12"/>
      <c r="E43" s="12"/>
      <c r="F43" s="12"/>
      <c r="G43" s="12"/>
      <c r="H43" s="12"/>
      <c r="I43" s="3"/>
      <c r="J43" s="3"/>
    </row>
    <row r="44">
      <c r="A44" s="3"/>
      <c r="B44" s="3" t="s">
        <v>539</v>
      </c>
      <c r="C44" s="12"/>
      <c r="D44" s="12"/>
      <c r="E44" s="12"/>
      <c r="F44" s="12"/>
      <c r="G44" s="12"/>
      <c r="H44" s="12"/>
      <c r="I44" s="3"/>
      <c r="J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K24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1" width="12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46" t="s">
        <v>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15" t="s">
        <v>540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1" t="s">
        <v>2</v>
      </c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/>
      <c r="J5" s="10"/>
      <c r="K5" s="10"/>
    </row>
    <row r="6">
      <c r="A6" s="3"/>
      <c r="B6" s="18" t="s">
        <v>10</v>
      </c>
      <c r="C6" s="1">
        <v>45930</v>
      </c>
      <c r="D6" s="1">
        <v>46022</v>
      </c>
      <c r="E6" s="1">
        <v>46022</v>
      </c>
      <c r="F6" s="1">
        <v>46112</v>
      </c>
      <c r="G6" s="1">
        <v>46203</v>
      </c>
      <c r="H6" s="1">
        <v>46295</v>
      </c>
      <c r="I6" s="18"/>
      <c r="J6" s="18"/>
      <c r="K6" s="18"/>
    </row>
    <row r="7">
      <c r="A7" s="3"/>
      <c r="B7" s="7" t="s">
        <v>11</v>
      </c>
      <c r="C7" s="39">
        <f>C6-EOMONTH(C6,-3)</f>
        <v>92</v>
      </c>
      <c r="D7" s="39">
        <f>D6-EOMONTH(D6,-3)</f>
        <v>92</v>
      </c>
      <c r="E7" s="39">
        <f>E6-EOMONTH(E6,-12)</f>
        <v>365</v>
      </c>
      <c r="F7" s="39">
        <f>F6-EOMONTH(F6,-3)</f>
        <v>90</v>
      </c>
      <c r="G7" s="39">
        <f>G6-EOMONTH(G6,-3)</f>
        <v>91</v>
      </c>
      <c r="H7" s="39">
        <f>H6-EOMONTH(H6,-3)</f>
        <v>92</v>
      </c>
      <c r="I7" s="7"/>
      <c r="J7" s="7"/>
      <c r="K7" s="7"/>
    </row>
    <row r="8">
      <c r="A8" s="3"/>
      <c r="B8" s="102" t="s">
        <v>344</v>
      </c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50" t="s">
        <v>541</v>
      </c>
      <c r="C9" s="12"/>
      <c r="D9" s="12"/>
      <c r="E9" s="12"/>
      <c r="F9" s="12"/>
      <c r="G9" s="12"/>
      <c r="H9" s="12"/>
      <c r="I9" s="3"/>
      <c r="J9" s="3"/>
      <c r="K9" s="3"/>
    </row>
    <row r="10">
      <c r="A10" s="3"/>
      <c r="B10" s="44" t="s">
        <v>542</v>
      </c>
      <c r="C10" s="49" t="s">
        <v>543</v>
      </c>
      <c r="D10" s="20"/>
      <c r="E10" s="20"/>
      <c r="F10" s="20"/>
      <c r="G10" s="20"/>
      <c r="H10" s="20"/>
      <c r="I10" s="3"/>
      <c r="J10" s="3"/>
      <c r="K10" s="3"/>
    </row>
    <row r="11">
      <c r="A11" s="3"/>
      <c r="B11" s="3" t="s">
        <v>544</v>
      </c>
      <c r="C11" s="85" t="s">
        <v>397</v>
      </c>
      <c r="D11" s="12"/>
      <c r="E11" s="12"/>
      <c r="F11" s="12"/>
      <c r="G11" s="12"/>
      <c r="H11" s="12"/>
      <c r="I11" s="3"/>
      <c r="J11" s="3"/>
      <c r="K11" s="3"/>
    </row>
    <row r="12">
      <c r="A12" s="3"/>
      <c r="B12" s="3" t="s">
        <v>545</v>
      </c>
      <c r="C12" s="85" t="s">
        <v>41</v>
      </c>
      <c r="D12" s="12"/>
      <c r="E12" s="12"/>
      <c r="F12" s="12"/>
      <c r="G12" s="12"/>
      <c r="H12" s="12"/>
      <c r="I12" s="3"/>
      <c r="J12" s="3"/>
      <c r="K12" s="3"/>
    </row>
    <row r="13">
      <c r="A13" s="3"/>
      <c r="B13" s="3" t="s">
        <v>546</v>
      </c>
      <c r="C13" s="85" t="s">
        <v>39</v>
      </c>
      <c r="D13" s="12"/>
      <c r="E13" s="12"/>
      <c r="F13" s="12"/>
      <c r="G13" s="12"/>
      <c r="H13" s="12"/>
      <c r="I13" s="3"/>
      <c r="J13" s="3"/>
      <c r="K13" s="3"/>
    </row>
    <row r="14">
      <c r="A14" s="3"/>
      <c r="B14" s="3" t="s">
        <v>547</v>
      </c>
      <c r="C14" s="85" t="s">
        <v>548</v>
      </c>
      <c r="D14" s="12"/>
      <c r="E14" s="12"/>
      <c r="F14" s="12"/>
      <c r="G14" s="12"/>
      <c r="H14" s="12"/>
      <c r="I14" s="3"/>
      <c r="J14" s="3"/>
      <c r="K14" s="3"/>
    </row>
    <row r="15">
      <c r="A15" s="3"/>
      <c r="B15" s="3" t="s">
        <v>549</v>
      </c>
      <c r="C15" s="95">
        <v>46295</v>
      </c>
      <c r="D15" s="12"/>
      <c r="E15" s="12"/>
      <c r="F15" s="12"/>
      <c r="G15" s="12"/>
      <c r="H15" s="12"/>
      <c r="I15" s="3"/>
      <c r="J15" s="3"/>
      <c r="K15" s="3"/>
    </row>
    <row r="16">
      <c r="A16" s="3"/>
      <c r="B16" s="3" t="s">
        <v>550</v>
      </c>
      <c r="C16" s="95">
        <v>46313</v>
      </c>
      <c r="D16" s="12"/>
      <c r="E16" s="12"/>
      <c r="F16" s="12"/>
      <c r="G16" s="12"/>
      <c r="H16" s="12"/>
      <c r="I16" s="3"/>
      <c r="J16" s="3"/>
      <c r="K16" s="3"/>
    </row>
    <row r="17">
      <c r="A17" s="3"/>
      <c r="B17" s="3" t="s">
        <v>551</v>
      </c>
      <c r="C17" s="87">
        <v>21</v>
      </c>
      <c r="D17" s="12"/>
      <c r="E17" s="12"/>
      <c r="F17" s="12"/>
      <c r="G17" s="12"/>
      <c r="H17" s="12"/>
      <c r="I17" s="3"/>
      <c r="J17" s="3"/>
      <c r="K17" s="3"/>
    </row>
    <row r="18">
      <c r="A18" s="3"/>
      <c r="B18" s="3" t="s">
        <v>552</v>
      </c>
      <c r="C18" s="75">
        <v>3.47</v>
      </c>
      <c r="D18" s="12"/>
      <c r="E18" s="12"/>
      <c r="F18" s="12"/>
      <c r="G18" s="12"/>
      <c r="H18" s="12"/>
      <c r="I18" s="3"/>
      <c r="J18" s="3"/>
      <c r="K18" s="3"/>
    </row>
    <row r="19">
      <c r="A19" s="3"/>
      <c r="B19" s="3" t="s">
        <v>553</v>
      </c>
      <c r="C19" s="85" t="s">
        <v>554</v>
      </c>
      <c r="D19" s="12"/>
      <c r="E19" s="12"/>
      <c r="F19" s="12"/>
      <c r="G19" s="12"/>
      <c r="H19" s="12"/>
      <c r="I19" s="3"/>
      <c r="J19" s="3"/>
      <c r="K19" s="3"/>
    </row>
    <row r="20">
      <c r="A20" s="3"/>
      <c r="B20" s="3" t="s">
        <v>555</v>
      </c>
      <c r="C20" s="14">
        <v>7117.07</v>
      </c>
      <c r="D20" s="12"/>
      <c r="E20" s="12"/>
      <c r="F20" s="12"/>
      <c r="G20" s="12"/>
      <c r="H20" s="12"/>
      <c r="I20" s="3"/>
      <c r="J20" s="3"/>
      <c r="K20" s="3"/>
    </row>
    <row r="21">
      <c r="A21" s="3"/>
      <c r="B21" s="3" t="s">
        <v>556</v>
      </c>
      <c r="C21" s="85" t="s">
        <v>557</v>
      </c>
      <c r="D21" s="12"/>
      <c r="E21" s="12"/>
      <c r="F21" s="12"/>
      <c r="G21" s="12"/>
      <c r="H21" s="12"/>
      <c r="I21" s="3"/>
      <c r="J21" s="3"/>
      <c r="K21" s="3"/>
    </row>
    <row r="22">
      <c r="A22" s="3"/>
      <c r="B22" s="3" t="s">
        <v>558</v>
      </c>
      <c r="C22" s="85" t="s">
        <v>559</v>
      </c>
      <c r="D22" s="12"/>
      <c r="E22" s="12"/>
      <c r="F22" s="12"/>
      <c r="G22" s="12"/>
      <c r="H22" s="12"/>
      <c r="I22" s="3"/>
      <c r="J22" s="3"/>
      <c r="K22" s="3"/>
    </row>
    <row r="23">
      <c r="A23" s="3"/>
      <c r="B23" s="3" t="s">
        <v>560</v>
      </c>
      <c r="C23" s="85" t="s">
        <v>561</v>
      </c>
      <c r="D23" s="12"/>
      <c r="E23" s="12"/>
      <c r="F23" s="12"/>
      <c r="G23" s="12"/>
      <c r="H23" s="12"/>
      <c r="I23" s="3"/>
      <c r="J23" s="3"/>
      <c r="K23" s="3"/>
    </row>
    <row r="24">
      <c r="A24" s="3"/>
      <c r="B24" s="3" t="s">
        <v>562</v>
      </c>
      <c r="C24" s="85" t="s">
        <v>557</v>
      </c>
      <c r="D24" s="12"/>
      <c r="E24" s="12"/>
      <c r="F24" s="12"/>
      <c r="G24" s="12"/>
      <c r="H24" s="12"/>
      <c r="I24" s="3"/>
      <c r="J24" s="3"/>
      <c r="K24" s="3"/>
    </row>
    <row r="25">
      <c r="A25" s="3"/>
      <c r="B25" s="3" t="s">
        <v>563</v>
      </c>
      <c r="C25" s="85" t="s">
        <v>557</v>
      </c>
      <c r="D25" s="12"/>
      <c r="E25" s="12"/>
      <c r="F25" s="12"/>
      <c r="G25" s="12"/>
      <c r="H25" s="12"/>
      <c r="I25" s="3"/>
      <c r="J25" s="3"/>
      <c r="K25" s="3"/>
    </row>
    <row r="26">
      <c r="A26" s="3"/>
      <c r="B26" s="3" t="s">
        <v>564</v>
      </c>
      <c r="C26" s="85" t="s">
        <v>565</v>
      </c>
      <c r="D26" s="12"/>
      <c r="E26" s="12"/>
      <c r="F26" s="12"/>
      <c r="G26" s="12"/>
      <c r="H26" s="12"/>
      <c r="I26" s="3"/>
      <c r="J26" s="3"/>
      <c r="K26" s="3"/>
    </row>
    <row r="27">
      <c r="A27" s="3"/>
      <c r="B27" s="3" t="s">
        <v>566</v>
      </c>
      <c r="C27" s="85" t="s">
        <v>557</v>
      </c>
      <c r="D27" s="12"/>
      <c r="E27" s="12"/>
      <c r="F27" s="12"/>
      <c r="G27" s="12"/>
      <c r="H27" s="12"/>
      <c r="I27" s="3"/>
      <c r="J27" s="3"/>
      <c r="K27" s="3"/>
    </row>
    <row r="28">
      <c r="A28" s="3"/>
      <c r="B28" s="3" t="s">
        <v>567</v>
      </c>
      <c r="C28" s="85" t="s">
        <v>568</v>
      </c>
      <c r="D28" s="12"/>
      <c r="E28" s="12"/>
      <c r="F28" s="12"/>
      <c r="G28" s="12"/>
      <c r="H28" s="12"/>
      <c r="I28" s="3"/>
      <c r="J28" s="3"/>
      <c r="K28" s="3"/>
    </row>
    <row r="29">
      <c r="A29" s="3"/>
      <c r="B29" s="31" t="s">
        <v>569</v>
      </c>
      <c r="C29" s="12"/>
      <c r="D29" s="12"/>
      <c r="E29" s="12"/>
      <c r="F29" s="12"/>
      <c r="G29" s="12"/>
      <c r="H29" s="12"/>
      <c r="I29" s="3"/>
      <c r="J29" s="3"/>
      <c r="K29" s="3"/>
    </row>
    <row r="30">
      <c r="A30" s="3"/>
      <c r="B30" s="3" t="s">
        <v>545</v>
      </c>
      <c r="C30" s="85" t="s">
        <v>41</v>
      </c>
      <c r="D30" s="12"/>
      <c r="E30" s="12"/>
      <c r="F30" s="12"/>
      <c r="G30" s="12"/>
      <c r="H30" s="12"/>
      <c r="I30" s="3"/>
      <c r="J30" s="3"/>
      <c r="K30" s="3"/>
    </row>
    <row r="31">
      <c r="A31" s="3"/>
      <c r="B31" s="3" t="s">
        <v>570</v>
      </c>
      <c r="C31" s="85" t="s">
        <v>39</v>
      </c>
      <c r="D31" s="12"/>
      <c r="E31" s="12"/>
      <c r="F31" s="12"/>
      <c r="G31" s="12"/>
      <c r="H31" s="12"/>
      <c r="I31" s="3"/>
      <c r="J31" s="3"/>
      <c r="K31" s="3"/>
    </row>
    <row r="32">
      <c r="A32" s="3"/>
      <c r="B32" s="3" t="s">
        <v>571</v>
      </c>
      <c r="C32" s="85" t="s">
        <v>572</v>
      </c>
      <c r="D32" s="12"/>
      <c r="E32" s="12"/>
      <c r="F32" s="12"/>
      <c r="G32" s="12"/>
      <c r="H32" s="12"/>
      <c r="I32" s="3"/>
      <c r="J32" s="3"/>
      <c r="K32" s="3"/>
    </row>
    <row r="33">
      <c r="A33" s="3"/>
      <c r="B33" s="3" t="s">
        <v>573</v>
      </c>
      <c r="C33" s="92">
        <v>310078</v>
      </c>
      <c r="D33" s="12"/>
      <c r="E33" s="12"/>
      <c r="F33" s="12"/>
      <c r="G33" s="12"/>
      <c r="H33" s="12"/>
      <c r="I33" s="3"/>
      <c r="J33" s="3"/>
      <c r="K33" s="3"/>
    </row>
    <row r="34">
      <c r="A34" s="3"/>
      <c r="B34" s="3" t="s">
        <v>574</v>
      </c>
      <c r="C34" s="85" t="s">
        <v>557</v>
      </c>
      <c r="D34" s="12"/>
      <c r="E34" s="12"/>
      <c r="F34" s="12"/>
      <c r="G34" s="12"/>
      <c r="H34" s="12"/>
      <c r="I34" s="3"/>
      <c r="J34" s="3"/>
      <c r="K34" s="3"/>
    </row>
    <row r="35">
      <c r="A35" s="3"/>
      <c r="B35" s="3" t="s">
        <v>575</v>
      </c>
      <c r="C35" s="85" t="s">
        <v>576</v>
      </c>
      <c r="D35" s="12"/>
      <c r="E35" s="12"/>
      <c r="F35" s="12"/>
      <c r="G35" s="12"/>
      <c r="H35" s="12"/>
      <c r="I35" s="3"/>
      <c r="J35" s="3"/>
      <c r="K35" s="3"/>
    </row>
    <row r="36">
      <c r="A36" s="3"/>
      <c r="B36" s="3" t="s">
        <v>577</v>
      </c>
      <c r="C36" s="85" t="s">
        <v>548</v>
      </c>
      <c r="D36" s="12"/>
      <c r="E36" s="12"/>
      <c r="F36" s="12"/>
      <c r="G36" s="12"/>
      <c r="H36" s="12"/>
      <c r="I36" s="3"/>
      <c r="J36" s="3"/>
      <c r="K36" s="3"/>
    </row>
    <row r="37">
      <c r="A37" s="3"/>
      <c r="B37" s="3" t="s">
        <v>578</v>
      </c>
      <c r="C37" s="95">
        <v>46295</v>
      </c>
      <c r="D37" s="12"/>
      <c r="E37" s="12"/>
      <c r="F37" s="12"/>
      <c r="G37" s="12"/>
      <c r="H37" s="12"/>
      <c r="I37" s="3"/>
      <c r="J37" s="3"/>
      <c r="K37" s="3"/>
    </row>
    <row r="38">
      <c r="A38" s="3"/>
      <c r="B38" s="3" t="s">
        <v>579</v>
      </c>
      <c r="C38" s="95">
        <v>46317</v>
      </c>
      <c r="D38" s="12"/>
      <c r="E38" s="12"/>
      <c r="F38" s="12"/>
      <c r="G38" s="12"/>
      <c r="H38" s="12"/>
      <c r="I38" s="3"/>
      <c r="J38" s="3"/>
      <c r="K38" s="3"/>
    </row>
    <row r="39">
      <c r="A39" s="3"/>
      <c r="B39" s="3" t="s">
        <v>553</v>
      </c>
      <c r="C39" s="85" t="s">
        <v>580</v>
      </c>
      <c r="D39" s="12"/>
      <c r="E39" s="12"/>
      <c r="F39" s="12"/>
      <c r="G39" s="12"/>
      <c r="H39" s="12"/>
      <c r="I39" s="3"/>
      <c r="J39" s="3"/>
      <c r="K39" s="3"/>
    </row>
    <row r="40">
      <c r="A40" s="3"/>
      <c r="B40" s="3" t="s">
        <v>581</v>
      </c>
      <c r="C40" s="87">
        <v>21</v>
      </c>
      <c r="D40" s="12"/>
      <c r="E40" s="12"/>
      <c r="F40" s="12"/>
      <c r="G40" s="12"/>
      <c r="H40" s="12"/>
      <c r="I40" s="3"/>
      <c r="J40" s="3"/>
      <c r="K40" s="3"/>
    </row>
    <row r="41">
      <c r="A41" s="3"/>
      <c r="B41" s="3" t="s">
        <v>582</v>
      </c>
      <c r="C41" s="87">
        <v>21</v>
      </c>
      <c r="D41" s="12"/>
      <c r="E41" s="12"/>
      <c r="F41" s="12"/>
      <c r="G41" s="12"/>
      <c r="H41" s="12"/>
      <c r="I41" s="3"/>
      <c r="J41" s="3"/>
      <c r="K41" s="3"/>
    </row>
    <row r="42">
      <c r="A42" s="3"/>
      <c r="B42" s="3" t="s">
        <v>583</v>
      </c>
      <c r="C42" s="97"/>
      <c r="D42" s="12"/>
      <c r="E42" s="12"/>
      <c r="F42" s="12"/>
      <c r="G42" s="12"/>
      <c r="H42" s="12"/>
      <c r="I42" s="3"/>
      <c r="J42" s="3"/>
      <c r="K42" s="3"/>
    </row>
    <row r="43">
      <c r="A43" s="3"/>
      <c r="B43" s="3" t="s">
        <v>584</v>
      </c>
      <c r="C43" s="75">
        <v>3.47</v>
      </c>
      <c r="D43" s="12"/>
      <c r="E43" s="12"/>
      <c r="F43" s="12"/>
      <c r="G43" s="12"/>
      <c r="H43" s="12"/>
      <c r="I43" s="3"/>
      <c r="J43" s="3"/>
      <c r="K43" s="3"/>
    </row>
    <row r="44">
      <c r="A44" s="3"/>
      <c r="B44" s="3" t="s">
        <v>585</v>
      </c>
      <c r="C44" s="75">
        <v>3.48</v>
      </c>
      <c r="D44" s="12"/>
      <c r="E44" s="12"/>
      <c r="F44" s="12"/>
      <c r="G44" s="12"/>
      <c r="H44" s="12"/>
      <c r="I44" s="3"/>
      <c r="J44" s="3"/>
      <c r="K44" s="3"/>
    </row>
    <row r="45">
      <c r="A45" s="3"/>
      <c r="B45" s="3" t="s">
        <v>586</v>
      </c>
      <c r="C45" s="75">
        <v>3.59</v>
      </c>
      <c r="D45" s="12"/>
      <c r="E45" s="12"/>
      <c r="F45" s="12"/>
      <c r="G45" s="12"/>
      <c r="H45" s="12"/>
      <c r="I45" s="3"/>
      <c r="J45" s="3"/>
      <c r="K45" s="3"/>
    </row>
    <row r="46">
      <c r="A46" s="3"/>
      <c r="B46" s="3" t="s">
        <v>587</v>
      </c>
      <c r="C46" s="75">
        <v>3.29</v>
      </c>
      <c r="D46" s="12"/>
      <c r="E46" s="12"/>
      <c r="F46" s="12"/>
      <c r="G46" s="12"/>
      <c r="H46" s="12"/>
      <c r="I46" s="3"/>
      <c r="J46" s="3"/>
      <c r="K46" s="3"/>
    </row>
    <row r="47">
      <c r="A47" s="3"/>
      <c r="B47" s="3" t="s">
        <v>588</v>
      </c>
      <c r="C47" s="75">
        <v>0.06</v>
      </c>
      <c r="D47" s="12"/>
      <c r="E47" s="12"/>
      <c r="F47" s="12"/>
      <c r="G47" s="12"/>
      <c r="H47" s="12"/>
      <c r="I47" s="3"/>
      <c r="J47" s="3"/>
      <c r="K47" s="3"/>
    </row>
    <row r="48">
      <c r="A48" s="3"/>
      <c r="B48" s="3" t="s">
        <v>589</v>
      </c>
      <c r="C48" s="87">
        <v>21</v>
      </c>
      <c r="D48" s="12"/>
      <c r="E48" s="12"/>
      <c r="F48" s="12"/>
      <c r="G48" s="12"/>
      <c r="H48" s="12"/>
      <c r="I48" s="3"/>
      <c r="J48" s="3"/>
      <c r="K48" s="3"/>
    </row>
    <row r="49">
      <c r="A49" s="3"/>
      <c r="B49" s="3" t="s">
        <v>590</v>
      </c>
      <c r="C49" s="40"/>
      <c r="D49" s="12"/>
      <c r="E49" s="12"/>
      <c r="F49" s="12"/>
      <c r="G49" s="12"/>
      <c r="H49" s="12"/>
      <c r="I49" s="3"/>
      <c r="J49" s="3"/>
      <c r="K49" s="3"/>
    </row>
    <row r="50">
      <c r="A50" s="3"/>
      <c r="B50" s="3" t="s">
        <v>591</v>
      </c>
      <c r="C50" s="40"/>
      <c r="D50" s="12"/>
      <c r="E50" s="12"/>
      <c r="F50" s="12"/>
      <c r="G50" s="12"/>
      <c r="H50" s="12"/>
      <c r="I50" s="3"/>
      <c r="J50" s="3"/>
      <c r="K50" s="3"/>
    </row>
    <row r="51">
      <c r="A51" s="3"/>
      <c r="B51" s="3" t="s">
        <v>592</v>
      </c>
      <c r="C51" s="40"/>
      <c r="D51" s="12"/>
      <c r="E51" s="12"/>
      <c r="F51" s="12"/>
      <c r="G51" s="12"/>
      <c r="H51" s="12"/>
      <c r="I51" s="3"/>
      <c r="J51" s="3"/>
      <c r="K51" s="3"/>
    </row>
    <row r="52">
      <c r="A52" s="3"/>
      <c r="B52" s="3" t="s">
        <v>593</v>
      </c>
      <c r="C52" s="75">
        <v>3.43</v>
      </c>
      <c r="D52" s="12"/>
      <c r="E52" s="12"/>
      <c r="F52" s="12"/>
      <c r="G52" s="12"/>
      <c r="H52" s="12"/>
      <c r="I52" s="3"/>
      <c r="J52" s="3"/>
      <c r="K52" s="3"/>
    </row>
    <row r="53">
      <c r="A53" s="3"/>
      <c r="B53" s="3" t="s">
        <v>594</v>
      </c>
      <c r="C53" s="75">
        <v>3.45</v>
      </c>
      <c r="D53" s="12"/>
      <c r="E53" s="12"/>
      <c r="F53" s="12"/>
      <c r="G53" s="12"/>
      <c r="H53" s="12"/>
      <c r="I53" s="3"/>
      <c r="J53" s="3"/>
      <c r="K53" s="3"/>
    </row>
    <row r="54">
      <c r="A54" s="3"/>
      <c r="B54" s="3" t="s">
        <v>595</v>
      </c>
      <c r="C54" s="75">
        <v>3.53</v>
      </c>
      <c r="D54" s="12"/>
      <c r="E54" s="12"/>
      <c r="F54" s="12"/>
      <c r="G54" s="12"/>
      <c r="H54" s="12"/>
      <c r="I54" s="3"/>
      <c r="J54" s="3"/>
      <c r="K54" s="3"/>
    </row>
    <row r="55">
      <c r="A55" s="3"/>
      <c r="B55" s="3" t="s">
        <v>596</v>
      </c>
      <c r="C55" s="75">
        <v>3.29</v>
      </c>
      <c r="D55" s="12"/>
      <c r="E55" s="12"/>
      <c r="F55" s="12"/>
      <c r="G55" s="12"/>
      <c r="H55" s="12"/>
      <c r="I55" s="3"/>
      <c r="J55" s="3"/>
      <c r="K55" s="3"/>
    </row>
    <row r="56">
      <c r="A56" s="3"/>
      <c r="B56" s="3" t="s">
        <v>597</v>
      </c>
      <c r="C56" s="75">
        <v>0.06</v>
      </c>
      <c r="D56" s="12"/>
      <c r="E56" s="12"/>
      <c r="F56" s="12"/>
      <c r="G56" s="12"/>
      <c r="H56" s="12"/>
      <c r="I56" s="3"/>
      <c r="J56" s="3"/>
      <c r="K56" s="3"/>
    </row>
    <row r="57">
      <c r="A57" s="3"/>
      <c r="B57" s="3" t="s">
        <v>598</v>
      </c>
      <c r="C57" s="87">
        <v>13</v>
      </c>
      <c r="D57" s="12"/>
      <c r="E57" s="12"/>
      <c r="F57" s="12"/>
      <c r="G57" s="12"/>
      <c r="H57" s="12"/>
      <c r="I57" s="3"/>
      <c r="J57" s="3"/>
      <c r="K57" s="3"/>
    </row>
    <row r="58">
      <c r="A58" s="3"/>
      <c r="B58" s="3" t="s">
        <v>599</v>
      </c>
      <c r="C58" s="40"/>
      <c r="D58" s="12"/>
      <c r="E58" s="12"/>
      <c r="F58" s="12"/>
      <c r="G58" s="12"/>
      <c r="H58" s="12"/>
      <c r="I58" s="3"/>
      <c r="J58" s="3"/>
      <c r="K58" s="3"/>
    </row>
    <row r="59">
      <c r="A59" s="3"/>
      <c r="B59" s="3" t="s">
        <v>600</v>
      </c>
      <c r="C59" s="40"/>
      <c r="D59" s="12"/>
      <c r="E59" s="12"/>
      <c r="F59" s="12"/>
      <c r="G59" s="12"/>
      <c r="H59" s="12"/>
      <c r="I59" s="3"/>
      <c r="J59" s="3"/>
      <c r="K59" s="3"/>
    </row>
    <row r="60">
      <c r="A60" s="3"/>
      <c r="B60" s="3" t="s">
        <v>601</v>
      </c>
      <c r="C60" s="40"/>
      <c r="D60" s="12"/>
      <c r="E60" s="12"/>
      <c r="F60" s="12"/>
      <c r="G60" s="12"/>
      <c r="H60" s="12"/>
      <c r="I60" s="3"/>
      <c r="J60" s="3"/>
      <c r="K60" s="3"/>
    </row>
    <row r="61">
      <c r="A61" s="3"/>
      <c r="B61" s="3" t="s">
        <v>602</v>
      </c>
      <c r="C61" s="14">
        <v>7117.07</v>
      </c>
      <c r="D61" s="12"/>
      <c r="E61" s="12"/>
      <c r="F61" s="12"/>
      <c r="G61" s="12"/>
      <c r="H61" s="12"/>
      <c r="I61" s="3"/>
      <c r="J61" s="3"/>
      <c r="K61" s="3"/>
    </row>
    <row r="62">
      <c r="A62" s="3"/>
      <c r="B62" s="3" t="s">
        <v>603</v>
      </c>
      <c r="C62" s="14">
        <v>7160</v>
      </c>
      <c r="D62" s="12"/>
      <c r="E62" s="12"/>
      <c r="F62" s="12"/>
      <c r="G62" s="12"/>
      <c r="H62" s="12"/>
      <c r="I62" s="3"/>
      <c r="J62" s="3"/>
      <c r="K62" s="3"/>
    </row>
    <row r="63">
      <c r="A63" s="3"/>
      <c r="B63" s="3" t="s">
        <v>604</v>
      </c>
      <c r="C63" s="14">
        <v>7314.4</v>
      </c>
      <c r="D63" s="12"/>
      <c r="E63" s="12"/>
      <c r="F63" s="12"/>
      <c r="G63" s="12"/>
      <c r="H63" s="12"/>
      <c r="I63" s="3"/>
      <c r="J63" s="3"/>
      <c r="K63" s="3"/>
    </row>
    <row r="64">
      <c r="A64" s="3"/>
      <c r="B64" s="3" t="s">
        <v>605</v>
      </c>
      <c r="C64" s="14">
        <v>6768</v>
      </c>
      <c r="D64" s="12"/>
      <c r="E64" s="12"/>
      <c r="F64" s="12"/>
      <c r="G64" s="12"/>
      <c r="H64" s="12"/>
      <c r="I64" s="3"/>
      <c r="J64" s="3"/>
      <c r="K64" s="3"/>
    </row>
    <row r="65">
      <c r="A65" s="3"/>
      <c r="B65" s="3" t="s">
        <v>606</v>
      </c>
      <c r="C65" s="14">
        <v>130.78</v>
      </c>
      <c r="D65" s="12"/>
      <c r="E65" s="12"/>
      <c r="F65" s="12"/>
      <c r="G65" s="12"/>
      <c r="H65" s="12"/>
      <c r="I65" s="3"/>
      <c r="J65" s="3"/>
      <c r="K65" s="3"/>
    </row>
    <row r="66">
      <c r="A66" s="3"/>
      <c r="B66" s="3" t="s">
        <v>607</v>
      </c>
      <c r="C66" s="87">
        <v>19</v>
      </c>
      <c r="D66" s="12"/>
      <c r="E66" s="12"/>
      <c r="F66" s="12"/>
      <c r="G66" s="12"/>
      <c r="H66" s="12"/>
      <c r="I66" s="3"/>
      <c r="J66" s="3"/>
      <c r="K66" s="3"/>
    </row>
    <row r="67">
      <c r="A67" s="3"/>
      <c r="B67" s="3" t="s">
        <v>608</v>
      </c>
      <c r="C67" s="4"/>
      <c r="D67" s="12"/>
      <c r="E67" s="12"/>
      <c r="F67" s="12"/>
      <c r="G67" s="12"/>
      <c r="H67" s="12"/>
      <c r="I67" s="3"/>
      <c r="J67" s="3"/>
      <c r="K67" s="3"/>
    </row>
    <row r="68">
      <c r="A68" s="3"/>
      <c r="B68" s="3" t="s">
        <v>609</v>
      </c>
      <c r="C68" s="4"/>
      <c r="D68" s="12"/>
      <c r="E68" s="12"/>
      <c r="F68" s="12"/>
      <c r="G68" s="12"/>
      <c r="H68" s="12"/>
      <c r="I68" s="3"/>
      <c r="J68" s="3"/>
      <c r="K68" s="3"/>
    </row>
    <row r="69">
      <c r="A69" s="3"/>
      <c r="B69" s="3" t="s">
        <v>610</v>
      </c>
      <c r="C69" s="4"/>
      <c r="D69" s="12"/>
      <c r="E69" s="12"/>
      <c r="F69" s="12"/>
      <c r="G69" s="12"/>
      <c r="H69" s="12"/>
      <c r="I69" s="3"/>
      <c r="J69" s="3"/>
      <c r="K69" s="3"/>
    </row>
    <row r="70">
      <c r="A70" s="3"/>
      <c r="B70" s="3" t="s">
        <v>611</v>
      </c>
      <c r="C70" s="14">
        <v>3579.76</v>
      </c>
      <c r="D70" s="12"/>
      <c r="E70" s="12"/>
      <c r="F70" s="12"/>
      <c r="G70" s="12"/>
      <c r="H70" s="12"/>
      <c r="I70" s="3"/>
      <c r="J70" s="3"/>
      <c r="K70" s="3"/>
    </row>
    <row r="71">
      <c r="A71" s="3"/>
      <c r="B71" s="3" t="s">
        <v>612</v>
      </c>
      <c r="C71" s="14">
        <v>2912.29</v>
      </c>
      <c r="D71" s="12"/>
      <c r="E71" s="12"/>
      <c r="F71" s="12"/>
      <c r="G71" s="12"/>
      <c r="H71" s="12"/>
      <c r="I71" s="3"/>
      <c r="J71" s="3"/>
      <c r="K71" s="3"/>
    </row>
    <row r="72">
      <c r="A72" s="3"/>
      <c r="B72" s="3" t="s">
        <v>613</v>
      </c>
      <c r="C72" s="14">
        <v>2698.91</v>
      </c>
      <c r="D72" s="12"/>
      <c r="E72" s="12"/>
      <c r="F72" s="12"/>
      <c r="G72" s="12"/>
      <c r="H72" s="12"/>
      <c r="I72" s="3"/>
      <c r="J72" s="3"/>
      <c r="K72" s="3"/>
    </row>
    <row r="73">
      <c r="A73" s="3"/>
      <c r="B73" s="3" t="s">
        <v>614</v>
      </c>
      <c r="C73" s="14">
        <v>2685.4</v>
      </c>
      <c r="D73" s="12"/>
      <c r="E73" s="12"/>
      <c r="F73" s="12"/>
      <c r="G73" s="12"/>
      <c r="H73" s="12"/>
      <c r="I73" s="3"/>
      <c r="J73" s="3"/>
      <c r="K73" s="3"/>
    </row>
    <row r="74">
      <c r="A74" s="3"/>
      <c r="B74" s="3" t="s">
        <v>615</v>
      </c>
      <c r="C74" s="14">
        <v>2055.59</v>
      </c>
      <c r="D74" s="12"/>
      <c r="E74" s="12"/>
      <c r="F74" s="12"/>
      <c r="G74" s="12"/>
      <c r="H74" s="12"/>
      <c r="I74" s="3"/>
      <c r="J74" s="3"/>
      <c r="K74" s="3"/>
    </row>
    <row r="75">
      <c r="A75" s="3"/>
      <c r="B75" s="3" t="s">
        <v>616</v>
      </c>
      <c r="C75" s="14">
        <v>2047.36</v>
      </c>
      <c r="D75" s="12"/>
      <c r="E75" s="12"/>
      <c r="F75" s="12"/>
      <c r="G75" s="12"/>
      <c r="H75" s="12"/>
      <c r="I75" s="3"/>
      <c r="J75" s="3"/>
      <c r="K75" s="3"/>
    </row>
    <row r="76">
      <c r="A76" s="3"/>
      <c r="B76" s="3" t="s">
        <v>617</v>
      </c>
      <c r="C76" s="63"/>
      <c r="D76" s="12"/>
      <c r="E76" s="12"/>
      <c r="F76" s="12"/>
      <c r="G76" s="12"/>
      <c r="H76" s="12"/>
      <c r="I76" s="3"/>
      <c r="J76" s="3"/>
      <c r="K76" s="3"/>
    </row>
    <row r="77">
      <c r="A77" s="3"/>
      <c r="B77" s="3" t="s">
        <v>618</v>
      </c>
      <c r="C77" s="63"/>
      <c r="D77" s="12"/>
      <c r="E77" s="12"/>
      <c r="F77" s="12"/>
      <c r="G77" s="12"/>
      <c r="H77" s="12"/>
      <c r="I77" s="3"/>
      <c r="J77" s="3"/>
      <c r="K77" s="3"/>
    </row>
    <row r="78">
      <c r="A78" s="3"/>
      <c r="B78" s="3" t="s">
        <v>619</v>
      </c>
      <c r="C78" s="14">
        <v>641.18</v>
      </c>
      <c r="D78" s="12"/>
      <c r="E78" s="12"/>
      <c r="F78" s="12"/>
      <c r="G78" s="12"/>
      <c r="H78" s="12"/>
      <c r="I78" s="3"/>
      <c r="J78" s="3"/>
      <c r="K78" s="3"/>
    </row>
    <row r="79">
      <c r="A79" s="3"/>
      <c r="B79" s="3" t="s">
        <v>620</v>
      </c>
      <c r="C79" s="4"/>
      <c r="D79" s="12"/>
      <c r="E79" s="12"/>
      <c r="F79" s="12"/>
      <c r="G79" s="12"/>
      <c r="H79" s="12"/>
      <c r="I79" s="3"/>
      <c r="J79" s="3"/>
      <c r="K79" s="3"/>
    </row>
    <row r="80">
      <c r="A80" s="3"/>
      <c r="B80" s="3" t="s">
        <v>621</v>
      </c>
      <c r="C80" s="4"/>
      <c r="D80" s="12"/>
      <c r="E80" s="12"/>
      <c r="F80" s="12"/>
      <c r="G80" s="12"/>
      <c r="H80" s="12"/>
      <c r="I80" s="3"/>
      <c r="J80" s="3"/>
      <c r="K80" s="3"/>
    </row>
    <row r="81">
      <c r="A81" s="3"/>
      <c r="B81" s="3" t="s">
        <v>622</v>
      </c>
      <c r="C81" s="4"/>
      <c r="D81" s="12"/>
      <c r="E81" s="12"/>
      <c r="F81" s="12"/>
      <c r="G81" s="12"/>
      <c r="H81" s="12"/>
      <c r="I81" s="3"/>
      <c r="J81" s="3"/>
      <c r="K81" s="3"/>
    </row>
    <row r="82">
      <c r="A82" s="3"/>
      <c r="B82" s="3" t="s">
        <v>623</v>
      </c>
      <c r="C82" s="14">
        <v>-309.27</v>
      </c>
      <c r="D82" s="12"/>
      <c r="E82" s="12"/>
      <c r="F82" s="12"/>
      <c r="G82" s="12"/>
      <c r="H82" s="12"/>
      <c r="I82" s="3"/>
      <c r="J82" s="3"/>
      <c r="K82" s="3"/>
    </row>
    <row r="83">
      <c r="A83" s="3"/>
      <c r="B83" s="3" t="s">
        <v>624</v>
      </c>
      <c r="C83" s="14">
        <v>27454</v>
      </c>
      <c r="D83" s="12"/>
      <c r="E83" s="12"/>
      <c r="F83" s="12"/>
      <c r="G83" s="12"/>
      <c r="H83" s="12"/>
      <c r="I83" s="3"/>
      <c r="J83" s="3"/>
      <c r="K83" s="3"/>
    </row>
    <row r="84">
      <c r="A84" s="3"/>
      <c r="B84" s="3" t="s">
        <v>625</v>
      </c>
      <c r="C84" s="4"/>
      <c r="D84" s="12"/>
      <c r="E84" s="12"/>
      <c r="F84" s="12"/>
      <c r="G84" s="12"/>
      <c r="H84" s="12"/>
      <c r="I84" s="3"/>
      <c r="J84" s="3"/>
      <c r="K84" s="3"/>
    </row>
    <row r="85">
      <c r="A85" s="3"/>
      <c r="B85" s="3" t="s">
        <v>626</v>
      </c>
      <c r="C85" s="63"/>
      <c r="D85" s="12"/>
      <c r="E85" s="12"/>
      <c r="F85" s="12"/>
      <c r="G85" s="12"/>
      <c r="H85" s="12"/>
      <c r="I85" s="3"/>
      <c r="J85" s="3"/>
      <c r="K85" s="3"/>
    </row>
    <row r="86">
      <c r="A86" s="3"/>
      <c r="B86" s="3" t="s">
        <v>627</v>
      </c>
      <c r="C86" s="75">
        <v>327.63</v>
      </c>
      <c r="D86" s="12"/>
      <c r="E86" s="12"/>
      <c r="F86" s="12"/>
      <c r="G86" s="12"/>
      <c r="H86" s="12"/>
      <c r="I86" s="3"/>
      <c r="J86" s="3"/>
      <c r="K86" s="3"/>
    </row>
    <row r="87">
      <c r="A87" s="3"/>
      <c r="B87" s="3" t="s">
        <v>628</v>
      </c>
      <c r="C87" s="75">
        <v>334</v>
      </c>
      <c r="D87" s="12"/>
      <c r="E87" s="12"/>
      <c r="F87" s="12"/>
      <c r="G87" s="12"/>
      <c r="H87" s="12"/>
      <c r="I87" s="3"/>
      <c r="J87" s="3"/>
      <c r="K87" s="3"/>
    </row>
    <row r="88">
      <c r="A88" s="3"/>
      <c r="B88" s="3" t="s">
        <v>629</v>
      </c>
      <c r="C88" s="75">
        <v>375</v>
      </c>
      <c r="D88" s="12"/>
      <c r="E88" s="12"/>
      <c r="F88" s="12"/>
      <c r="G88" s="12"/>
      <c r="H88" s="12"/>
      <c r="I88" s="3"/>
      <c r="J88" s="3"/>
      <c r="K88" s="3"/>
    </row>
    <row r="89">
      <c r="A89" s="3"/>
      <c r="B89" s="3" t="s">
        <v>630</v>
      </c>
      <c r="C89" s="75">
        <v>245</v>
      </c>
      <c r="D89" s="12"/>
      <c r="E89" s="12"/>
      <c r="F89" s="12"/>
      <c r="G89" s="12"/>
      <c r="H89" s="12"/>
      <c r="I89" s="3"/>
      <c r="J89" s="3"/>
      <c r="K89" s="3"/>
    </row>
    <row r="90">
      <c r="A90" s="3"/>
      <c r="B90" s="3" t="s">
        <v>631</v>
      </c>
      <c r="C90" s="75">
        <v>28.69</v>
      </c>
      <c r="D90" s="12"/>
      <c r="E90" s="12"/>
      <c r="F90" s="12"/>
      <c r="G90" s="12"/>
      <c r="H90" s="12"/>
      <c r="I90" s="3"/>
      <c r="J90" s="3"/>
      <c r="K90" s="3"/>
    </row>
    <row r="91">
      <c r="A91" s="3"/>
      <c r="B91" s="3" t="s">
        <v>632</v>
      </c>
      <c r="C91" s="87">
        <v>24</v>
      </c>
      <c r="D91" s="12"/>
      <c r="E91" s="12"/>
      <c r="F91" s="12"/>
      <c r="G91" s="12"/>
      <c r="H91" s="12"/>
      <c r="I91" s="3"/>
      <c r="J91" s="3"/>
      <c r="K91" s="3"/>
    </row>
    <row r="92">
      <c r="A92" s="3"/>
      <c r="B92" s="3" t="s">
        <v>633</v>
      </c>
      <c r="C92" s="85" t="s">
        <v>634</v>
      </c>
      <c r="D92" s="12"/>
      <c r="E92" s="12"/>
      <c r="F92" s="12"/>
      <c r="G92" s="12"/>
      <c r="H92" s="12"/>
      <c r="I92" s="3"/>
      <c r="J92" s="3"/>
      <c r="K92" s="3"/>
    </row>
    <row r="93">
      <c r="A93" s="3"/>
      <c r="B93" s="3" t="s">
        <v>635</v>
      </c>
      <c r="C93" s="99">
        <v>1.72</v>
      </c>
      <c r="D93" s="12"/>
      <c r="E93" s="12"/>
      <c r="F93" s="12"/>
      <c r="G93" s="12"/>
      <c r="H93" s="12"/>
      <c r="I93" s="3"/>
      <c r="J93" s="3"/>
      <c r="K93" s="3"/>
    </row>
    <row r="94">
      <c r="A94" s="3"/>
      <c r="B94" s="3" t="s">
        <v>636</v>
      </c>
      <c r="C94" s="75">
        <v>289.04</v>
      </c>
      <c r="D94" s="12"/>
      <c r="E94" s="12"/>
      <c r="F94" s="12"/>
      <c r="G94" s="12"/>
      <c r="H94" s="12"/>
      <c r="I94" s="3"/>
      <c r="J94" s="3"/>
      <c r="K94" s="3"/>
    </row>
    <row r="95">
      <c r="A95" s="3"/>
      <c r="B95" s="3" t="s">
        <v>637</v>
      </c>
      <c r="C95" s="85" t="s">
        <v>638</v>
      </c>
      <c r="D95" s="12"/>
      <c r="E95" s="12"/>
      <c r="F95" s="12"/>
      <c r="G95" s="12"/>
      <c r="H95" s="12"/>
      <c r="I95" s="3"/>
      <c r="J95" s="3"/>
      <c r="K95" s="3"/>
    </row>
    <row r="96">
      <c r="A96" s="3"/>
      <c r="B96" s="3" t="s">
        <v>639</v>
      </c>
      <c r="C96" s="95">
        <v>46313</v>
      </c>
      <c r="D96" s="12"/>
      <c r="E96" s="12"/>
      <c r="F96" s="12"/>
      <c r="G96" s="12"/>
      <c r="H96" s="12"/>
      <c r="I96" s="3"/>
      <c r="J96" s="3"/>
      <c r="K96" s="3"/>
    </row>
    <row r="97">
      <c r="A97" s="3"/>
      <c r="B97" s="3" t="s">
        <v>640</v>
      </c>
      <c r="C97" s="63"/>
      <c r="D97" s="12"/>
      <c r="E97" s="12"/>
      <c r="F97" s="12"/>
      <c r="G97" s="12"/>
      <c r="H97" s="12"/>
      <c r="I97" s="3"/>
      <c r="J97" s="3"/>
      <c r="K97" s="3"/>
    </row>
    <row r="98">
      <c r="A98" s="3"/>
      <c r="B98" s="31" t="s">
        <v>641</v>
      </c>
      <c r="C98" s="12"/>
      <c r="D98" s="12"/>
      <c r="E98" s="12"/>
      <c r="F98" s="12"/>
      <c r="G98" s="12"/>
      <c r="H98" s="12"/>
      <c r="I98" s="3"/>
      <c r="J98" s="3"/>
      <c r="K98" s="3"/>
    </row>
    <row r="99">
      <c r="A99" s="3"/>
      <c r="B99" s="3"/>
      <c r="C99" s="12"/>
      <c r="D99" s="12"/>
      <c r="E99" s="12"/>
      <c r="F99" s="12"/>
      <c r="G99" s="12"/>
      <c r="H99" s="12"/>
      <c r="I99" s="3"/>
      <c r="J99" s="3"/>
      <c r="K99" s="3"/>
    </row>
    <row r="100">
      <c r="A100" s="3"/>
      <c r="B100" s="50" t="s">
        <v>642</v>
      </c>
      <c r="C100" s="12"/>
      <c r="D100" s="12"/>
      <c r="E100" s="12"/>
      <c r="F100" s="12"/>
      <c r="G100" s="12"/>
      <c r="H100" s="12"/>
      <c r="I100" s="3"/>
      <c r="J100" s="3"/>
      <c r="K100" s="3"/>
    </row>
    <row r="101" ht="33.75">
      <c r="A101" s="3"/>
      <c r="B101" s="44" t="s">
        <v>549</v>
      </c>
      <c r="C101" s="20" t="s">
        <v>643</v>
      </c>
      <c r="D101" s="101" t="s">
        <v>644</v>
      </c>
      <c r="E101" s="101" t="s">
        <v>645</v>
      </c>
      <c r="F101" s="101" t="s">
        <v>646</v>
      </c>
      <c r="G101" s="101" t="s">
        <v>647</v>
      </c>
      <c r="H101" s="101" t="s">
        <v>648</v>
      </c>
      <c r="I101" s="101" t="s">
        <v>649</v>
      </c>
      <c r="J101" s="101" t="s">
        <v>650</v>
      </c>
      <c r="K101" s="101" t="s">
        <v>651</v>
      </c>
    </row>
    <row r="102">
      <c r="A102" s="3"/>
      <c r="B102" s="94">
        <v>45747</v>
      </c>
      <c r="C102" s="106">
        <v>45771</v>
      </c>
      <c r="D102" s="75">
        <v>2.73</v>
      </c>
      <c r="E102" s="75">
        <v>2.7</v>
      </c>
      <c r="F102" s="75">
        <v>2.74</v>
      </c>
      <c r="G102" s="75">
        <v>2.7</v>
      </c>
      <c r="H102" s="14">
        <v>6074.31</v>
      </c>
      <c r="I102" s="14">
        <v>6027</v>
      </c>
      <c r="J102" s="84">
        <f>E102-D102</f>
        <v>-0.029999999999999805</v>
      </c>
      <c r="K102" s="12" t="b">
        <f>E102&gt;D102</f>
        <v>0</v>
      </c>
    </row>
    <row r="103">
      <c r="A103" s="3"/>
      <c r="B103" s="94">
        <v>45838</v>
      </c>
      <c r="C103" s="106">
        <v>45862</v>
      </c>
      <c r="D103" s="75">
        <v>2.91</v>
      </c>
      <c r="E103" s="75">
        <v>3.03</v>
      </c>
      <c r="F103" s="75">
        <v>2.91</v>
      </c>
      <c r="G103" s="75">
        <v>3.15</v>
      </c>
      <c r="H103" s="14">
        <v>6167.62</v>
      </c>
      <c r="I103" s="14">
        <v>6154</v>
      </c>
      <c r="J103" s="84">
        <f>E103-D103</f>
        <v>0.11999999999999966</v>
      </c>
      <c r="K103" s="12" t="b">
        <f>E103&gt;D103</f>
        <v>1</v>
      </c>
    </row>
    <row r="104">
      <c r="A104" s="3"/>
      <c r="B104" s="94">
        <v>45930</v>
      </c>
      <c r="C104" s="106">
        <v>45953</v>
      </c>
      <c r="D104" s="75">
        <v>3</v>
      </c>
      <c r="E104" s="75">
        <v>3.08</v>
      </c>
      <c r="F104" s="75">
        <v>2.98</v>
      </c>
      <c r="G104" s="75">
        <v>3.01</v>
      </c>
      <c r="H104" s="14">
        <v>6250.43</v>
      </c>
      <c r="I104" s="14">
        <v>6244</v>
      </c>
      <c r="J104" s="84">
        <f>E104-D104</f>
        <v>0.08000000000000007</v>
      </c>
      <c r="K104" s="12" t="b">
        <f>E104&gt;D104</f>
        <v>1</v>
      </c>
    </row>
    <row r="105">
      <c r="A105" s="3"/>
      <c r="B105" s="94">
        <v>46022</v>
      </c>
      <c r="C105" s="106">
        <v>46049</v>
      </c>
      <c r="D105" s="75">
        <v>2.87</v>
      </c>
      <c r="E105" s="75">
        <v>2.86</v>
      </c>
      <c r="F105" s="75">
        <v>2.86</v>
      </c>
      <c r="G105" s="75">
        <v>3.11</v>
      </c>
      <c r="H105" s="14">
        <v>6121.01</v>
      </c>
      <c r="I105" s="14">
        <v>6085</v>
      </c>
      <c r="J105" s="84">
        <f>E105-D105</f>
        <v>-0.010000000000000231</v>
      </c>
      <c r="K105" s="12" t="b">
        <f>E105&gt;D105</f>
        <v>0</v>
      </c>
    </row>
    <row r="106">
      <c r="A106" s="3"/>
      <c r="B106" s="94">
        <v>46112</v>
      </c>
      <c r="C106" s="106">
        <v>46135</v>
      </c>
      <c r="D106" s="75">
        <v>2.86</v>
      </c>
      <c r="E106" s="75">
        <v>2.93</v>
      </c>
      <c r="F106" s="75">
        <v>2.86</v>
      </c>
      <c r="G106" s="75">
        <v>2.87</v>
      </c>
      <c r="H106" s="14">
        <v>6225.48</v>
      </c>
      <c r="I106" s="14">
        <v>6217</v>
      </c>
      <c r="J106" s="84">
        <f>E106-D106</f>
        <v>0.07000000000000028</v>
      </c>
      <c r="K106" s="12" t="b">
        <f>E106&gt;D106</f>
        <v>1</v>
      </c>
    </row>
    <row r="107">
      <c r="A107" s="3"/>
      <c r="B107" s="94">
        <v>46203</v>
      </c>
      <c r="C107" s="106">
        <v>46226</v>
      </c>
      <c r="D107" s="75">
        <v>3.24</v>
      </c>
      <c r="E107" s="75">
        <v>3.41</v>
      </c>
      <c r="F107" s="75">
        <v>3.2</v>
      </c>
      <c r="G107" s="75">
        <v>3.36</v>
      </c>
      <c r="H107" s="14">
        <v>6712.8</v>
      </c>
      <c r="I107" s="14">
        <v>6864</v>
      </c>
      <c r="J107" s="84">
        <f>E107-D107</f>
        <v>0.16999999999999993</v>
      </c>
      <c r="K107" s="12" t="b">
        <f>E107&gt;D107</f>
        <v>1</v>
      </c>
    </row>
    <row r="108">
      <c r="A108" s="3"/>
      <c r="B108" s="3"/>
      <c r="C108" s="12"/>
      <c r="D108" s="12"/>
      <c r="E108" s="12"/>
      <c r="F108" s="12"/>
      <c r="G108" s="12"/>
      <c r="H108" s="12"/>
      <c r="I108" s="3"/>
      <c r="J108" s="3"/>
      <c r="K108" s="3"/>
    </row>
    <row r="109">
      <c r="A109" s="3"/>
      <c r="B109" s="50" t="s">
        <v>652</v>
      </c>
      <c r="C109" s="12"/>
      <c r="D109" s="12"/>
      <c r="E109" s="12"/>
      <c r="F109" s="12"/>
      <c r="G109" s="12"/>
      <c r="H109" s="12"/>
      <c r="I109" s="3"/>
      <c r="J109" s="3"/>
      <c r="K109" s="3"/>
    </row>
    <row r="110">
      <c r="A110" s="3"/>
      <c r="B110" s="44" t="s">
        <v>653</v>
      </c>
      <c r="C110" s="20" t="s">
        <v>654</v>
      </c>
      <c r="D110" s="20" t="s">
        <v>655</v>
      </c>
      <c r="E110" s="20" t="s">
        <v>656</v>
      </c>
      <c r="F110" s="20" t="s">
        <v>657</v>
      </c>
      <c r="G110" s="20" t="s">
        <v>658</v>
      </c>
      <c r="H110" s="12"/>
      <c r="I110" s="3"/>
      <c r="J110" s="3"/>
      <c r="K110" s="3"/>
    </row>
    <row r="111">
      <c r="A111" s="3"/>
      <c r="B111" s="15" t="s">
        <v>659</v>
      </c>
      <c r="C111" s="12"/>
      <c r="D111" s="12"/>
      <c r="E111" s="12"/>
      <c r="F111" s="12"/>
      <c r="G111" s="12"/>
      <c r="H111" s="12"/>
      <c r="I111" s="3"/>
      <c r="J111" s="3"/>
      <c r="K111" s="3"/>
    </row>
    <row r="112">
      <c r="A112" s="3"/>
      <c r="B112" s="3" t="s">
        <v>660</v>
      </c>
      <c r="C112" s="14">
        <v>923</v>
      </c>
      <c r="D112" s="14">
        <v>1061</v>
      </c>
      <c r="E112" s="14">
        <v>3828</v>
      </c>
      <c r="F112" s="14">
        <v>950</v>
      </c>
      <c r="G112" s="14">
        <v>964</v>
      </c>
      <c r="H112" s="4"/>
      <c r="I112" s="3"/>
      <c r="J112" s="3"/>
      <c r="K112" s="3"/>
    </row>
    <row r="113">
      <c r="A113" s="3"/>
      <c r="B113" s="3" t="s">
        <v>661</v>
      </c>
      <c r="C113" s="14">
        <v>208</v>
      </c>
      <c r="D113" s="14">
        <v>199</v>
      </c>
      <c r="E113" s="14">
        <v>811</v>
      </c>
      <c r="F113" s="14">
        <v>210</v>
      </c>
      <c r="G113" s="14">
        <v>201</v>
      </c>
      <c r="H113" s="4"/>
      <c r="I113" s="3"/>
      <c r="J113" s="3"/>
      <c r="K113" s="3"/>
    </row>
    <row r="114">
      <c r="A114" s="3"/>
      <c r="B114" s="3" t="s">
        <v>662</v>
      </c>
      <c r="C114" s="14">
        <v>269</v>
      </c>
      <c r="D114" s="14">
        <v>253</v>
      </c>
      <c r="E114" s="14">
        <v>1085</v>
      </c>
      <c r="F114" s="14">
        <v>260</v>
      </c>
      <c r="G114" s="14">
        <v>267</v>
      </c>
      <c r="H114" s="4"/>
      <c r="I114" s="3"/>
      <c r="J114" s="3"/>
      <c r="K114" s="3"/>
    </row>
    <row r="115">
      <c r="A115" s="3"/>
      <c r="B115" s="3" t="s">
        <v>663</v>
      </c>
      <c r="C115" s="14">
        <v>405</v>
      </c>
      <c r="D115" s="14">
        <v>351</v>
      </c>
      <c r="E115" s="14">
        <v>1483</v>
      </c>
      <c r="F115" s="14">
        <v>416</v>
      </c>
      <c r="G115" s="14">
        <v>469</v>
      </c>
      <c r="H115" s="4"/>
      <c r="I115" s="3"/>
      <c r="J115" s="3"/>
      <c r="K115" s="3"/>
    </row>
    <row r="116">
      <c r="A116" s="3"/>
      <c r="B116" s="3" t="s">
        <v>664</v>
      </c>
      <c r="C116" s="14">
        <v>598</v>
      </c>
      <c r="D116" s="14">
        <v>582</v>
      </c>
      <c r="E116" s="14">
        <v>2345</v>
      </c>
      <c r="F116" s="14">
        <v>607</v>
      </c>
      <c r="G116" s="14">
        <v>646</v>
      </c>
      <c r="H116" s="4"/>
      <c r="I116" s="3"/>
      <c r="J116" s="3"/>
      <c r="K116" s="3"/>
    </row>
    <row r="117">
      <c r="A117" s="3"/>
      <c r="B117" s="3" t="s">
        <v>665</v>
      </c>
      <c r="C117" s="14">
        <v>529</v>
      </c>
      <c r="D117" s="14">
        <v>507</v>
      </c>
      <c r="E117" s="14">
        <v>2081</v>
      </c>
      <c r="F117" s="14">
        <v>521</v>
      </c>
      <c r="G117" s="14">
        <v>561</v>
      </c>
      <c r="H117" s="4"/>
      <c r="I117" s="3"/>
      <c r="J117" s="3"/>
      <c r="K117" s="3"/>
    </row>
    <row r="118">
      <c r="A118" s="3"/>
      <c r="B118" s="3" t="s">
        <v>666</v>
      </c>
      <c r="C118" s="14">
        <v>322</v>
      </c>
      <c r="D118" s="14">
        <v>324</v>
      </c>
      <c r="E118" s="14">
        <v>1326</v>
      </c>
      <c r="F118" s="14">
        <v>321</v>
      </c>
      <c r="G118" s="14">
        <v>340</v>
      </c>
      <c r="H118" s="4"/>
      <c r="I118" s="3"/>
      <c r="J118" s="3"/>
      <c r="K118" s="3"/>
    </row>
    <row r="119">
      <c r="A119" s="3"/>
      <c r="B119" s="3" t="s">
        <v>667</v>
      </c>
      <c r="C119" s="14">
        <v>672</v>
      </c>
      <c r="D119" s="14">
        <v>679</v>
      </c>
      <c r="E119" s="14">
        <v>2688</v>
      </c>
      <c r="F119" s="14">
        <v>633</v>
      </c>
      <c r="G119" s="14">
        <v>665</v>
      </c>
      <c r="H119" s="4"/>
      <c r="I119" s="3"/>
      <c r="J119" s="3"/>
      <c r="K119" s="3"/>
    </row>
    <row r="120">
      <c r="A120" s="3"/>
      <c r="B120" s="3" t="s">
        <v>668</v>
      </c>
      <c r="C120" s="14">
        <v>601</v>
      </c>
      <c r="D120" s="14">
        <v>581</v>
      </c>
      <c r="E120" s="14">
        <v>2452</v>
      </c>
      <c r="F120" s="14">
        <v>581</v>
      </c>
      <c r="G120" s="14">
        <v>632</v>
      </c>
      <c r="H120" s="4"/>
      <c r="I120" s="3"/>
      <c r="J120" s="3"/>
      <c r="K120" s="3"/>
    </row>
    <row r="121">
      <c r="A121" s="3"/>
      <c r="B121" s="3" t="s">
        <v>669</v>
      </c>
      <c r="C121" s="14">
        <v>1241</v>
      </c>
      <c r="D121" s="14">
        <v>1252</v>
      </c>
      <c r="E121" s="14">
        <v>4712</v>
      </c>
      <c r="F121" s="14">
        <v>1192</v>
      </c>
      <c r="G121" s="14">
        <v>1098</v>
      </c>
      <c r="H121" s="4"/>
      <c r="I121" s="3"/>
      <c r="J121" s="3"/>
      <c r="K121" s="3"/>
    </row>
    <row r="122">
      <c r="A122" s="3"/>
      <c r="B122" s="15" t="s">
        <v>670</v>
      </c>
      <c r="C122" s="16">
        <f>C112+C113+C114+C115</f>
        <v>1805</v>
      </c>
      <c r="D122" s="16">
        <f>D112+D113+D114+D115</f>
        <v>1864</v>
      </c>
      <c r="E122" s="16">
        <f>E112+E113+E114+E115</f>
        <v>7207</v>
      </c>
      <c r="F122" s="16">
        <f>F112+F113+F114+F115</f>
        <v>1836</v>
      </c>
      <c r="G122" s="16">
        <f>G112+G113+G114+G115</f>
        <v>1901</v>
      </c>
      <c r="H122" s="16"/>
      <c r="I122" s="3"/>
      <c r="J122" s="3"/>
      <c r="K122" s="3"/>
    </row>
    <row r="123">
      <c r="A123" s="3"/>
      <c r="B123" s="15" t="s">
        <v>671</v>
      </c>
      <c r="C123" s="16">
        <f>C116+C117+C118+C119</f>
        <v>2121</v>
      </c>
      <c r="D123" s="16">
        <f>D116+D117+D118+D119</f>
        <v>2092</v>
      </c>
      <c r="E123" s="16">
        <f>E116+E117+E118+E119</f>
        <v>8440</v>
      </c>
      <c r="F123" s="16">
        <f>F116+F117+F118+F119</f>
        <v>2082</v>
      </c>
      <c r="G123" s="16">
        <f>G116+G117+G118+G119</f>
        <v>2212</v>
      </c>
      <c r="H123" s="16"/>
      <c r="I123" s="3"/>
      <c r="J123" s="3"/>
      <c r="K123" s="3"/>
    </row>
    <row r="124">
      <c r="A124" s="3"/>
      <c r="B124" s="15" t="s">
        <v>672</v>
      </c>
      <c r="C124" s="16">
        <f>C120+C121</f>
        <v>1842</v>
      </c>
      <c r="D124" s="16">
        <f>D120+D121</f>
        <v>1833</v>
      </c>
      <c r="E124" s="16">
        <f>E120+E121</f>
        <v>7164</v>
      </c>
      <c r="F124" s="16">
        <f>F120+F121</f>
        <v>1773</v>
      </c>
      <c r="G124" s="16">
        <f>G120+G121</f>
        <v>1730</v>
      </c>
      <c r="H124" s="16"/>
      <c r="I124" s="3"/>
      <c r="J124" s="3"/>
      <c r="K124" s="3"/>
    </row>
    <row r="125">
      <c r="A125" s="3"/>
      <c r="B125" s="15" t="s">
        <v>673</v>
      </c>
      <c r="C125" s="16">
        <f>C122+C123+C124</f>
        <v>5768</v>
      </c>
      <c r="D125" s="16">
        <f>D122+D123+D124</f>
        <v>5789</v>
      </c>
      <c r="E125" s="16">
        <f>E122+E123+E124</f>
        <v>22811</v>
      </c>
      <c r="F125" s="16">
        <f>F122+F123+F124</f>
        <v>5691</v>
      </c>
      <c r="G125" s="16">
        <f>G122+G123+G124</f>
        <v>5843</v>
      </c>
      <c r="H125" s="16"/>
      <c r="I125" s="3"/>
      <c r="J125" s="3"/>
      <c r="K125" s="3"/>
    </row>
    <row r="126">
      <c r="A126" s="3"/>
      <c r="B126" s="3" t="s">
        <v>169</v>
      </c>
      <c r="C126" s="14">
        <v>323</v>
      </c>
      <c r="D126" s="14">
        <v>332</v>
      </c>
      <c r="E126" s="14">
        <v>1439</v>
      </c>
      <c r="F126" s="14">
        <v>336</v>
      </c>
      <c r="G126" s="14">
        <v>311</v>
      </c>
      <c r="H126" s="4"/>
      <c r="I126" s="3"/>
      <c r="J126" s="3"/>
      <c r="K126" s="3"/>
    </row>
    <row r="127">
      <c r="A127" s="3"/>
      <c r="B127" s="15" t="s">
        <v>156</v>
      </c>
      <c r="C127" s="16">
        <f>C125+C126</f>
        <v>6091</v>
      </c>
      <c r="D127" s="16">
        <f>D125+D126</f>
        <v>6121</v>
      </c>
      <c r="E127" s="16">
        <f>E125+E126</f>
        <v>24250</v>
      </c>
      <c r="F127" s="16">
        <f>F125+F126</f>
        <v>6027</v>
      </c>
      <c r="G127" s="16">
        <f>G125+G126</f>
        <v>6154</v>
      </c>
      <c r="H127" s="16"/>
      <c r="I127" s="3"/>
      <c r="J127" s="3"/>
      <c r="K127" s="3"/>
    </row>
    <row r="128">
      <c r="A128" s="3"/>
      <c r="B128" s="3" t="s">
        <v>674</v>
      </c>
      <c r="C128" s="14">
        <v>635</v>
      </c>
      <c r="D128" s="14">
        <v>588</v>
      </c>
      <c r="E128" s="4"/>
      <c r="F128" s="14">
        <v>565</v>
      </c>
      <c r="G128" s="14">
        <v>569</v>
      </c>
      <c r="H128" s="4"/>
      <c r="I128" s="3"/>
      <c r="J128" s="3"/>
      <c r="K128" s="3"/>
    </row>
    <row r="129">
      <c r="A129" s="3"/>
      <c r="B129" s="3" t="s">
        <v>97</v>
      </c>
      <c r="C129" s="75">
        <v>3.6892</v>
      </c>
      <c r="D129" s="75">
        <v>3.5337</v>
      </c>
      <c r="E129" s="75">
        <v>3.76</v>
      </c>
      <c r="F129" s="75">
        <v>3.6313</v>
      </c>
      <c r="G129" s="75">
        <v>3.5548</v>
      </c>
      <c r="H129" s="40"/>
      <c r="I129" s="3"/>
      <c r="J129" s="3"/>
      <c r="K129" s="3"/>
    </row>
    <row r="130">
      <c r="A130" s="3"/>
      <c r="B130" s="3" t="s">
        <v>100</v>
      </c>
      <c r="C130" s="75">
        <v>3.7848</v>
      </c>
      <c r="D130" s="75">
        <v>3.6142</v>
      </c>
      <c r="E130" s="40"/>
      <c r="F130" s="75">
        <v>3.5501</v>
      </c>
      <c r="G130" s="75">
        <v>3.6088</v>
      </c>
      <c r="H130" s="40"/>
      <c r="I130" s="3"/>
      <c r="J130" s="3"/>
      <c r="K130" s="3"/>
    </row>
    <row r="131">
      <c r="A131" s="3"/>
      <c r="B131" s="3" t="s">
        <v>101</v>
      </c>
      <c r="C131" s="75">
        <v>3.7165</v>
      </c>
      <c r="D131" s="75">
        <v>3.5443</v>
      </c>
      <c r="E131" s="40"/>
      <c r="F131" s="75">
        <v>3.6162</v>
      </c>
      <c r="G131" s="75">
        <v>3.5525</v>
      </c>
      <c r="H131" s="40"/>
      <c r="I131" s="3"/>
      <c r="J131" s="3"/>
      <c r="K131" s="3"/>
    </row>
    <row r="132">
      <c r="A132" s="3"/>
      <c r="B132" s="3" t="s">
        <v>675</v>
      </c>
      <c r="C132" s="14">
        <v>0</v>
      </c>
      <c r="D132" s="14">
        <v>0</v>
      </c>
      <c r="E132" s="14">
        <v>0</v>
      </c>
      <c r="F132" s="14">
        <v>0</v>
      </c>
      <c r="G132" s="14">
        <v>1</v>
      </c>
      <c r="H132" s="4"/>
      <c r="I132" s="3"/>
      <c r="J132" s="3"/>
      <c r="K132" s="3"/>
    </row>
    <row r="133">
      <c r="A133" s="3"/>
      <c r="B133" s="3" t="s">
        <v>220</v>
      </c>
      <c r="C133" s="14">
        <v>2416</v>
      </c>
      <c r="D133" s="14">
        <v>2565</v>
      </c>
      <c r="E133" s="14">
        <v>9730</v>
      </c>
      <c r="F133" s="14">
        <v>2371</v>
      </c>
      <c r="G133" s="14">
        <v>2580</v>
      </c>
      <c r="H133" s="4"/>
      <c r="I133" s="3" t="s">
        <v>676</v>
      </c>
      <c r="J133" s="3"/>
      <c r="K133" s="3"/>
    </row>
    <row r="134">
      <c r="A134" s="3"/>
      <c r="B134" s="3" t="s">
        <v>258</v>
      </c>
      <c r="C134" s="4"/>
      <c r="D134" s="14">
        <v>31192</v>
      </c>
      <c r="E134" s="14">
        <v>31192</v>
      </c>
      <c r="F134" s="4"/>
      <c r="G134" s="4"/>
      <c r="H134" s="4"/>
      <c r="I134" s="3"/>
      <c r="J134" s="3"/>
      <c r="K134" s="3"/>
    </row>
    <row r="135">
      <c r="A135" s="3"/>
      <c r="B135" s="15" t="s">
        <v>677</v>
      </c>
      <c r="C135" s="12"/>
      <c r="D135" s="12"/>
      <c r="E135" s="12"/>
      <c r="F135" s="12"/>
      <c r="G135" s="12"/>
      <c r="H135" s="12"/>
      <c r="I135" s="3"/>
      <c r="J135" s="3"/>
      <c r="K135" s="3"/>
    </row>
    <row r="136">
      <c r="A136" s="3"/>
      <c r="B136" s="3" t="s">
        <v>660</v>
      </c>
      <c r="C136" s="14">
        <v>206</v>
      </c>
      <c r="D136" s="14">
        <v>234</v>
      </c>
      <c r="E136" s="14">
        <v>850</v>
      </c>
      <c r="F136" s="14">
        <v>214</v>
      </c>
      <c r="G136" s="14">
        <v>216</v>
      </c>
      <c r="H136" s="4"/>
      <c r="I136" s="3"/>
      <c r="J136" s="3"/>
      <c r="K136" s="3"/>
    </row>
    <row r="137">
      <c r="A137" s="3"/>
      <c r="B137" s="3" t="s">
        <v>661</v>
      </c>
      <c r="C137" s="14">
        <v>53</v>
      </c>
      <c r="D137" s="14">
        <v>51</v>
      </c>
      <c r="E137" s="14">
        <v>213</v>
      </c>
      <c r="F137" s="14">
        <v>49</v>
      </c>
      <c r="G137" s="14">
        <v>55</v>
      </c>
      <c r="H137" s="4"/>
      <c r="I137" s="3"/>
      <c r="J137" s="3"/>
      <c r="K137" s="3"/>
    </row>
    <row r="138">
      <c r="A138" s="3"/>
      <c r="B138" s="3" t="s">
        <v>662</v>
      </c>
      <c r="C138" s="14">
        <v>45</v>
      </c>
      <c r="D138" s="14">
        <v>40</v>
      </c>
      <c r="E138" s="14">
        <v>177</v>
      </c>
      <c r="F138" s="14">
        <v>43</v>
      </c>
      <c r="G138" s="14">
        <v>43</v>
      </c>
      <c r="H138" s="4"/>
      <c r="I138" s="3"/>
      <c r="J138" s="3"/>
      <c r="K138" s="3"/>
    </row>
    <row r="139">
      <c r="A139" s="3"/>
      <c r="B139" s="3" t="s">
        <v>663</v>
      </c>
      <c r="C139" s="14">
        <v>192</v>
      </c>
      <c r="D139" s="14">
        <v>175</v>
      </c>
      <c r="E139" s="14">
        <v>702</v>
      </c>
      <c r="F139" s="14">
        <v>185</v>
      </c>
      <c r="G139" s="14">
        <v>205</v>
      </c>
      <c r="H139" s="4"/>
      <c r="I139" s="3"/>
      <c r="J139" s="3"/>
      <c r="K139" s="3"/>
    </row>
    <row r="140">
      <c r="A140" s="3"/>
      <c r="B140" s="3" t="s">
        <v>664</v>
      </c>
      <c r="C140" s="14">
        <v>169</v>
      </c>
      <c r="D140" s="14">
        <v>170</v>
      </c>
      <c r="E140" s="14">
        <v>672</v>
      </c>
      <c r="F140" s="14">
        <v>169</v>
      </c>
      <c r="G140" s="14">
        <v>177</v>
      </c>
      <c r="H140" s="4"/>
      <c r="I140" s="3"/>
      <c r="J140" s="3"/>
      <c r="K140" s="3"/>
    </row>
    <row r="141">
      <c r="A141" s="3"/>
      <c r="B141" s="3" t="s">
        <v>665</v>
      </c>
      <c r="C141" s="14">
        <v>186</v>
      </c>
      <c r="D141" s="14">
        <v>179</v>
      </c>
      <c r="E141" s="14">
        <v>719</v>
      </c>
      <c r="F141" s="14">
        <v>174</v>
      </c>
      <c r="G141" s="14">
        <v>191</v>
      </c>
      <c r="H141" s="4"/>
      <c r="I141" s="3"/>
      <c r="J141" s="3"/>
      <c r="K141" s="3"/>
    </row>
    <row r="142">
      <c r="A142" s="3"/>
      <c r="B142" s="3" t="s">
        <v>666</v>
      </c>
      <c r="C142" s="14">
        <v>53</v>
      </c>
      <c r="D142" s="14">
        <v>52</v>
      </c>
      <c r="E142" s="14">
        <v>213</v>
      </c>
      <c r="F142" s="14">
        <v>51</v>
      </c>
      <c r="G142" s="14">
        <v>52</v>
      </c>
      <c r="H142" s="4"/>
      <c r="I142" s="3"/>
      <c r="J142" s="3"/>
      <c r="K142" s="3"/>
    </row>
    <row r="143">
      <c r="A143" s="3"/>
      <c r="B143" s="3" t="s">
        <v>667</v>
      </c>
      <c r="C143" s="14">
        <v>152</v>
      </c>
      <c r="D143" s="14">
        <v>154</v>
      </c>
      <c r="E143" s="14">
        <v>607</v>
      </c>
      <c r="F143" s="14">
        <v>143</v>
      </c>
      <c r="G143" s="14">
        <v>149</v>
      </c>
      <c r="H143" s="4"/>
      <c r="I143" s="3"/>
      <c r="J143" s="3"/>
      <c r="K143" s="3"/>
    </row>
    <row r="144">
      <c r="A144" s="3"/>
      <c r="B144" s="3" t="s">
        <v>668</v>
      </c>
      <c r="C144" s="14">
        <v>202</v>
      </c>
      <c r="D144" s="14">
        <v>197</v>
      </c>
      <c r="E144" s="14">
        <v>824</v>
      </c>
      <c r="F144" s="14">
        <v>195</v>
      </c>
      <c r="G144" s="14">
        <v>209</v>
      </c>
      <c r="H144" s="4"/>
      <c r="I144" s="3"/>
      <c r="J144" s="3"/>
      <c r="K144" s="3"/>
    </row>
    <row r="145">
      <c r="A145" s="3"/>
      <c r="B145" s="3" t="s">
        <v>669</v>
      </c>
      <c r="C145" s="14">
        <v>909</v>
      </c>
      <c r="D145" s="14">
        <v>911</v>
      </c>
      <c r="E145" s="14">
        <v>3357</v>
      </c>
      <c r="F145" s="14">
        <v>874</v>
      </c>
      <c r="G145" s="14">
        <v>817</v>
      </c>
      <c r="H145" s="4"/>
      <c r="I145" s="3"/>
      <c r="J145" s="3"/>
      <c r="K145" s="3"/>
    </row>
    <row r="146">
      <c r="A146" s="3"/>
      <c r="B146" s="15" t="s">
        <v>670</v>
      </c>
      <c r="C146" s="16">
        <f>C136+C137+C138+C139</f>
        <v>496</v>
      </c>
      <c r="D146" s="16">
        <f>D136+D137+D138+D139</f>
        <v>500</v>
      </c>
      <c r="E146" s="16">
        <f>E136+E137+E138+E139</f>
        <v>1942</v>
      </c>
      <c r="F146" s="16">
        <f>F136+F137+F138+F139</f>
        <v>491</v>
      </c>
      <c r="G146" s="16">
        <f>G136+G137+G138+G139</f>
        <v>519</v>
      </c>
      <c r="H146" s="16"/>
      <c r="I146" s="3"/>
      <c r="J146" s="3"/>
      <c r="K146" s="3"/>
    </row>
    <row r="147">
      <c r="A147" s="3"/>
      <c r="B147" s="15" t="s">
        <v>671</v>
      </c>
      <c r="C147" s="16">
        <f>C140+C141+C142+C143</f>
        <v>560</v>
      </c>
      <c r="D147" s="16">
        <f>D140+D141+D142+D143</f>
        <v>555</v>
      </c>
      <c r="E147" s="16">
        <f>E140+E141+E142+E143</f>
        <v>2211</v>
      </c>
      <c r="F147" s="16">
        <f>F140+F141+F142+F143</f>
        <v>537</v>
      </c>
      <c r="G147" s="16">
        <f>G140+G141+G142+G143</f>
        <v>569</v>
      </c>
      <c r="H147" s="16"/>
      <c r="I147" s="3"/>
      <c r="J147" s="3"/>
      <c r="K147" s="3"/>
    </row>
    <row r="148">
      <c r="A148" s="3"/>
      <c r="B148" s="15" t="s">
        <v>672</v>
      </c>
      <c r="C148" s="16">
        <f>C144+C145</f>
        <v>1111</v>
      </c>
      <c r="D148" s="16">
        <f>D144+D145</f>
        <v>1108</v>
      </c>
      <c r="E148" s="16">
        <f>E144+E145</f>
        <v>4181</v>
      </c>
      <c r="F148" s="16">
        <f>F144+F145</f>
        <v>1069</v>
      </c>
      <c r="G148" s="16">
        <f>G144+G145</f>
        <v>1026</v>
      </c>
      <c r="H148" s="16"/>
      <c r="I148" s="3"/>
      <c r="J148" s="3"/>
      <c r="K148" s="3"/>
    </row>
    <row r="149">
      <c r="A149" s="3"/>
      <c r="B149" s="15" t="s">
        <v>92</v>
      </c>
      <c r="C149" s="16">
        <f>C146+C147+C148</f>
        <v>2167</v>
      </c>
      <c r="D149" s="16">
        <f>D146+D147+D148</f>
        <v>2163</v>
      </c>
      <c r="E149" s="16">
        <f>E146+E147+E148</f>
        <v>8334</v>
      </c>
      <c r="F149" s="16">
        <f>F146+F147+F148</f>
        <v>2097</v>
      </c>
      <c r="G149" s="16">
        <f>G146+G147+G148</f>
        <v>2114</v>
      </c>
      <c r="H149" s="16"/>
      <c r="I149" s="3"/>
      <c r="J149" s="3"/>
      <c r="K149" s="3"/>
    </row>
    <row r="150">
      <c r="A150" s="3"/>
      <c r="B150" s="15" t="s">
        <v>678</v>
      </c>
      <c r="C150" s="12"/>
      <c r="D150" s="12"/>
      <c r="E150" s="12"/>
      <c r="F150" s="12"/>
      <c r="G150" s="12"/>
      <c r="H150" s="12"/>
      <c r="I150" s="3"/>
      <c r="J150" s="3"/>
      <c r="K150" s="3"/>
    </row>
    <row r="151">
      <c r="A151" s="3"/>
      <c r="B151" s="3" t="s">
        <v>660</v>
      </c>
      <c r="C151" s="14">
        <v>4498</v>
      </c>
      <c r="D151" s="14">
        <v>4532</v>
      </c>
      <c r="E151" s="14">
        <v>4505</v>
      </c>
      <c r="F151" s="14">
        <v>4434</v>
      </c>
      <c r="G151" s="14">
        <v>4467</v>
      </c>
      <c r="H151" s="4"/>
      <c r="I151" s="3"/>
      <c r="J151" s="3"/>
      <c r="K151" s="3"/>
    </row>
    <row r="152">
      <c r="A152" s="3"/>
      <c r="B152" s="3" t="s">
        <v>661</v>
      </c>
      <c r="C152" s="14">
        <v>3872</v>
      </c>
      <c r="D152" s="14">
        <v>3918</v>
      </c>
      <c r="E152" s="14">
        <v>3809</v>
      </c>
      <c r="F152" s="14">
        <v>4339</v>
      </c>
      <c r="G152" s="14">
        <v>3627</v>
      </c>
      <c r="H152" s="4"/>
      <c r="I152" s="3"/>
      <c r="J152" s="3"/>
      <c r="K152" s="3"/>
    </row>
    <row r="153">
      <c r="A153" s="3"/>
      <c r="B153" s="3" t="s">
        <v>662</v>
      </c>
      <c r="C153" s="14">
        <v>6099</v>
      </c>
      <c r="D153" s="14">
        <v>6152</v>
      </c>
      <c r="E153" s="14">
        <v>6104</v>
      </c>
      <c r="F153" s="14">
        <v>6058</v>
      </c>
      <c r="G153" s="14">
        <v>6237</v>
      </c>
      <c r="H153" s="4"/>
      <c r="I153" s="3"/>
      <c r="J153" s="3"/>
      <c r="K153" s="3"/>
    </row>
    <row r="154">
      <c r="A154" s="3"/>
      <c r="B154" s="3" t="s">
        <v>663</v>
      </c>
      <c r="C154" s="14">
        <v>2101</v>
      </c>
      <c r="D154" s="14">
        <v>2012</v>
      </c>
      <c r="E154" s="14">
        <v>2113</v>
      </c>
      <c r="F154" s="14">
        <v>2250</v>
      </c>
      <c r="G154" s="14">
        <v>2283</v>
      </c>
      <c r="H154" s="4"/>
      <c r="I154" s="3"/>
      <c r="J154" s="3"/>
      <c r="K154" s="3"/>
    </row>
    <row r="155">
      <c r="A155" s="3"/>
      <c r="B155" s="3" t="s">
        <v>664</v>
      </c>
      <c r="C155" s="14">
        <v>3534</v>
      </c>
      <c r="D155" s="14">
        <v>3445</v>
      </c>
      <c r="E155" s="14">
        <v>3493</v>
      </c>
      <c r="F155" s="14">
        <v>3601</v>
      </c>
      <c r="G155" s="14">
        <v>3647</v>
      </c>
      <c r="H155" s="4"/>
      <c r="I155" s="3"/>
      <c r="J155" s="3"/>
      <c r="K155" s="3"/>
    </row>
    <row r="156">
      <c r="A156" s="3"/>
      <c r="B156" s="3" t="s">
        <v>665</v>
      </c>
      <c r="C156" s="14">
        <v>2847</v>
      </c>
      <c r="D156" s="14">
        <v>2820</v>
      </c>
      <c r="E156" s="14">
        <v>2893</v>
      </c>
      <c r="F156" s="14">
        <v>2986</v>
      </c>
      <c r="G156" s="14">
        <v>2950</v>
      </c>
      <c r="H156" s="4"/>
      <c r="I156" s="3"/>
      <c r="J156" s="3"/>
      <c r="K156" s="3"/>
    </row>
    <row r="157">
      <c r="A157" s="3"/>
      <c r="B157" s="3" t="s">
        <v>666</v>
      </c>
      <c r="C157" s="14">
        <v>6157</v>
      </c>
      <c r="D157" s="14">
        <v>6210</v>
      </c>
      <c r="E157" s="14">
        <v>6229</v>
      </c>
      <c r="F157" s="14">
        <v>6264</v>
      </c>
      <c r="G157" s="14">
        <v>6508</v>
      </c>
      <c r="H157" s="4"/>
      <c r="I157" s="3"/>
      <c r="J157" s="3"/>
      <c r="K157" s="3"/>
    </row>
    <row r="158">
      <c r="A158" s="3"/>
      <c r="B158" s="3" t="s">
        <v>667</v>
      </c>
      <c r="C158" s="14">
        <v>4415</v>
      </c>
      <c r="D158" s="14">
        <v>4412</v>
      </c>
      <c r="E158" s="14">
        <v>4426</v>
      </c>
      <c r="F158" s="14">
        <v>4433</v>
      </c>
      <c r="G158" s="14">
        <v>4439</v>
      </c>
      <c r="H158" s="4"/>
      <c r="I158" s="3"/>
      <c r="J158" s="3"/>
      <c r="K158" s="3"/>
    </row>
    <row r="159">
      <c r="A159" s="3"/>
      <c r="B159" s="3" t="s">
        <v>668</v>
      </c>
      <c r="C159" s="14">
        <v>2968</v>
      </c>
      <c r="D159" s="14">
        <v>2952</v>
      </c>
      <c r="E159" s="14">
        <v>2976</v>
      </c>
      <c r="F159" s="14">
        <v>2971</v>
      </c>
      <c r="G159" s="14">
        <v>3034</v>
      </c>
      <c r="H159" s="4"/>
      <c r="I159" s="3"/>
      <c r="J159" s="3"/>
      <c r="K159" s="3"/>
    </row>
    <row r="160">
      <c r="A160" s="3"/>
      <c r="B160" s="3" t="s">
        <v>669</v>
      </c>
      <c r="C160" s="14">
        <v>1365</v>
      </c>
      <c r="D160" s="14">
        <v>1376</v>
      </c>
      <c r="E160" s="14">
        <v>1404</v>
      </c>
      <c r="F160" s="14">
        <v>1364</v>
      </c>
      <c r="G160" s="14">
        <v>1345</v>
      </c>
      <c r="H160" s="4"/>
      <c r="I160" s="3"/>
      <c r="J160" s="3"/>
      <c r="K160" s="3"/>
    </row>
    <row r="161">
      <c r="A161" s="3"/>
      <c r="B161" s="3" t="s">
        <v>670</v>
      </c>
      <c r="C161" s="4">
        <f>C122/C146*1000</f>
        <v>3639.1129032258063</v>
      </c>
      <c r="D161" s="4">
        <f>D122/D146*1000</f>
        <v>3728</v>
      </c>
      <c r="E161" s="4">
        <f>E122/E146*1000</f>
        <v>3711.122554067971</v>
      </c>
      <c r="F161" s="4">
        <f>F122/F146*1000</f>
        <v>3739.307535641548</v>
      </c>
      <c r="G161" s="4">
        <f>G122/G146*1000</f>
        <v>3662.8131021194604</v>
      </c>
      <c r="H161" s="4"/>
      <c r="I161" s="3"/>
      <c r="J161" s="3"/>
      <c r="K161" s="3"/>
    </row>
    <row r="162">
      <c r="A162" s="3"/>
      <c r="B162" s="3" t="s">
        <v>671</v>
      </c>
      <c r="C162" s="4">
        <f>C123/C147*1000</f>
        <v>3787.5</v>
      </c>
      <c r="D162" s="4">
        <f>D123/D147*1000</f>
        <v>3769.3693693693695</v>
      </c>
      <c r="E162" s="4">
        <f>E123/E147*1000</f>
        <v>3817.2772501130707</v>
      </c>
      <c r="F162" s="4">
        <f>F123/F147*1000</f>
        <v>3877.0949720670387</v>
      </c>
      <c r="G162" s="4">
        <f>G123/G147*1000</f>
        <v>3887.5219683655537</v>
      </c>
      <c r="H162" s="4"/>
      <c r="I162" s="3"/>
      <c r="J162" s="3"/>
      <c r="K162" s="3"/>
    </row>
    <row r="163">
      <c r="A163" s="3"/>
      <c r="B163" s="3" t="s">
        <v>672</v>
      </c>
      <c r="C163" s="4">
        <f>C124/C148*1000</f>
        <v>1657.965796579658</v>
      </c>
      <c r="D163" s="4">
        <f>D124/D148*1000</f>
        <v>1654.332129963899</v>
      </c>
      <c r="E163" s="4">
        <f>E124/E148*1000</f>
        <v>1713.465678067448</v>
      </c>
      <c r="F163" s="4">
        <f>F124/F148*1000</f>
        <v>1658.5594013096352</v>
      </c>
      <c r="G163" s="4">
        <f>G124/G148*1000</f>
        <v>1686.1598440545808</v>
      </c>
      <c r="H163" s="4"/>
      <c r="I163" s="3"/>
      <c r="J163" s="3"/>
      <c r="K163" s="3"/>
    </row>
    <row r="164">
      <c r="A164" s="3"/>
      <c r="B164" s="3" t="s">
        <v>679</v>
      </c>
      <c r="C164" s="4">
        <f>C125/C149*1000</f>
        <v>2661.744347023535</v>
      </c>
      <c r="D164" s="4">
        <f>D125/D149*1000</f>
        <v>2676.375404530744</v>
      </c>
      <c r="E164" s="4">
        <f>E125/E149*1000</f>
        <v>2737.1010319174466</v>
      </c>
      <c r="F164" s="4">
        <f>F125/F149*1000</f>
        <v>2713.8769670958513</v>
      </c>
      <c r="G164" s="4">
        <f>G125/G149*1000</f>
        <v>2763.9545884578997</v>
      </c>
      <c r="H164" s="4"/>
      <c r="I164" s="3"/>
      <c r="J164" s="3"/>
      <c r="K164" s="3"/>
    </row>
    <row r="165">
      <c r="A165" s="3"/>
      <c r="B165" s="15" t="s">
        <v>680</v>
      </c>
      <c r="C165" s="12"/>
      <c r="D165" s="12"/>
      <c r="E165" s="12"/>
      <c r="F165" s="12"/>
      <c r="G165" s="12"/>
      <c r="H165" s="12"/>
      <c r="I165" s="3"/>
      <c r="J165" s="3"/>
      <c r="K165" s="3"/>
    </row>
    <row r="166">
      <c r="A166" s="3"/>
      <c r="B166" s="3" t="s">
        <v>681</v>
      </c>
      <c r="C166" s="14">
        <v>1228</v>
      </c>
      <c r="D166" s="14">
        <v>1261</v>
      </c>
      <c r="E166" s="14">
        <v>4899</v>
      </c>
      <c r="F166" s="14">
        <v>1212</v>
      </c>
      <c r="G166" s="14">
        <v>1249</v>
      </c>
      <c r="H166" s="4"/>
      <c r="I166" s="3"/>
      <c r="J166" s="3"/>
      <c r="K166" s="3"/>
    </row>
    <row r="167">
      <c r="A167" s="3"/>
      <c r="B167" s="3" t="s">
        <v>682</v>
      </c>
      <c r="C167" s="14">
        <v>610</v>
      </c>
      <c r="D167" s="14">
        <v>581</v>
      </c>
      <c r="E167" s="14">
        <v>2474</v>
      </c>
      <c r="F167" s="14">
        <v>603</v>
      </c>
      <c r="G167" s="14">
        <v>576</v>
      </c>
      <c r="H167" s="4"/>
      <c r="I167" s="3"/>
      <c r="J167" s="3"/>
      <c r="K167" s="3"/>
    </row>
    <row r="168">
      <c r="A168" s="3"/>
      <c r="B168" s="3" t="s">
        <v>683</v>
      </c>
      <c r="C168" s="14">
        <v>644</v>
      </c>
      <c r="D168" s="14">
        <v>619</v>
      </c>
      <c r="E168" s="14">
        <v>2520</v>
      </c>
      <c r="F168" s="14">
        <v>631</v>
      </c>
      <c r="G168" s="14">
        <v>642</v>
      </c>
      <c r="H168" s="4"/>
      <c r="I168" s="3"/>
      <c r="J168" s="3"/>
      <c r="K168" s="3"/>
    </row>
    <row r="169">
      <c r="A169" s="3"/>
      <c r="B169" s="3" t="s">
        <v>684</v>
      </c>
      <c r="C169" s="14">
        <v>602</v>
      </c>
      <c r="D169" s="14">
        <v>606</v>
      </c>
      <c r="E169" s="14">
        <v>2398</v>
      </c>
      <c r="F169" s="14">
        <v>610</v>
      </c>
      <c r="G169" s="14">
        <v>613</v>
      </c>
      <c r="H169" s="4"/>
      <c r="I169" s="3"/>
      <c r="J169" s="3"/>
      <c r="K169" s="3"/>
    </row>
    <row r="170">
      <c r="A170" s="3"/>
      <c r="B170" s="3" t="s">
        <v>685</v>
      </c>
      <c r="C170" s="14">
        <v>237</v>
      </c>
      <c r="D170" s="14">
        <v>248</v>
      </c>
      <c r="E170" s="14">
        <v>920</v>
      </c>
      <c r="F170" s="14">
        <v>241</v>
      </c>
      <c r="G170" s="14">
        <v>230</v>
      </c>
      <c r="H170" s="4"/>
      <c r="I170" s="3"/>
      <c r="J170" s="3"/>
      <c r="K170" s="3"/>
    </row>
    <row r="171">
      <c r="A171" s="3"/>
      <c r="B171" s="3" t="s">
        <v>686</v>
      </c>
      <c r="C171" s="14">
        <v>354</v>
      </c>
      <c r="D171" s="14">
        <v>281</v>
      </c>
      <c r="E171" s="14">
        <v>1326</v>
      </c>
      <c r="F171" s="14">
        <v>359</v>
      </c>
      <c r="G171" s="14">
        <v>319</v>
      </c>
      <c r="H171" s="4"/>
      <c r="I171" s="3"/>
      <c r="J171" s="3"/>
      <c r="K171" s="3"/>
    </row>
    <row r="172">
      <c r="A172" s="3"/>
      <c r="B172" s="15" t="s">
        <v>179</v>
      </c>
      <c r="C172" s="16">
        <f>SUM(C166:C171)</f>
        <v>3675</v>
      </c>
      <c r="D172" s="16">
        <f>SUM(D166:D171)</f>
        <v>3596</v>
      </c>
      <c r="E172" s="16">
        <f>SUM(E166:E171)</f>
        <v>14537</v>
      </c>
      <c r="F172" s="16">
        <f>SUM(F166:F171)</f>
        <v>3656</v>
      </c>
      <c r="G172" s="16">
        <f>SUM(G166:G171)</f>
        <v>3629</v>
      </c>
      <c r="H172" s="16"/>
      <c r="I172" s="3"/>
      <c r="J172" s="3"/>
      <c r="K172" s="3"/>
    </row>
    <row r="173">
      <c r="A173" s="3"/>
      <c r="B173" s="15" t="s">
        <v>687</v>
      </c>
      <c r="C173" s="16">
        <f>C127-C172</f>
        <v>2416</v>
      </c>
      <c r="D173" s="16">
        <f>D127-D172</f>
        <v>2525</v>
      </c>
      <c r="E173" s="16">
        <f>E127-E172</f>
        <v>9713</v>
      </c>
      <c r="F173" s="16">
        <f>F127-F172</f>
        <v>2371</v>
      </c>
      <c r="G173" s="16">
        <f>G127-G172</f>
        <v>2525</v>
      </c>
      <c r="H173" s="16"/>
      <c r="I173" s="3"/>
      <c r="J173" s="3"/>
      <c r="K173" s="3"/>
    </row>
    <row r="174">
      <c r="A174" s="3"/>
      <c r="B174" s="3" t="s">
        <v>188</v>
      </c>
      <c r="C174" s="14">
        <v>87</v>
      </c>
      <c r="D174" s="14">
        <v>68</v>
      </c>
      <c r="E174" s="14">
        <v>350</v>
      </c>
      <c r="F174" s="14">
        <v>78</v>
      </c>
      <c r="G174" s="14">
        <v>123</v>
      </c>
      <c r="H174" s="4"/>
      <c r="I174" s="3"/>
      <c r="J174" s="3"/>
      <c r="K174" s="3"/>
    </row>
    <row r="175">
      <c r="A175" s="3"/>
      <c r="B175" s="3" t="s">
        <v>189</v>
      </c>
      <c r="C175" s="14">
        <v>-314</v>
      </c>
      <c r="D175" s="14">
        <v>-312</v>
      </c>
      <c r="E175" s="14">
        <v>-1269</v>
      </c>
      <c r="F175" s="14">
        <v>-322</v>
      </c>
      <c r="G175" s="14">
        <v>-335</v>
      </c>
      <c r="H175" s="4"/>
      <c r="I175" s="3"/>
      <c r="J175" s="3"/>
      <c r="K175" s="3"/>
    </row>
    <row r="176">
      <c r="A176" s="3"/>
      <c r="B176" s="15" t="s">
        <v>190</v>
      </c>
      <c r="C176" s="16">
        <f>C173+C174+C175</f>
        <v>2189</v>
      </c>
      <c r="D176" s="16">
        <f>D173+D174+D175</f>
        <v>2281</v>
      </c>
      <c r="E176" s="16">
        <f>E173+E174+E175</f>
        <v>8794</v>
      </c>
      <c r="F176" s="16">
        <f>F173+F174+F175</f>
        <v>2127</v>
      </c>
      <c r="G176" s="16">
        <f>G173+G174+G175</f>
        <v>2313</v>
      </c>
      <c r="H176" s="16"/>
      <c r="I176" s="3"/>
      <c r="J176" s="3"/>
      <c r="K176" s="3"/>
    </row>
    <row r="177">
      <c r="A177" s="3"/>
      <c r="B177" s="3" t="s">
        <v>191</v>
      </c>
      <c r="C177" s="14">
        <v>-518</v>
      </c>
      <c r="D177" s="14">
        <v>-519</v>
      </c>
      <c r="E177" s="14">
        <v>-2047</v>
      </c>
      <c r="F177" s="14">
        <v>-501</v>
      </c>
      <c r="G177" s="14">
        <v>-437</v>
      </c>
      <c r="H177" s="4"/>
      <c r="I177" s="3"/>
      <c r="J177" s="3"/>
      <c r="K177" s="3"/>
    </row>
    <row r="178">
      <c r="A178" s="3"/>
      <c r="B178" s="15" t="s">
        <v>688</v>
      </c>
      <c r="C178" s="16">
        <f>C176+C177</f>
        <v>1671</v>
      </c>
      <c r="D178" s="16">
        <f>D176+D177</f>
        <v>1762</v>
      </c>
      <c r="E178" s="16">
        <f>E176+E177</f>
        <v>6747</v>
      </c>
      <c r="F178" s="16">
        <f>F176+F177</f>
        <v>1626</v>
      </c>
      <c r="G178" s="16">
        <f>G176+G177</f>
        <v>1876</v>
      </c>
      <c r="H178" s="16"/>
      <c r="I178" s="3"/>
      <c r="J178" s="3"/>
      <c r="K178" s="3"/>
    </row>
    <row r="179">
      <c r="A179" s="3"/>
      <c r="B179" s="3" t="s">
        <v>689</v>
      </c>
      <c r="C179" s="75">
        <v>2.75</v>
      </c>
      <c r="D179" s="75">
        <v>2.91</v>
      </c>
      <c r="E179" s="75">
        <v>11.09</v>
      </c>
      <c r="F179" s="40">
        <f>G102</f>
        <v>2.7</v>
      </c>
      <c r="G179" s="40">
        <f>G103</f>
        <v>3.15</v>
      </c>
      <c r="H179" s="40"/>
      <c r="I179" s="3" t="s">
        <v>690</v>
      </c>
      <c r="J179" s="3"/>
      <c r="K179" s="3"/>
    </row>
    <row r="180">
      <c r="A180" s="3"/>
      <c r="B180" s="3" t="s">
        <v>691</v>
      </c>
      <c r="C180" s="75">
        <v>2.75</v>
      </c>
      <c r="D180" s="75">
        <v>2.96</v>
      </c>
      <c r="E180" s="75">
        <v>11.11</v>
      </c>
      <c r="F180" s="40">
        <f>E102</f>
        <v>2.7</v>
      </c>
      <c r="G180" s="40">
        <f>E103</f>
        <v>3.03</v>
      </c>
      <c r="H180" s="40"/>
      <c r="I180" s="3"/>
      <c r="J180" s="3"/>
      <c r="K180" s="3"/>
    </row>
    <row r="181">
      <c r="A181" s="3"/>
      <c r="B181" s="3" t="s">
        <v>204</v>
      </c>
      <c r="C181" s="75">
        <v>1.34</v>
      </c>
      <c r="D181" s="75">
        <v>1.34</v>
      </c>
      <c r="E181" s="75">
        <v>5.28</v>
      </c>
      <c r="F181" s="75">
        <v>1.34</v>
      </c>
      <c r="G181" s="75">
        <v>1.34</v>
      </c>
      <c r="H181" s="40"/>
      <c r="I181" s="3"/>
      <c r="J181" s="3"/>
      <c r="K181" s="3"/>
    </row>
    <row r="182">
      <c r="A182" s="3"/>
      <c r="B182" s="3" t="s">
        <v>197</v>
      </c>
      <c r="C182" s="14">
        <v>607.6</v>
      </c>
      <c r="D182" s="14">
        <v>604.2</v>
      </c>
      <c r="E182" s="14">
        <v>607.6</v>
      </c>
      <c r="F182" s="14">
        <v>601</v>
      </c>
      <c r="G182" s="14">
        <v>594.1</v>
      </c>
      <c r="H182" s="4"/>
      <c r="I182" s="3"/>
      <c r="J182" s="3"/>
      <c r="K182" s="3"/>
    </row>
    <row r="183">
      <c r="A183" s="3"/>
      <c r="B183" s="3" t="s">
        <v>198</v>
      </c>
      <c r="C183" s="14">
        <v>608.6</v>
      </c>
      <c r="D183" s="14">
        <v>605.2</v>
      </c>
      <c r="E183" s="14">
        <v>608.6</v>
      </c>
      <c r="F183" s="14">
        <v>601.9</v>
      </c>
      <c r="G183" s="14">
        <v>594.8</v>
      </c>
      <c r="H183" s="4"/>
      <c r="I183" s="3"/>
      <c r="J183" s="3"/>
      <c r="K183" s="3"/>
    </row>
    <row r="184">
      <c r="A184" s="3"/>
      <c r="B184" s="15" t="s">
        <v>692</v>
      </c>
      <c r="C184" s="12"/>
      <c r="D184" s="12"/>
      <c r="E184" s="12"/>
      <c r="F184" s="12"/>
      <c r="G184" s="12"/>
      <c r="H184" s="12"/>
      <c r="I184" s="3"/>
      <c r="J184" s="3"/>
      <c r="K184" s="3"/>
    </row>
    <row r="185">
      <c r="A185" s="3"/>
      <c r="B185" s="3" t="s">
        <v>228</v>
      </c>
      <c r="C185" s="79">
        <v>29946</v>
      </c>
      <c r="D185" s="79">
        <v>29789</v>
      </c>
      <c r="E185" s="79">
        <v>30336</v>
      </c>
      <c r="F185" s="79">
        <v>30146</v>
      </c>
      <c r="G185" s="79">
        <v>29711</v>
      </c>
      <c r="H185" s="76"/>
      <c r="I185" s="3"/>
      <c r="J185" s="3"/>
      <c r="K185" s="3"/>
    </row>
    <row r="186">
      <c r="A186" s="3"/>
      <c r="B186" s="3" t="s">
        <v>235</v>
      </c>
      <c r="C186" s="79">
        <v>215993</v>
      </c>
      <c r="D186" s="79">
        <v>218558</v>
      </c>
      <c r="E186" s="79">
        <v>847386</v>
      </c>
      <c r="F186" s="79">
        <v>212792</v>
      </c>
      <c r="G186" s="79">
        <v>220258</v>
      </c>
      <c r="H186" s="76"/>
      <c r="I186" s="3"/>
      <c r="J186" s="3"/>
      <c r="K186" s="3"/>
    </row>
    <row r="187">
      <c r="A187" s="3"/>
      <c r="B187" s="3" t="s">
        <v>238</v>
      </c>
      <c r="C187" s="78">
        <v>1.058</v>
      </c>
      <c r="D187" s="78">
        <v>1.078</v>
      </c>
      <c r="E187" s="78">
        <v>1.082</v>
      </c>
      <c r="F187" s="78">
        <v>1.107</v>
      </c>
      <c r="G187" s="78">
        <v>1.058</v>
      </c>
      <c r="H187" s="81"/>
      <c r="I187" s="3"/>
      <c r="J187" s="3"/>
      <c r="K187" s="3"/>
    </row>
    <row r="188">
      <c r="A188" s="3"/>
      <c r="B188" s="3" t="s">
        <v>240</v>
      </c>
      <c r="C188" s="14">
        <v>229</v>
      </c>
      <c r="D188" s="14">
        <v>236</v>
      </c>
      <c r="E188" s="14">
        <v>917</v>
      </c>
      <c r="F188" s="14">
        <v>236</v>
      </c>
      <c r="G188" s="14">
        <v>232</v>
      </c>
      <c r="H188" s="4"/>
      <c r="I188" s="3"/>
      <c r="J188" s="3"/>
      <c r="K188" s="3"/>
    </row>
    <row r="189">
      <c r="A189" s="3"/>
      <c r="B189" s="3" t="s">
        <v>693</v>
      </c>
      <c r="C189" s="75">
        <v>2.6</v>
      </c>
      <c r="D189" s="75">
        <v>2.41</v>
      </c>
      <c r="E189" s="75">
        <v>2.64</v>
      </c>
      <c r="F189" s="75">
        <v>2.51</v>
      </c>
      <c r="G189" s="75">
        <v>2.42</v>
      </c>
      <c r="H189" s="40"/>
      <c r="I189" s="3"/>
      <c r="J189" s="3"/>
      <c r="K189" s="3"/>
    </row>
    <row r="190">
      <c r="A190" s="3"/>
      <c r="B190" s="3"/>
      <c r="C190" s="12"/>
      <c r="D190" s="12"/>
      <c r="E190" s="12"/>
      <c r="F190" s="12"/>
      <c r="G190" s="12"/>
      <c r="H190" s="12"/>
      <c r="I190" s="3"/>
      <c r="J190" s="3"/>
      <c r="K190" s="3"/>
    </row>
    <row r="191">
      <c r="A191" s="3"/>
      <c r="B191" s="50" t="s">
        <v>694</v>
      </c>
      <c r="C191" s="12"/>
      <c r="D191" s="12"/>
      <c r="E191" s="12"/>
      <c r="F191" s="12"/>
      <c r="G191" s="12"/>
      <c r="H191" s="12"/>
      <c r="I191" s="3"/>
      <c r="J191" s="3"/>
      <c r="K191" s="3"/>
    </row>
    <row r="192">
      <c r="A192" s="3"/>
      <c r="B192" s="44" t="s">
        <v>695</v>
      </c>
      <c r="C192" s="20" t="s">
        <v>696</v>
      </c>
      <c r="D192" s="20" t="s">
        <v>697</v>
      </c>
      <c r="E192" s="20" t="s">
        <v>698</v>
      </c>
      <c r="F192" s="20" t="s">
        <v>699</v>
      </c>
      <c r="G192" s="20" t="s">
        <v>700</v>
      </c>
      <c r="H192" s="12"/>
      <c r="I192" s="3"/>
      <c r="J192" s="3"/>
      <c r="K192" s="3"/>
    </row>
    <row r="193">
      <c r="A193" s="3"/>
      <c r="B193" s="3" t="s">
        <v>688</v>
      </c>
      <c r="C193" s="14">
        <v>3502</v>
      </c>
      <c r="D193" s="14">
        <v>5290</v>
      </c>
      <c r="E193" s="14">
        <v>7138</v>
      </c>
      <c r="F193" s="14">
        <v>1701</v>
      </c>
      <c r="G193" s="14">
        <v>3694</v>
      </c>
      <c r="H193" s="4"/>
      <c r="I193" s="3"/>
      <c r="J193" s="3"/>
      <c r="K193" s="3"/>
    </row>
    <row r="194">
      <c r="A194" s="3"/>
      <c r="B194" s="3" t="s">
        <v>684</v>
      </c>
      <c r="C194" s="14">
        <v>1223</v>
      </c>
      <c r="D194" s="14">
        <v>1841</v>
      </c>
      <c r="E194" s="14">
        <v>2465</v>
      </c>
      <c r="F194" s="14">
        <v>633</v>
      </c>
      <c r="G194" s="14">
        <v>1271</v>
      </c>
      <c r="H194" s="4"/>
      <c r="I194" s="3"/>
      <c r="J194" s="3"/>
      <c r="K194" s="3"/>
    </row>
    <row r="195">
      <c r="A195" s="3"/>
      <c r="B195" s="3" t="s">
        <v>701</v>
      </c>
      <c r="C195" s="14">
        <v>-123</v>
      </c>
      <c r="D195" s="14">
        <v>172</v>
      </c>
      <c r="E195" s="14">
        <v>241</v>
      </c>
      <c r="F195" s="14">
        <v>54</v>
      </c>
      <c r="G195" s="14">
        <v>93</v>
      </c>
      <c r="H195" s="4"/>
      <c r="I195" s="3"/>
      <c r="J195" s="3"/>
      <c r="K195" s="3"/>
    </row>
    <row r="196">
      <c r="A196" s="3"/>
      <c r="B196" s="3" t="s">
        <v>702</v>
      </c>
      <c r="C196" s="14">
        <v>-59</v>
      </c>
      <c r="D196" s="14">
        <v>-238</v>
      </c>
      <c r="E196" s="14">
        <v>-554</v>
      </c>
      <c r="F196" s="14">
        <v>52</v>
      </c>
      <c r="G196" s="14">
        <v>458</v>
      </c>
      <c r="H196" s="4"/>
      <c r="I196" s="3"/>
      <c r="J196" s="3"/>
      <c r="K196" s="3"/>
    </row>
    <row r="197">
      <c r="A197" s="3"/>
      <c r="B197" s="3" t="s">
        <v>298</v>
      </c>
      <c r="C197" s="14">
        <v>4543</v>
      </c>
      <c r="D197" s="14">
        <v>7065</v>
      </c>
      <c r="E197" s="14">
        <v>9290</v>
      </c>
      <c r="F197" s="14">
        <v>2440</v>
      </c>
      <c r="G197" s="14">
        <v>5516</v>
      </c>
      <c r="H197" s="4"/>
      <c r="I197" s="3"/>
      <c r="J197" s="3"/>
      <c r="K197" s="3"/>
    </row>
    <row r="198">
      <c r="A198" s="3"/>
      <c r="B198" s="3" t="s">
        <v>703</v>
      </c>
      <c r="C198" s="14">
        <v>-1842</v>
      </c>
      <c r="D198" s="14">
        <v>-2792</v>
      </c>
      <c r="E198" s="14">
        <v>-3791</v>
      </c>
      <c r="F198" s="14">
        <v>-937</v>
      </c>
      <c r="G198" s="14">
        <v>-1810</v>
      </c>
      <c r="H198" s="4"/>
      <c r="I198" s="3"/>
      <c r="J198" s="3"/>
      <c r="K198" s="3"/>
    </row>
    <row r="199">
      <c r="A199" s="3"/>
      <c r="B199" s="3" t="s">
        <v>704</v>
      </c>
      <c r="C199" s="14">
        <v>3</v>
      </c>
      <c r="D199" s="14">
        <v>1</v>
      </c>
      <c r="E199" s="14">
        <v>29</v>
      </c>
      <c r="F199" s="14">
        <v>-51</v>
      </c>
      <c r="G199" s="14">
        <v>-254</v>
      </c>
      <c r="H199" s="4"/>
      <c r="I199" s="3"/>
      <c r="J199" s="3"/>
      <c r="K199" s="3"/>
    </row>
    <row r="200">
      <c r="A200" s="3"/>
      <c r="B200" s="3" t="s">
        <v>308</v>
      </c>
      <c r="C200" s="14">
        <v>-1839</v>
      </c>
      <c r="D200" s="14">
        <v>-2791</v>
      </c>
      <c r="E200" s="14">
        <v>-3762</v>
      </c>
      <c r="F200" s="14">
        <v>-988</v>
      </c>
      <c r="G200" s="14">
        <v>-2064</v>
      </c>
      <c r="H200" s="4"/>
      <c r="I200" s="3"/>
      <c r="J200" s="3"/>
      <c r="K200" s="3"/>
    </row>
    <row r="201">
      <c r="A201" s="3"/>
      <c r="B201" s="3" t="s">
        <v>705</v>
      </c>
      <c r="C201" s="14">
        <v>-1599</v>
      </c>
      <c r="D201" s="14">
        <v>-2418</v>
      </c>
      <c r="E201" s="14">
        <v>-3236</v>
      </c>
      <c r="F201" s="14">
        <v>-821</v>
      </c>
      <c r="G201" s="14">
        <v>-1640</v>
      </c>
      <c r="H201" s="4"/>
      <c r="I201" s="3"/>
      <c r="J201" s="3"/>
      <c r="K201" s="3"/>
    </row>
    <row r="202">
      <c r="A202" s="3"/>
      <c r="B202" s="3" t="s">
        <v>706</v>
      </c>
      <c r="C202" s="14">
        <v>-2679</v>
      </c>
      <c r="D202" s="14">
        <v>-2679</v>
      </c>
      <c r="E202" s="14">
        <v>-2679</v>
      </c>
      <c r="F202" s="14">
        <v>0</v>
      </c>
      <c r="G202" s="14">
        <v>-26</v>
      </c>
      <c r="H202" s="4"/>
      <c r="I202" s="3"/>
      <c r="J202" s="3"/>
      <c r="K202" s="3"/>
    </row>
    <row r="203">
      <c r="A203" s="3"/>
      <c r="B203" s="3" t="s">
        <v>707</v>
      </c>
      <c r="C203" s="14">
        <v>1995</v>
      </c>
      <c r="D203" s="14">
        <v>1995</v>
      </c>
      <c r="E203" s="14">
        <v>1995</v>
      </c>
      <c r="F203" s="14">
        <v>0</v>
      </c>
      <c r="G203" s="14">
        <v>0</v>
      </c>
      <c r="H203" s="4"/>
      <c r="I203" s="3"/>
      <c r="J203" s="3"/>
      <c r="K203" s="3"/>
    </row>
    <row r="204">
      <c r="A204" s="3"/>
      <c r="B204" s="3" t="s">
        <v>708</v>
      </c>
      <c r="C204" s="14">
        <v>-409</v>
      </c>
      <c r="D204" s="14">
        <v>-1424</v>
      </c>
      <c r="E204" s="14">
        <v>-1428</v>
      </c>
      <c r="F204" s="14">
        <v>-1172</v>
      </c>
      <c r="G204" s="14">
        <v>-1506</v>
      </c>
      <c r="H204" s="4"/>
      <c r="I204" s="3"/>
      <c r="J204" s="3"/>
      <c r="K204" s="3"/>
    </row>
    <row r="205">
      <c r="A205" s="3"/>
      <c r="B205" s="3" t="s">
        <v>709</v>
      </c>
      <c r="C205" s="14">
        <v>43</v>
      </c>
      <c r="D205" s="14">
        <v>54</v>
      </c>
      <c r="E205" s="14">
        <v>72</v>
      </c>
      <c r="F205" s="14">
        <v>12</v>
      </c>
      <c r="G205" s="14">
        <v>63</v>
      </c>
      <c r="H205" s="4"/>
      <c r="I205" s="3"/>
      <c r="J205" s="3"/>
      <c r="K205" s="3"/>
    </row>
    <row r="206">
      <c r="A206" s="3"/>
      <c r="B206" s="3" t="s">
        <v>314</v>
      </c>
      <c r="C206" s="14">
        <v>-2649</v>
      </c>
      <c r="D206" s="14">
        <v>-4472</v>
      </c>
      <c r="E206" s="14">
        <v>-5276</v>
      </c>
      <c r="F206" s="14">
        <v>-1981</v>
      </c>
      <c r="G206" s="14">
        <v>-3109</v>
      </c>
      <c r="H206" s="4"/>
      <c r="I206" s="3"/>
      <c r="J206" s="3"/>
      <c r="K206" s="3"/>
    </row>
    <row r="207">
      <c r="A207" s="3"/>
      <c r="B207" s="3" t="s">
        <v>315</v>
      </c>
      <c r="C207" s="14">
        <v>55</v>
      </c>
      <c r="D207" s="14">
        <v>-198</v>
      </c>
      <c r="E207" s="14">
        <v>252</v>
      </c>
      <c r="F207" s="14">
        <v>-529</v>
      </c>
      <c r="G207" s="14">
        <v>343</v>
      </c>
      <c r="H207" s="4"/>
      <c r="I207" s="3"/>
      <c r="J207" s="3"/>
      <c r="K207" s="3"/>
    </row>
    <row r="208">
      <c r="A208" s="3"/>
      <c r="B208" s="3" t="s">
        <v>316</v>
      </c>
      <c r="C208" s="14">
        <v>1028</v>
      </c>
      <c r="D208" s="14">
        <v>1028</v>
      </c>
      <c r="E208" s="14">
        <v>1028</v>
      </c>
      <c r="F208" s="14">
        <v>1280</v>
      </c>
      <c r="G208" s="14">
        <v>1280</v>
      </c>
      <c r="H208" s="4"/>
      <c r="I208" s="3"/>
      <c r="J208" s="3"/>
      <c r="K208" s="3"/>
    </row>
    <row r="209">
      <c r="A209" s="3"/>
      <c r="B209" s="3" t="s">
        <v>317</v>
      </c>
      <c r="C209" s="14">
        <v>1083</v>
      </c>
      <c r="D209" s="14">
        <v>830</v>
      </c>
      <c r="E209" s="14">
        <v>1280</v>
      </c>
      <c r="F209" s="14">
        <v>751</v>
      </c>
      <c r="G209" s="14">
        <v>1623</v>
      </c>
      <c r="H209" s="4"/>
      <c r="I209" s="3"/>
      <c r="J209" s="3"/>
      <c r="K209" s="3"/>
    </row>
    <row r="210">
      <c r="A210" s="3"/>
      <c r="B210" s="3"/>
      <c r="C210" s="12"/>
      <c r="D210" s="12"/>
      <c r="E210" s="12"/>
      <c r="F210" s="12"/>
      <c r="G210" s="12"/>
      <c r="H210" s="12"/>
      <c r="I210" s="3"/>
      <c r="J210" s="3"/>
      <c r="K210" s="3"/>
    </row>
    <row r="211">
      <c r="A211" s="3"/>
      <c r="B211" s="50" t="s">
        <v>710</v>
      </c>
      <c r="C211" s="12"/>
      <c r="D211" s="12"/>
      <c r="E211" s="12"/>
      <c r="F211" s="12"/>
      <c r="G211" s="12"/>
      <c r="H211" s="12"/>
      <c r="I211" s="3"/>
      <c r="J211" s="3"/>
      <c r="K211" s="3"/>
    </row>
    <row r="212">
      <c r="A212" s="3"/>
      <c r="B212" s="44" t="s">
        <v>695</v>
      </c>
      <c r="C212" s="20" t="s">
        <v>697</v>
      </c>
      <c r="D212" s="20" t="s">
        <v>698</v>
      </c>
      <c r="E212" s="12"/>
      <c r="F212" s="12"/>
      <c r="G212" s="12"/>
      <c r="H212" s="12"/>
      <c r="I212" s="3"/>
      <c r="J212" s="3"/>
      <c r="K212" s="3"/>
    </row>
    <row r="213">
      <c r="A213" s="3"/>
      <c r="B213" s="3" t="s">
        <v>711</v>
      </c>
      <c r="C213" s="14">
        <v>240</v>
      </c>
      <c r="D213" s="14">
        <v>558</v>
      </c>
      <c r="E213" s="4"/>
      <c r="F213" s="4"/>
      <c r="G213" s="4"/>
      <c r="H213" s="4"/>
      <c r="I213" s="3"/>
      <c r="J213" s="3"/>
      <c r="K213" s="3"/>
    </row>
    <row r="214">
      <c r="A214" s="3"/>
      <c r="B214" s="3" t="s">
        <v>712</v>
      </c>
      <c r="C214" s="14">
        <v>42</v>
      </c>
      <c r="D214" s="14">
        <v>56</v>
      </c>
      <c r="E214" s="4"/>
      <c r="F214" s="4"/>
      <c r="G214" s="4"/>
      <c r="H214" s="4"/>
      <c r="I214" s="3"/>
      <c r="J214" s="3"/>
      <c r="K214" s="3"/>
    </row>
    <row r="215">
      <c r="A215" s="3"/>
      <c r="B215" s="3" t="s">
        <v>713</v>
      </c>
      <c r="C215" s="14">
        <v>40</v>
      </c>
      <c r="D215" s="14">
        <v>55</v>
      </c>
      <c r="E215" s="4"/>
      <c r="F215" s="4"/>
      <c r="G215" s="4"/>
      <c r="H215" s="4"/>
      <c r="I215" s="3"/>
      <c r="J215" s="3"/>
      <c r="K215" s="3"/>
    </row>
    <row r="216">
      <c r="A216" s="3"/>
      <c r="B216" s="3" t="s">
        <v>714</v>
      </c>
      <c r="C216" s="14">
        <v>-18</v>
      </c>
      <c r="D216" s="14">
        <v>-32</v>
      </c>
      <c r="E216" s="4"/>
      <c r="F216" s="4"/>
      <c r="G216" s="4"/>
      <c r="H216" s="4"/>
      <c r="I216" s="3"/>
      <c r="J216" s="3"/>
      <c r="K216" s="3"/>
    </row>
    <row r="217">
      <c r="A217" s="3"/>
      <c r="B217" s="3" t="s">
        <v>686</v>
      </c>
      <c r="C217" s="14">
        <v>-7</v>
      </c>
      <c r="D217" s="14">
        <v>-8</v>
      </c>
      <c r="E217" s="4"/>
      <c r="F217" s="4"/>
      <c r="G217" s="4"/>
      <c r="H217" s="4"/>
      <c r="I217" s="3"/>
      <c r="J217" s="3"/>
      <c r="K217" s="3"/>
    </row>
    <row r="218">
      <c r="A218" s="3"/>
      <c r="B218" s="3"/>
      <c r="C218" s="12"/>
      <c r="D218" s="12"/>
      <c r="E218" s="12"/>
      <c r="F218" s="12"/>
      <c r="G218" s="12"/>
      <c r="H218" s="12"/>
      <c r="I218" s="3"/>
      <c r="J218" s="3"/>
      <c r="K218" s="3"/>
    </row>
    <row r="219">
      <c r="A219" s="3"/>
      <c r="B219" s="50" t="s">
        <v>715</v>
      </c>
      <c r="C219" s="12"/>
      <c r="D219" s="12"/>
      <c r="E219" s="12"/>
      <c r="F219" s="12"/>
      <c r="G219" s="12"/>
      <c r="H219" s="12"/>
      <c r="I219" s="3"/>
      <c r="J219" s="3"/>
      <c r="K219" s="3"/>
    </row>
    <row r="220">
      <c r="A220" s="3"/>
      <c r="B220" s="3" t="s">
        <v>716</v>
      </c>
      <c r="C220" s="40"/>
      <c r="D220" s="40"/>
      <c r="E220" s="40"/>
      <c r="F220" s="40"/>
      <c r="G220" s="40"/>
      <c r="H220" s="72">
        <f>C94</f>
        <v>289.04</v>
      </c>
      <c r="I220" s="3"/>
      <c r="J220" s="3"/>
      <c r="K220" s="3"/>
    </row>
    <row r="221">
      <c r="A221" s="3"/>
      <c r="B221" s="3" t="s">
        <v>717</v>
      </c>
      <c r="C221" s="4"/>
      <c r="D221" s="4"/>
      <c r="E221" s="4"/>
      <c r="F221" s="4"/>
      <c r="G221" s="4"/>
      <c r="H221" s="22">
        <f>'Share Count'!G20</f>
        <v>594.075498</v>
      </c>
      <c r="I221" s="3"/>
      <c r="J221" s="3"/>
      <c r="K221" s="3"/>
    </row>
    <row r="222">
      <c r="A222" s="3"/>
      <c r="B222" s="3" t="s">
        <v>718</v>
      </c>
      <c r="C222" s="4"/>
      <c r="D222" s="4"/>
      <c r="E222" s="4"/>
      <c r="F222" s="4"/>
      <c r="G222" s="4"/>
      <c r="H222" s="13">
        <f>H220*H221/1000</f>
        <v>171.71158194192</v>
      </c>
      <c r="I222" s="3"/>
      <c r="J222" s="3"/>
      <c r="K222" s="3"/>
    </row>
    <row r="223">
      <c r="A223" s="3"/>
      <c r="B223" s="3" t="s">
        <v>719</v>
      </c>
      <c r="C223" s="4"/>
      <c r="D223" s="4"/>
      <c r="E223" s="4"/>
      <c r="F223" s="4"/>
      <c r="G223" s="4"/>
      <c r="H223" s="27">
        <v>171.68</v>
      </c>
      <c r="I223" s="3"/>
      <c r="J223" s="3"/>
      <c r="K223" s="3"/>
    </row>
    <row r="224">
      <c r="A224" s="3"/>
      <c r="B224" s="3" t="s">
        <v>720</v>
      </c>
      <c r="C224" s="4"/>
      <c r="D224" s="4"/>
      <c r="E224" s="4"/>
      <c r="F224" s="4"/>
      <c r="G224" s="4"/>
      <c r="H224" s="27">
        <v>10</v>
      </c>
      <c r="I224" s="3"/>
      <c r="J224" s="3"/>
      <c r="K224" s="3"/>
    </row>
    <row r="225">
      <c r="A225" s="3"/>
      <c r="B225" s="3" t="s">
        <v>721</v>
      </c>
      <c r="C225" s="4"/>
      <c r="D225" s="4"/>
      <c r="E225" s="4"/>
      <c r="F225" s="4"/>
      <c r="G225" s="4"/>
      <c r="H225" s="27">
        <v>2</v>
      </c>
      <c r="I225" s="3"/>
      <c r="J225" s="3"/>
      <c r="K225" s="3"/>
    </row>
    <row r="226">
      <c r="A226" s="3"/>
      <c r="B226" s="3" t="s">
        <v>722</v>
      </c>
      <c r="C226" s="91"/>
      <c r="D226" s="91"/>
      <c r="E226" s="91"/>
      <c r="F226" s="91"/>
      <c r="G226" s="91"/>
      <c r="H226" s="96" t="str">
        <f>IF(H222&gt;H224,"large",IF(H222&gt;H225,"mid","small"))</f>
        <v>large</v>
      </c>
      <c r="I226" s="3"/>
      <c r="J226" s="3"/>
      <c r="K226" s="3"/>
    </row>
    <row r="227">
      <c r="A227" s="3"/>
      <c r="B227" s="3" t="s">
        <v>723</v>
      </c>
      <c r="C227" s="91"/>
      <c r="D227" s="91"/>
      <c r="E227" s="91"/>
      <c r="F227" s="91"/>
      <c r="G227" s="91"/>
      <c r="H227" s="88" t="s">
        <v>398</v>
      </c>
      <c r="I227" s="3"/>
      <c r="J227" s="3"/>
      <c r="K227" s="3"/>
    </row>
    <row r="228">
      <c r="A228" s="3"/>
      <c r="B228" s="31" t="s">
        <v>724</v>
      </c>
      <c r="C228" s="48"/>
      <c r="D228" s="48"/>
      <c r="E228" s="48"/>
      <c r="F228" s="48"/>
      <c r="G228" s="48"/>
      <c r="H228" s="80">
        <v>0.78</v>
      </c>
      <c r="I228" s="3"/>
      <c r="J228" s="3"/>
      <c r="K228" s="3"/>
    </row>
    <row r="229">
      <c r="A229" s="3"/>
      <c r="B229" s="31" t="s">
        <v>725</v>
      </c>
      <c r="C229" s="48"/>
      <c r="D229" s="48"/>
      <c r="E229" s="48"/>
      <c r="F229" s="48"/>
      <c r="G229" s="48"/>
      <c r="H229" s="80">
        <v>0.7</v>
      </c>
      <c r="I229" s="3"/>
      <c r="J229" s="3"/>
      <c r="K229" s="3"/>
    </row>
    <row r="230">
      <c r="A230" s="3"/>
      <c r="B230" s="31" t="s">
        <v>726</v>
      </c>
      <c r="C230" s="48"/>
      <c r="D230" s="48"/>
      <c r="E230" s="48"/>
      <c r="F230" s="48"/>
      <c r="G230" s="48"/>
      <c r="H230" s="80">
        <v>0.6</v>
      </c>
      <c r="I230" s="3"/>
      <c r="J230" s="3"/>
      <c r="K230" s="3"/>
    </row>
    <row r="231">
      <c r="A231" s="3"/>
      <c r="B231" s="31" t="s">
        <v>727</v>
      </c>
      <c r="C231" s="48"/>
      <c r="D231" s="48"/>
      <c r="E231" s="48"/>
      <c r="F231" s="48"/>
      <c r="G231" s="48"/>
      <c r="H231" s="36">
        <f>IF(OR(H226="large",H227="Yes"),H228,IF(H226="mid",H229,H230))</f>
        <v>0.78</v>
      </c>
      <c r="I231" s="3"/>
      <c r="J231" s="3"/>
      <c r="K231" s="3"/>
    </row>
    <row r="232">
      <c r="A232" s="3"/>
      <c r="B232" s="3" t="s">
        <v>728</v>
      </c>
      <c r="C232" s="76"/>
      <c r="D232" s="76"/>
      <c r="E232" s="76"/>
      <c r="F232" s="76"/>
      <c r="G232" s="76"/>
      <c r="H232" s="74">
        <f>SUMPRODUCT(--(K102:K107))</f>
        <v>4</v>
      </c>
      <c r="I232" s="3"/>
      <c r="J232" s="3"/>
      <c r="K232" s="3"/>
    </row>
    <row r="233">
      <c r="A233" s="3"/>
      <c r="B233" s="3" t="s">
        <v>729</v>
      </c>
      <c r="C233" s="76"/>
      <c r="D233" s="76"/>
      <c r="E233" s="76"/>
      <c r="F233" s="76"/>
      <c r="G233" s="76"/>
      <c r="H233" s="74">
        <f>COUNT(E102:E107)</f>
        <v>6</v>
      </c>
      <c r="I233" s="3"/>
      <c r="J233" s="3"/>
      <c r="K233" s="3"/>
    </row>
    <row r="234">
      <c r="A234" s="3"/>
      <c r="B234" s="3" t="s">
        <v>730</v>
      </c>
      <c r="C234" s="76"/>
      <c r="D234" s="76"/>
      <c r="E234" s="76"/>
      <c r="F234" s="76"/>
      <c r="G234" s="76"/>
      <c r="H234" s="90">
        <v>8</v>
      </c>
      <c r="I234" s="3"/>
      <c r="J234" s="3"/>
      <c r="K234" s="3"/>
    </row>
    <row r="235">
      <c r="A235" s="3"/>
      <c r="B235" s="31" t="s">
        <v>731</v>
      </c>
      <c r="C235" s="48"/>
      <c r="D235" s="48"/>
      <c r="E235" s="48"/>
      <c r="F235" s="48"/>
      <c r="G235" s="48"/>
      <c r="H235" s="36">
        <f>(H234*H231+H232)/(H234+H233)</f>
        <v>0.7314285714285714</v>
      </c>
      <c r="I235" s="3"/>
      <c r="J235" s="3"/>
      <c r="K235" s="3"/>
    </row>
    <row r="236">
      <c r="A236" s="3"/>
      <c r="B236" s="3" t="s">
        <v>732</v>
      </c>
      <c r="C236" s="40"/>
      <c r="D236" s="40"/>
      <c r="E236" s="40"/>
      <c r="F236" s="40"/>
      <c r="G236" s="40"/>
      <c r="H236" s="72">
        <f>AVERAGE(J102:J107)</f>
        <v>0.06666666666666665</v>
      </c>
      <c r="I236" s="3"/>
      <c r="J236" s="3"/>
      <c r="K236" s="3"/>
    </row>
    <row r="237">
      <c r="A237" s="3"/>
      <c r="B237" s="31" t="s">
        <v>733</v>
      </c>
      <c r="C237" s="48"/>
      <c r="D237" s="48"/>
      <c r="E237" s="48"/>
      <c r="F237" s="48"/>
      <c r="G237" s="48"/>
      <c r="H237" s="80">
        <v>-0.03</v>
      </c>
      <c r="I237" s="3" t="s">
        <v>734</v>
      </c>
      <c r="J237" s="3"/>
      <c r="K237" s="3"/>
    </row>
    <row r="238">
      <c r="A238" s="3"/>
      <c r="B238" s="56" t="s">
        <v>735</v>
      </c>
      <c r="C238" s="89"/>
      <c r="D238" s="89"/>
      <c r="E238" s="89"/>
      <c r="F238" s="89"/>
      <c r="G238" s="89"/>
      <c r="H238" s="98">
        <f>ROUND(H235+H237,2)</f>
        <v>0.7</v>
      </c>
      <c r="I238" s="3"/>
      <c r="J238" s="3"/>
      <c r="K238" s="3"/>
    </row>
    <row r="239">
      <c r="A239" s="3"/>
      <c r="B239" s="3" t="s">
        <v>32</v>
      </c>
      <c r="C239" s="91"/>
      <c r="D239" s="91"/>
      <c r="E239" s="91"/>
      <c r="F239" s="91"/>
      <c r="G239" s="91"/>
      <c r="H239" s="88" t="s">
        <v>736</v>
      </c>
      <c r="I239" s="3"/>
      <c r="J239" s="3"/>
      <c r="K239" s="3"/>
    </row>
    <row r="240">
      <c r="A240" s="3"/>
      <c r="B240" s="3"/>
      <c r="C240" s="12"/>
      <c r="D240" s="12"/>
      <c r="E240" s="12"/>
      <c r="F240" s="12"/>
      <c r="G240" s="12"/>
      <c r="H240" s="12"/>
      <c r="I240" s="3"/>
      <c r="J240" s="3"/>
      <c r="K240" s="3"/>
    </row>
    <row r="241">
      <c r="A241" s="3"/>
      <c r="B241" s="3"/>
      <c r="C241" s="12"/>
      <c r="D241" s="12"/>
      <c r="E241" s="12"/>
      <c r="F241" s="12"/>
      <c r="G241" s="12"/>
      <c r="H241" s="12"/>
      <c r="I241" s="3"/>
      <c r="J241" s="3"/>
      <c r="K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</sheetData>
  <legacyDrawing r:id="rId2"/>
</worksheet>
</file>