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worksheets/sheet7.xml" ContentType="application/vnd.openxmlformats-officedocument.spreadsheetml.worksheet+xml"/>
  <Override PartName="/xl/comments7.xml" ContentType="application/vnd.openxmlformats-officedocument.spreadsheetml.comments+xml"/>
  <Override PartName="/xl/worksheets/sheet8.xml" ContentType="application/vnd.openxmlformats-officedocument.spreadsheetml.worksheet+xml"/>
  <Override PartName="/xl/comments8.xml" ContentType="application/vnd.openxmlformats-officedocument.spreadsheetml.comments+xml"/>
  <Override PartName="/xl/worksheets/sheet9.xml" ContentType="application/vnd.openxmlformats-officedocument.spreadsheetml.worksheet+xml"/>
  <Override PartName="/xl/comments9.xml" ContentType="application/vnd.openxmlformats-officedocument.spreadsheetml.comments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Income Statement" sheetId="3"/>
    <sheet r:id="rId4" name="Balance Sheet" sheetId="4"/>
    <sheet r:id="rId5" name="Cash Flow Statement" sheetId="5"/>
    <sheet r:id="rId6" name="Geo" sheetId="6"/>
    <sheet r:id="rId7" name="Share Count" sheetId="7"/>
    <sheet r:id="rId8" name="Guidance" sheetId="8"/>
    <sheet r:id="rId9" name="Inputs" sheetId="9"/>
    <sheet r:id="rId10" name="Sources" sheetId="10"/>
  </sheets>
  <calcPr calcId="0" iterateCount="100" iterateDelta="0.001"/>
</workbook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1" authorId="0">
      <text>
        <r>
          <rPr>
            <sz val="9"/>
            <color rgb="FF000000"/>
            <rFont val="Arial"/>
            <family val="2"/>
          </rPr>
          <t>S03 ual_09302025erex991.htm | Select operating statistics | 87,417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S04 ual_12312025erex991.htm | Select operating statistics | 83,365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S04 ual_12312025erex991.htm | Select operating statistics | 330,284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S05 ual_erx03312026xex991.htm | Select operating statistics | 77,698</t>
        </r>
      </text>
    </comment>
    <comment ref="G11" authorId="0">
      <text>
        <r>
          <rPr>
            <sz val="9"/>
            <color rgb="FF000000"/>
            <rFont val="Arial"/>
            <family val="2"/>
          </rPr>
          <t>S06 ual_erx06302026xex991.htm | Select operating statistics | 87,279</t>
        </r>
      </text>
    </comment>
    <comment ref="C14" authorId="0">
      <text>
        <r>
          <rPr>
            <sz val="9"/>
            <color rgb="FF000000"/>
            <rFont val="Arial"/>
            <family val="2"/>
          </rPr>
          <t>S03 ual_09302025erex991.htm | Select operating statistics | 73,769</t>
        </r>
      </text>
    </comment>
    <comment ref="D14" authorId="0">
      <text>
        <r>
          <rPr>
            <sz val="9"/>
            <color rgb="FF000000"/>
            <rFont val="Arial"/>
            <family val="2"/>
          </rPr>
          <t>S04 ual_12312025erex991.htm | Select operating statistics | 68,246</t>
        </r>
      </text>
    </comment>
    <comment ref="E14" authorId="0">
      <text>
        <r>
          <rPr>
            <sz val="9"/>
            <color rgb="FF000000"/>
            <rFont val="Arial"/>
            <family val="2"/>
          </rPr>
          <t>S04 ual_12312025erex991.htm | Select operating statistics | 271,619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S05 ual_erx03312026xex991.htm | Select operating statistics | 63,385</t>
        </r>
      </text>
    </comment>
    <comment ref="G14" authorId="0">
      <text>
        <r>
          <rPr>
            <sz val="9"/>
            <color rgb="FF000000"/>
            <rFont val="Arial"/>
            <family val="2"/>
          </rPr>
          <t>S06 ual_erx06302026xex991.htm | Select operating statistics | 72,765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S03 ual_09302025erex991.htm | Select operating statistics | 1,509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S04 ual_12312025erex991.htm | Select operating statistics | 1,477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S04 ual_12312025erex991.htm | Select operating statistics | 1,488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S05 ual_erx03312026xex991.htm | Select operating statistics | 1,465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S06 ual_erx06302026xex991.htm | Select operating statistics | 1,460</t>
        </r>
      </text>
    </comment>
    <comment ref="C23" authorId="0">
      <text>
        <r>
          <rPr>
            <sz val="9"/>
            <color rgb="FF000000"/>
            <rFont val="Arial"/>
            <family val="2"/>
          </rPr>
          <t>S03 ual_09302025erex991.htm | Select operating statistics | 48,382</t>
        </r>
      </text>
    </comment>
    <comment ref="D23" authorId="0">
      <text>
        <r>
          <rPr>
            <sz val="9"/>
            <color rgb="FF000000"/>
            <rFont val="Arial"/>
            <family val="2"/>
          </rPr>
          <t>S04 ual_12312025erex991.htm | Select operating statistics | 45,679</t>
        </r>
      </text>
    </comment>
    <comment ref="E23" authorId="0">
      <text>
        <r>
          <rPr>
            <sz val="9"/>
            <color rgb="FF000000"/>
            <rFont val="Arial"/>
            <family val="2"/>
          </rPr>
          <t>S04 ual_12312025erex991.htm | Select operating statistics | 181,053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S05 ual_erx03312026xex991.htm | Select operating statistics | 42,486</t>
        </r>
      </text>
    </comment>
    <comment ref="G23" authorId="0">
      <text>
        <r>
          <rPr>
            <sz val="9"/>
            <color rgb="FF000000"/>
            <rFont val="Arial"/>
            <family val="2"/>
          </rPr>
          <t>S06 ual_erx06302026xex991.htm | Select operating statistics | 48,692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S03 ual_09302025erex991.htm | Select operating statistics | 890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S04 ual_12312025erex991.htm | Select operating statistics | 963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S04 ual_12312025erex991.htm | Select operating statistics | 3,626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S05 ual_erx03312026xex991.htm | Select operating statistics | 878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S06 ual_erx06302026xex991.htm | Select operating statistics | 932</t>
        </r>
      </text>
    </comment>
    <comment ref="C48" authorId="0">
      <text>
        <r>
          <rPr>
            <sz val="9"/>
            <color rgb="FF000000"/>
            <rFont val="Arial"/>
            <family val="2"/>
          </rPr>
          <t>S03 ual_09302025erex991.htm | Select operating statistics - aircraft in fleet | 1,486</t>
        </r>
      </text>
    </comment>
    <comment ref="D48" authorId="0">
      <text>
        <r>
          <rPr>
            <sz val="9"/>
            <color rgb="FF000000"/>
            <rFont val="Arial"/>
            <family val="2"/>
          </rPr>
          <t>S04 ual_12312025erex991.htm | Select operating statistics - aircraft in fleet | 1,490</t>
        </r>
      </text>
    </comment>
    <comment ref="F48" authorId="0">
      <text>
        <r>
          <rPr>
            <sz val="9"/>
            <color rgb="FF000000"/>
            <rFont val="Arial"/>
            <family val="2"/>
          </rPr>
          <t>S05 ual_erx03312026xex991.htm | Select operating statistics - aircraft in fleet | 1,526</t>
        </r>
      </text>
    </comment>
    <comment ref="G48" authorId="0">
      <text>
        <r>
          <rPr>
            <sz val="9"/>
            <color rgb="FF000000"/>
            <rFont val="Arial"/>
            <family val="2"/>
          </rPr>
          <t>S06 ual_erx06302026xex991.htm | Select operating statistics - aircraft in fleet | 1,552</t>
        </r>
      </text>
    </comment>
    <comment ref="F49" authorId="0">
      <text>
        <r>
          <rPr>
            <sz val="9"/>
            <color rgb="FF000000"/>
            <rFont val="Arial"/>
            <family val="2"/>
          </rPr>
          <t>S07 ual_erx06302026xex992.htm | Fleet plan - Total Mainline Aircraft 1Q 2026 | 1,100</t>
        </r>
      </text>
    </comment>
    <comment ref="G49" authorId="0">
      <text>
        <r>
          <rPr>
            <sz val="9"/>
            <color rgb="FF000000"/>
            <rFont val="Arial"/>
            <family val="2"/>
          </rPr>
          <t>S07 ual_erx06302026xex992.htm | Fleet plan - 2Q 2026 | 1,122</t>
        </r>
      </text>
    </comment>
    <comment ref="H49" authorId="0">
      <text>
        <r>
          <rPr>
            <sz val="9"/>
            <color rgb="FF000000"/>
            <rFont val="Arial"/>
            <family val="2"/>
          </rPr>
          <t>S07 ual_erx06302026xex992.htm | Fleet plan - 3Q 2026E | 1,145</t>
        </r>
      </text>
    </comment>
    <comment ref="F50" authorId="0">
      <text>
        <r>
          <rPr>
            <sz val="9"/>
            <color rgb="FF000000"/>
            <rFont val="Arial"/>
            <family val="2"/>
          </rPr>
          <t>S07 ual_erx06302026xex992.htm | Fleet plan - Total Regional Aircraft 1Q 2026 | 426</t>
        </r>
      </text>
    </comment>
    <comment ref="G50" authorId="0">
      <text>
        <r>
          <rPr>
            <sz val="9"/>
            <color rgb="FF000000"/>
            <rFont val="Arial"/>
            <family val="2"/>
          </rPr>
          <t>S07 ual_erx06302026xex992.htm | Fleet plan - 2Q 2026 | 430</t>
        </r>
      </text>
    </comment>
    <comment ref="H50" authorId="0">
      <text>
        <r>
          <rPr>
            <sz val="9"/>
            <color rgb="FF000000"/>
            <rFont val="Arial"/>
            <family val="2"/>
          </rPr>
          <t>S07 ual_erx06302026xex992.htm | Fleet plan - 3Q 2026E | 434</t>
        </r>
      </text>
    </comment>
    <comment ref="C60" authorId="0">
      <text>
        <r>
          <rPr>
            <sz val="9"/>
            <color rgb="FF000000"/>
            <rFont val="Arial"/>
            <family val="2"/>
          </rPr>
          <t>S10 ual-20250930.htm (10-Q) | Note 2 Frequent flyer roll forward - Beginning Balance | 7,665</t>
        </r>
      </text>
    </comment>
    <comment ref="E60" authorId="0">
      <text>
        <r>
          <rPr>
            <sz val="9"/>
            <color rgb="FF000000"/>
            <rFont val="Arial"/>
            <family val="2"/>
          </rPr>
          <t>S11 ual-20251231 10-K XBRL R16/R48/R52 | R16 roll forward - Balance at January 1 | 7,441</t>
        </r>
      </text>
    </comment>
    <comment ref="C61" authorId="0">
      <text>
        <r>
          <rPr>
            <sz val="9"/>
            <color rgb="FF000000"/>
            <rFont val="Arial"/>
            <family val="2"/>
          </rPr>
          <t>S10 ual-20250930.htm (10-Q) | Note 2 Frequent flyer roll forward - Miles earned (additions) | 968</t>
        </r>
      </text>
    </comment>
    <comment ref="E61" authorId="0">
      <text>
        <r>
          <rPr>
            <sz val="9"/>
            <color rgb="FF000000"/>
            <rFont val="Arial"/>
            <family val="2"/>
          </rPr>
          <t>S11 ual-20251231 10-K XBRL R16/R48/R52 | Note 2 Frequent flyer roll forward - Miles earned (additions) | 3,883</t>
        </r>
      </text>
    </comment>
    <comment ref="F61" authorId="0">
      <text>
        <r>
          <rPr>
            <sz val="9"/>
            <color rgb="FF000000"/>
            <rFont val="Arial"/>
            <family val="2"/>
          </rPr>
          <t>S09 ual-20260331.htm (10-Q) | Note 2 Frequent flyer roll forward - Miles earned (additions) | 1,034</t>
        </r>
      </text>
    </comment>
    <comment ref="G61" authorId="0">
      <text>
        <r>
          <rPr>
            <sz val="9"/>
            <color rgb="FF000000"/>
            <rFont val="Arial"/>
            <family val="2"/>
          </rPr>
          <t>S08 ual-20260630.htm (10-Q) | Note 2 Frequent flyer roll forward - Miles earned (additions) | 1,083</t>
        </r>
      </text>
    </comment>
    <comment ref="C64" authorId="0">
      <text>
        <r>
          <rPr>
            <sz val="9"/>
            <color rgb="FF000000"/>
            <rFont val="Arial"/>
            <family val="2"/>
          </rPr>
          <t>S10 ual-20250930.htm (10-Q) | Note 2 Frequent flyer roll forward - Travel miles redeemed | (896)</t>
        </r>
      </text>
    </comment>
    <comment ref="E64" authorId="0">
      <text>
        <r>
          <rPr>
            <sz val="9"/>
            <color rgb="FF000000"/>
            <rFont val="Arial"/>
            <family val="2"/>
          </rPr>
          <t>S11 ual-20251231 10-K XBRL R16/R48/R52 | Note 2 Frequent flyer roll forward - Travel miles redeemed | (3,414)</t>
        </r>
      </text>
    </comment>
    <comment ref="F64" authorId="0">
      <text>
        <r>
          <rPr>
            <sz val="9"/>
            <color rgb="FF000000"/>
            <rFont val="Arial"/>
            <family val="2"/>
          </rPr>
          <t>S09 ual-20260331.htm (10-Q) | Note 2 Frequent flyer roll forward - Travel miles redeemed | (835)</t>
        </r>
      </text>
    </comment>
    <comment ref="G64" authorId="0">
      <text>
        <r>
          <rPr>
            <sz val="9"/>
            <color rgb="FF000000"/>
            <rFont val="Arial"/>
            <family val="2"/>
          </rPr>
          <t>S08 ual-20260630.htm (10-Q) | Note 2 Frequent flyer roll forward - Travel miles redeemed | (1,013)</t>
        </r>
      </text>
    </comment>
    <comment ref="C67" authorId="0">
      <text>
        <r>
          <rPr>
            <sz val="9"/>
            <color rgb="FF000000"/>
            <rFont val="Arial"/>
            <family val="2"/>
          </rPr>
          <t>S10 ual-20250930.htm (10-Q) | Note 2 Frequent flyer roll forward - Non-travel miles redeemed | (36)</t>
        </r>
      </text>
    </comment>
    <comment ref="E67" authorId="0">
      <text>
        <r>
          <rPr>
            <sz val="9"/>
            <color rgb="FF000000"/>
            <rFont val="Arial"/>
            <family val="2"/>
          </rPr>
          <t>S11 ual-20251231 10-K XBRL R16/R48/R52 | Note 2 Frequent flyer roll forward - Non-travel miles redeemed | (133)</t>
        </r>
      </text>
    </comment>
    <comment ref="F67" authorId="0">
      <text>
        <r>
          <rPr>
            <sz val="9"/>
            <color rgb="FF000000"/>
            <rFont val="Arial"/>
            <family val="2"/>
          </rPr>
          <t>S09 ual-20260331.htm (10-Q) | Note 2 Frequent flyer roll forward - Non-travel miles redeemed | (42)</t>
        </r>
      </text>
    </comment>
    <comment ref="G67" authorId="0">
      <text>
        <r>
          <rPr>
            <sz val="9"/>
            <color rgb="FF000000"/>
            <rFont val="Arial"/>
            <family val="2"/>
          </rPr>
          <t>S08 ual-20260630.htm (10-Q) | Note 2 Frequent flyer roll forward - Non-travel miles redeemed | (33)</t>
        </r>
      </text>
    </comment>
    <comment ref="C72" authorId="0">
      <text>
        <r>
          <rPr>
            <sz val="9"/>
            <color rgb="FF000000"/>
            <rFont val="Arial"/>
            <family val="2"/>
          </rPr>
          <t>S10 ual-20250930.htm (10-Q) | Note 2 Frequent flyer roll forward - Ending Balance | 7,702</t>
        </r>
      </text>
    </comment>
    <comment ref="E72" authorId="0">
      <text>
        <r>
          <rPr>
            <sz val="9"/>
            <color rgb="FF000000"/>
            <rFont val="Arial"/>
            <family val="2"/>
          </rPr>
          <t>S11 ual-20251231 10-K XBRL R16/R48/R52 | Note 2 Frequent flyer roll forward - Ending Balance | 7,777</t>
        </r>
      </text>
    </comment>
    <comment ref="F72" authorId="0">
      <text>
        <r>
          <rPr>
            <sz val="9"/>
            <color rgb="FF000000"/>
            <rFont val="Arial"/>
            <family val="2"/>
          </rPr>
          <t>S09 ual-20260331.htm (10-Q) | Note 2 Frequent flyer roll forward - Ending Balance | 7,934</t>
        </r>
      </text>
    </comment>
    <comment ref="G72" authorId="0">
      <text>
        <r>
          <rPr>
            <sz val="9"/>
            <color rgb="FF000000"/>
            <rFont val="Arial"/>
            <family val="2"/>
          </rPr>
          <t>S08 ual-20260630.htm (10-Q) | Note 2 Frequent flyer roll forward - Ending Balance | 7,971</t>
        </r>
      </text>
    </comment>
    <comment ref="C91" authorId="0">
      <text>
        <r>
          <rPr>
            <sz val="9"/>
            <color rgb="FF000000"/>
            <rFont val="Arial"/>
            <family val="2"/>
          </rPr>
          <t>S10 ual-20250930.htm (10-Q) | Note 2 Revenue - Ancillary services | 1.3 billion</t>
        </r>
      </text>
    </comment>
    <comment ref="E91" authorId="0">
      <text>
        <r>
          <rPr>
            <sz val="9"/>
            <color rgb="FF000000"/>
            <rFont val="Arial"/>
            <family val="2"/>
          </rPr>
          <t>S11 ual-20251231 10-K XBRL R16/R48/R52 | Note 2 Revenue - Ancillary services | 4.8 billion</t>
        </r>
      </text>
    </comment>
    <comment ref="F91" authorId="0">
      <text>
        <r>
          <rPr>
            <sz val="9"/>
            <color rgb="FF000000"/>
            <rFont val="Arial"/>
            <family val="2"/>
          </rPr>
          <t>S09 ual-20260331.htm (10-Q) | Note 2 Revenue - Ancillary services | 1.2 billion</t>
        </r>
      </text>
    </comment>
    <comment ref="G91" authorId="0">
      <text>
        <r>
          <rPr>
            <sz val="9"/>
            <color rgb="FF000000"/>
            <rFont val="Arial"/>
            <family val="2"/>
          </rPr>
          <t>S08 ual-20260630.htm (10-Q) | Note 2 Revenue - Ancillary services | 1.4 billion</t>
        </r>
      </text>
    </comment>
    <comment ref="C101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13,815</t>
        </r>
      </text>
    </comment>
    <comment ref="D101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13,926</t>
        </r>
      </text>
    </comment>
    <comment ref="E101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53,438</t>
        </r>
      </text>
    </comment>
    <comment ref="F101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13,166</t>
        </r>
      </text>
    </comment>
    <comment ref="G101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16,100</t>
        </r>
      </text>
    </comment>
    <comment ref="C108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431</t>
        </r>
      </text>
    </comment>
    <comment ref="D108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490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1,779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422</t>
        </r>
      </text>
    </comment>
    <comment ref="G108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527</t>
        </r>
      </text>
    </comment>
    <comment ref="C115" authorId="0">
      <text>
        <r>
          <rPr>
            <sz val="9"/>
            <color rgb="FF000000"/>
            <rFont val="Arial"/>
            <family val="2"/>
          </rPr>
          <t>S10 ual-20250930.htm (10-Q) | Note 2 Revenue - partner agreements recognized in Other operating revenue | 0.8 billion</t>
        </r>
      </text>
    </comment>
    <comment ref="E115" authorId="0">
      <text>
        <r>
          <rPr>
            <sz val="9"/>
            <color rgb="FF000000"/>
            <rFont val="Arial"/>
            <family val="2"/>
          </rPr>
          <t>S11 ual-20251231 10-K XBRL R16/R48/R52 | Note 2 Revenue - partner agreements recognized in Other operating revenue | 3.2 billion</t>
        </r>
      </text>
    </comment>
    <comment ref="F115" authorId="0">
      <text>
        <r>
          <rPr>
            <sz val="9"/>
            <color rgb="FF000000"/>
            <rFont val="Arial"/>
            <family val="2"/>
          </rPr>
          <t>S09 ual-20260331.htm (10-Q) | Note 2 Revenue - partner agreements recognized in Other operating revenue | 870 million</t>
        </r>
      </text>
    </comment>
    <comment ref="G115" authorId="0">
      <text>
        <r>
          <rPr>
            <sz val="9"/>
            <color rgb="FF000000"/>
            <rFont val="Arial"/>
            <family val="2"/>
          </rPr>
          <t>S08 ual-20260630.htm (10-Q) | Note 2 Revenue - partner agreements recognized in Other operating revenue | 0.9 billion</t>
        </r>
      </text>
    </comment>
    <comment ref="C129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979</t>
        </r>
      </text>
    </comment>
    <comment ref="D129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981</t>
        </r>
      </text>
    </comment>
    <comment ref="E129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3,853</t>
        </r>
      </text>
    </comment>
    <comment ref="F129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1,020</t>
        </r>
      </text>
    </comment>
    <comment ref="G129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1,045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6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15,225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15,397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59,070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14,608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17,672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S03 ual_09302025erex991.htm | Non-GAAP financial information - Profit sharing | 228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S04 ual_12312025erex991.htm | Non-GAAP financial information - Profit sharing | 244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S04 ual_12312025erex991.htm | Non-GAAP financial information - Profit sharing | 704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S05 ual_erx03312026xex991.htm | Non-GAAP financial information - Profit sharing | 59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S06 ual_erx06302026xex991.htm | Non-GAAP financial information - Profit sharing | 90</t>
        </r>
      </text>
    </comment>
    <comment ref="C22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4,555</t>
        </r>
      </text>
    </comment>
    <comment ref="D22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4,524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17,647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4,562</t>
        </r>
      </text>
    </comment>
    <comment ref="G22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4,686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S03 ual_09302025erex991.htm | Select operating statistics - Fuel gallons consumed | 1,233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S04 ual_12312025erex991.htm | Select operating statistics - Fuel gallons consumed | 1,175</t>
        </r>
      </text>
    </comment>
    <comment ref="E24" authorId="0">
      <text>
        <r>
          <rPr>
            <sz val="9"/>
            <color rgb="FF000000"/>
            <rFont val="Arial"/>
            <family val="2"/>
          </rPr>
          <t>S04 ual_12312025erex991.htm | Select operating statistics - Fuel gallons consumed | 4,663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S05 ual_erx03312026xex991.htm | Select operating statistics - Fuel gallons consumed | 1,093</t>
        </r>
      </text>
    </comment>
    <comment ref="G24" authorId="0">
      <text>
        <r>
          <rPr>
            <sz val="9"/>
            <color rgb="FF000000"/>
            <rFont val="Arial"/>
            <family val="2"/>
          </rPr>
          <t>S06 ual_erx06302026xex991.htm | Select operating statistics - Fuel gallons consumed | 1,219</t>
        </r>
      </text>
    </comment>
    <comment ref="C30" authorId="0">
      <text>
        <r>
          <rPr>
            <sz val="9"/>
            <color rgb="FF000000"/>
            <rFont val="Arial"/>
            <family val="2"/>
          </rPr>
          <t>S03 ual_09302025erex991.htm | Select operating statistics - Average aircraft fuel price per gallon | $2.43</t>
        </r>
      </text>
    </comment>
    <comment ref="D30" authorId="0">
      <text>
        <r>
          <rPr>
            <sz val="9"/>
            <color rgb="FF000000"/>
            <rFont val="Arial"/>
            <family val="2"/>
          </rPr>
          <t>S04 ual_12312025erex991.htm | Select operating statistics - Average aircraft fuel price per gallon | $2.49</t>
        </r>
      </text>
    </comment>
    <comment ref="E30" authorId="0">
      <text>
        <r>
          <rPr>
            <sz val="9"/>
            <color rgb="FF000000"/>
            <rFont val="Arial"/>
            <family val="2"/>
          </rPr>
          <t>S04 ual_12312025erex991.htm | Select operating statistics - Average aircraft fuel price per gallon | $2.44</t>
        </r>
      </text>
    </comment>
    <comment ref="F30" authorId="0">
      <text>
        <r>
          <rPr>
            <sz val="9"/>
            <color rgb="FF000000"/>
            <rFont val="Arial"/>
            <family val="2"/>
          </rPr>
          <t>S05 ual_erx03312026xex991.htm | Select operating statistics - Average aircraft fuel price per gallon | $2.78</t>
        </r>
      </text>
    </comment>
    <comment ref="G30" authorId="0">
      <text>
        <r>
          <rPr>
            <sz val="9"/>
            <color rgb="FF000000"/>
            <rFont val="Arial"/>
            <family val="2"/>
          </rPr>
          <t>S06 ual_erx06302026xex991.htm | Select operating statistics - Average aircraft fuel price per gallon | $4.19</t>
        </r>
      </text>
    </comment>
    <comment ref="C33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2,997</t>
        </r>
      </text>
    </comment>
    <comment ref="D33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2,923</t>
        </r>
      </text>
    </comment>
    <comment ref="E33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11,396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3,041</t>
        </r>
      </text>
    </comment>
    <comment ref="G33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5,110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1,002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1,013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3,849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948</t>
        </r>
      </text>
    </comment>
    <comment ref="G35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1,056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779</t>
        </r>
      </text>
    </comment>
    <comment ref="D37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919</t>
        </r>
      </text>
    </comment>
    <comment ref="E37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3,294</t>
        </r>
      </text>
    </comment>
    <comment ref="F37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854</t>
        </r>
      </text>
    </comment>
    <comment ref="G37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906</t>
        </r>
      </text>
    </comment>
    <comment ref="C39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730</t>
        </r>
      </text>
    </comment>
    <comment ref="D39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748</t>
        </r>
      </text>
    </comment>
    <comment ref="E39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2,939</t>
        </r>
      </text>
    </comment>
    <comment ref="F39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756</t>
        </r>
      </text>
    </comment>
    <comment ref="G39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762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686</t>
        </r>
      </text>
    </comment>
    <comment ref="D41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681</t>
        </r>
      </text>
    </comment>
    <comment ref="E41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2,693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692</t>
        </r>
      </text>
    </comment>
    <comment ref="G41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743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555</t>
        </r>
      </text>
    </comment>
    <comment ref="D43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571</t>
        </r>
      </text>
    </comment>
    <comment ref="E43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2,109</t>
        </r>
      </text>
    </comment>
    <comment ref="F43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522</t>
        </r>
      </text>
    </comment>
    <comment ref="G43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644</t>
        </r>
      </text>
    </comment>
    <comment ref="C48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54</t>
        </r>
      </text>
    </comment>
    <comment ref="D48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79</t>
        </r>
      </text>
    </comment>
    <comment ref="E48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252</t>
        </r>
      </text>
    </comment>
    <comment ref="F48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83</t>
        </r>
      </text>
    </comment>
    <comment ref="G48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112</t>
        </r>
      </text>
    </comment>
    <comment ref="C50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(73)</t>
        </r>
      </text>
    </comment>
    <comment ref="D50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(8)</t>
        </r>
      </text>
    </comment>
    <comment ref="E50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259</t>
        </r>
      </text>
    </comment>
    <comment ref="F50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(389)</t>
        </r>
      </text>
    </comment>
    <comment ref="G50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(145)</t>
        </r>
      </text>
    </comment>
    <comment ref="C51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2,546</t>
        </r>
      </text>
    </comment>
    <comment ref="D51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2,560</t>
        </r>
      </text>
    </comment>
    <comment ref="E51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9,919</t>
        </r>
      </text>
    </comment>
    <comment ref="F51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2,542</t>
        </r>
      </text>
    </comment>
    <comment ref="G51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2,702</t>
        </r>
      </text>
    </comment>
    <comment ref="C55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13,830</t>
        </r>
      </text>
    </comment>
    <comment ref="D55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14,011</t>
        </r>
      </text>
    </comment>
    <comment ref="E55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54,356</t>
        </r>
      </text>
    </comment>
    <comment ref="F55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13,611</t>
        </r>
      </text>
    </comment>
    <comment ref="G55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16,576</t>
        </r>
      </text>
    </comment>
    <comment ref="C69" authorId="0">
      <text>
        <r>
          <rPr>
            <sz val="9"/>
            <color rgb="FF000000"/>
            <rFont val="Arial"/>
            <family val="2"/>
          </rPr>
          <t>S03 ual_09302025erex991.htm | Non-GAAP financial information - Third-party business expenses | 59</t>
        </r>
      </text>
    </comment>
    <comment ref="D69" authorId="0">
      <text>
        <r>
          <rPr>
            <sz val="9"/>
            <color rgb="FF000000"/>
            <rFont val="Arial"/>
            <family val="2"/>
          </rPr>
          <t>S04 ual_12312025erex991.htm | Non-GAAP financial information - Third-party business expenses | 64</t>
        </r>
      </text>
    </comment>
    <comment ref="E69" authorId="0">
      <text>
        <r>
          <rPr>
            <sz val="9"/>
            <color rgb="FF000000"/>
            <rFont val="Arial"/>
            <family val="2"/>
          </rPr>
          <t>S04 ual_12312025erex991.htm | Non-GAAP financial information - Third-party business expenses | 263</t>
        </r>
      </text>
    </comment>
    <comment ref="F69" authorId="0">
      <text>
        <r>
          <rPr>
            <sz val="9"/>
            <color rgb="FF000000"/>
            <rFont val="Arial"/>
            <family val="2"/>
          </rPr>
          <t>S05 ual_erx03312026xex991.htm | Non-GAAP financial information - Third-party business expenses | 65</t>
        </r>
      </text>
    </comment>
    <comment ref="G69" authorId="0">
      <text>
        <r>
          <rPr>
            <sz val="9"/>
            <color rgb="FF000000"/>
            <rFont val="Arial"/>
            <family val="2"/>
          </rPr>
          <t>S06 ual_erx06302026xex991.htm | Non-GAAP financial information - Third-party business expenses | 68</t>
        </r>
      </text>
    </comment>
    <comment ref="C75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(331)</t>
        </r>
      </text>
    </comment>
    <comment ref="D75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(324)</t>
        </r>
      </text>
    </comment>
    <comment ref="E75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(1,373)</t>
        </r>
      </text>
    </comment>
    <comment ref="F75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(327)</t>
        </r>
      </text>
    </comment>
    <comment ref="G75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(343)</t>
        </r>
      </text>
    </comment>
    <comment ref="C76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142</t>
        </r>
      </text>
    </comment>
    <comment ref="D76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137</t>
        </r>
      </text>
    </comment>
    <comment ref="E76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611</t>
        </r>
      </text>
    </comment>
    <comment ref="F76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135</t>
        </r>
      </text>
    </comment>
    <comment ref="G76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148</t>
        </r>
      </text>
    </comment>
    <comment ref="C77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53</t>
        </r>
      </text>
    </comment>
    <comment ref="D77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54</t>
        </r>
      </text>
    </comment>
    <comment ref="E77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206</t>
        </r>
      </text>
    </comment>
    <comment ref="F77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54</t>
        </r>
      </text>
    </comment>
    <comment ref="G77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59</t>
        </r>
      </text>
    </comment>
    <comment ref="C78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(13)</t>
        </r>
      </text>
    </comment>
    <comment ref="D78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13</t>
        </r>
      </text>
    </comment>
    <comment ref="E78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4</t>
        </r>
      </text>
    </comment>
    <comment ref="F78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(13)</t>
        </r>
      </text>
    </comment>
    <comment ref="G78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40</t>
        </r>
      </text>
    </comment>
    <comment ref="C79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9</t>
        </r>
      </text>
    </comment>
    <comment ref="D79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59</t>
        </r>
      </text>
    </comment>
    <comment ref="E79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144</t>
        </r>
      </text>
    </comment>
    <comment ref="F79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24</t>
        </r>
      </text>
    </comment>
    <comment ref="G79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26</t>
        </r>
      </text>
    </comment>
    <comment ref="C85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306</t>
        </r>
      </text>
    </comment>
    <comment ref="D85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281</t>
        </r>
      </text>
    </comment>
    <comment ref="E85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953</t>
        </r>
      </text>
    </comment>
    <comment ref="F85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172</t>
        </r>
      </text>
    </comment>
    <comment ref="G85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221</t>
        </r>
      </text>
    </comment>
    <comment ref="C92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949</t>
        </r>
      </text>
    </comment>
    <comment ref="D92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1,044</t>
        </r>
      </text>
    </comment>
    <comment ref="E92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3,353</t>
        </r>
      </text>
    </comment>
    <comment ref="F92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699</t>
        </r>
      </text>
    </comment>
    <comment ref="G92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805</t>
        </r>
      </text>
    </comment>
    <comment ref="C100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$2.90</t>
        </r>
      </text>
    </comment>
    <comment ref="D100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$3.19</t>
        </r>
      </text>
    </comment>
    <comment ref="E100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$10.20</t>
        </r>
      </text>
    </comment>
    <comment ref="F100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$2.14</t>
        </r>
      </text>
    </comment>
    <comment ref="G100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$2.46</t>
        </r>
      </text>
    </comment>
    <comment ref="C107" authorId="0">
      <text>
        <r>
          <rPr>
            <sz val="9"/>
            <color rgb="FF000000"/>
            <rFont val="Arial"/>
            <family val="2"/>
          </rPr>
          <t>S03 ual_09302025erex991.htm | Non-GAAP financial information - Debt extinguishment and modification fees | 20</t>
        </r>
      </text>
    </comment>
    <comment ref="D107" authorId="0">
      <text>
        <r>
          <rPr>
            <sz val="9"/>
            <color rgb="FF000000"/>
            <rFont val="Arial"/>
            <family val="2"/>
          </rPr>
          <t>S04 ual_12312025erex991.htm | Non-GAAP financial information - Debt extinguishment and modification fees | —</t>
        </r>
      </text>
    </comment>
    <comment ref="E107" authorId="0">
      <text>
        <r>
          <rPr>
            <sz val="9"/>
            <color rgb="FF000000"/>
            <rFont val="Arial"/>
            <family val="2"/>
          </rPr>
          <t>S04 ual_12312025erex991.htm | Non-GAAP financial information - Debt extinguishment and modification fees | 20</t>
        </r>
      </text>
    </comment>
    <comment ref="F107" authorId="0">
      <text>
        <r>
          <rPr>
            <sz val="9"/>
            <color rgb="FF000000"/>
            <rFont val="Arial"/>
            <family val="2"/>
          </rPr>
          <t>S05 ual_erx03312026xex991.htm | Non-GAAP financial information - Debt extinguishment and modification fees | 4</t>
        </r>
      </text>
    </comment>
    <comment ref="G107" authorId="0">
      <text>
        <r>
          <rPr>
            <sz val="9"/>
            <color rgb="FF000000"/>
            <rFont val="Arial"/>
            <family val="2"/>
          </rPr>
          <t>S06 ual_erx06302026xex991.htm | Non-GAAP financial information - Debt extinguishment and modification fees | 1</t>
        </r>
      </text>
    </comment>
    <comment ref="C108" authorId="0">
      <text>
        <r>
          <rPr>
            <sz val="9"/>
            <color rgb="FF000000"/>
            <rFont val="Arial"/>
            <family val="2"/>
          </rPr>
          <t>S03 ual_09302025erex991.htm | Non-GAAP financial information - Income tax on adjustments, net | —</t>
        </r>
      </text>
    </comment>
    <comment ref="D108" authorId="0">
      <text>
        <r>
          <rPr>
            <sz val="9"/>
            <color rgb="FF000000"/>
            <rFont val="Arial"/>
            <family val="2"/>
          </rPr>
          <t>S04 ual_12312025erex991.htm | Non-GAAP financial information - Income tax on adjustments, net | (9)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S04 ual_12312025erex991.htm | Non-GAAP financial information - Income tax on adjustments, net | (136)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S05 ual_erx03312026xex991.htm | Non-GAAP financial information - Income tax on adjustments, net | 62</t>
        </r>
      </text>
    </comment>
    <comment ref="G108" authorId="0">
      <text>
        <r>
          <rPr>
            <sz val="9"/>
            <color rgb="FF000000"/>
            <rFont val="Arial"/>
            <family val="2"/>
          </rPr>
          <t>S06 ual_erx06302026xex991.htm | Non-GAAP financial information - Income tax on adjustments, net | 27</t>
        </r>
      </text>
    </comment>
    <comment ref="C111" authorId="0">
      <text>
        <r>
          <rPr>
            <sz val="9"/>
            <color rgb="FF000000"/>
            <rFont val="Arial"/>
            <family val="2"/>
          </rPr>
          <t>S03 ual_09302025erex991.htm | Non-GAAP financial information - Adjusted net income | 909</t>
        </r>
      </text>
    </comment>
    <comment ref="D111" authorId="0">
      <text>
        <r>
          <rPr>
            <sz val="9"/>
            <color rgb="FF000000"/>
            <rFont val="Arial"/>
            <family val="2"/>
          </rPr>
          <t>S04 ual_12312025erex991.htm | Non-GAAP financial information - Adjusted net income | 1,014</t>
        </r>
      </text>
    </comment>
    <comment ref="E111" authorId="0">
      <text>
        <r>
          <rPr>
            <sz val="9"/>
            <color rgb="FF000000"/>
            <rFont val="Arial"/>
            <family val="2"/>
          </rPr>
          <t>S04 ual_12312025erex991.htm | Non-GAAP financial information - Adjusted net income | 3,491</t>
        </r>
      </text>
    </comment>
    <comment ref="F111" authorId="0">
      <text>
        <r>
          <rPr>
            <sz val="9"/>
            <color rgb="FF000000"/>
            <rFont val="Arial"/>
            <family val="2"/>
          </rPr>
          <t>S05 ual_erx03312026xex991.htm | Non-GAAP financial information - Adjusted net income | 389</t>
        </r>
      </text>
    </comment>
    <comment ref="G111" authorId="0">
      <text>
        <r>
          <rPr>
            <sz val="9"/>
            <color rgb="FF000000"/>
            <rFont val="Arial"/>
            <family val="2"/>
          </rPr>
          <t>S06 ual_erx06302026xex991.htm | Non-GAAP financial information - Adjusted net income | 649</t>
        </r>
      </text>
    </comment>
    <comment ref="C128" authorId="0">
      <text>
        <r>
          <rPr>
            <sz val="9"/>
            <color rgb="FF000000"/>
            <rFont val="Arial"/>
            <family val="2"/>
          </rPr>
          <t>S03 ual_09302025erex991.htm | Non-GAAP financial information - Adjusted diluted earnings per share | $2.78</t>
        </r>
      </text>
    </comment>
    <comment ref="D128" authorId="0">
      <text>
        <r>
          <rPr>
            <sz val="9"/>
            <color rgb="FF000000"/>
            <rFont val="Arial"/>
            <family val="2"/>
          </rPr>
          <t>S04 ual_12312025erex991.htm | Non-GAAP financial information - Adjusted diluted earnings per share | $3.10</t>
        </r>
      </text>
    </comment>
    <comment ref="E128" authorId="0">
      <text>
        <r>
          <rPr>
            <sz val="9"/>
            <color rgb="FF000000"/>
            <rFont val="Arial"/>
            <family val="2"/>
          </rPr>
          <t>S04 ual_12312025erex991.htm | Non-GAAP financial information - Adjusted diluted earnings per share | $10.62</t>
        </r>
      </text>
    </comment>
    <comment ref="F128" authorId="0">
      <text>
        <r>
          <rPr>
            <sz val="9"/>
            <color rgb="FF000000"/>
            <rFont val="Arial"/>
            <family val="2"/>
          </rPr>
          <t>S05 ual_erx03312026xex991.htm | Non-GAAP financial information - Adjusted diluted earnings per share | $1.19</t>
        </r>
      </text>
    </comment>
    <comment ref="G128" authorId="0">
      <text>
        <r>
          <rPr>
            <sz val="9"/>
            <color rgb="FF000000"/>
            <rFont val="Arial"/>
            <family val="2"/>
          </rPr>
          <t>S06 ual_erx06302026xex991.htm | Non-GAAP financial information - Adjusted diluted earnings per share | $1.99</t>
        </r>
      </text>
    </comment>
    <comment ref="C138" authorId="0">
      <text>
        <r>
          <rPr>
            <sz val="9"/>
            <color rgb="FF000000"/>
            <rFont val="Arial"/>
            <family val="2"/>
          </rPr>
          <t>S03 ual_09302025erex991.htm | Non-GAAP financial information - Adjusted EBITDA | 2,081</t>
        </r>
      </text>
    </comment>
    <comment ref="D138" authorId="0">
      <text>
        <r>
          <rPr>
            <sz val="9"/>
            <color rgb="FF000000"/>
            <rFont val="Arial"/>
            <family val="2"/>
          </rPr>
          <t>S04 ual_12312025erex991.htm | Non-GAAP financial information - Adjusted EBITDA | 2,185</t>
        </r>
      </text>
    </comment>
    <comment ref="E138" authorId="0">
      <text>
        <r>
          <rPr>
            <sz val="9"/>
            <color rgb="FF000000"/>
            <rFont val="Arial"/>
            <family val="2"/>
          </rPr>
          <t>S04 ual_12312025erex991.htm | Non-GAAP financial information - Adjusted EBITDA | 8,076</t>
        </r>
      </text>
    </comment>
    <comment ref="F138" authorId="0">
      <text>
        <r>
          <rPr>
            <sz val="9"/>
            <color rgb="FF000000"/>
            <rFont val="Arial"/>
            <family val="2"/>
          </rPr>
          <t>S05 ual_erx03312026xex991.htm | Non-GAAP financial information - Adjusted EBITDA | 1,392</t>
        </r>
      </text>
    </comment>
    <comment ref="G138" authorId="0">
      <text>
        <r>
          <rPr>
            <sz val="9"/>
            <color rgb="FF000000"/>
            <rFont val="Arial"/>
            <family val="2"/>
          </rPr>
          <t>S06 ual_erx06302026xex991.htm | Non-GAAP financial information - Adjusted EBITDA | 1,740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1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6,730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5,942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7,869</t>
        </r>
      </text>
    </comment>
    <comment ref="G11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10,166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6,599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6,298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6,298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6,471</t>
        </r>
      </text>
    </comment>
    <comment ref="C13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2,433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2,391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2,660</t>
        </r>
      </text>
    </comment>
    <comment ref="G13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2,473</t>
        </r>
      </text>
    </comment>
    <comment ref="C14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1,588</t>
        </r>
      </text>
    </comment>
    <comment ref="D14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1,556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1,718</t>
        </r>
      </text>
    </comment>
    <comment ref="G14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1,795</t>
        </r>
      </text>
    </comment>
    <comment ref="C15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744</t>
        </r>
      </text>
    </comment>
    <comment ref="D15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671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847</t>
        </r>
      </text>
    </comment>
    <comment ref="G15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759</t>
        </r>
      </text>
    </comment>
    <comment ref="C17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44,968</t>
        </r>
      </text>
    </comment>
    <comment ref="D17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46,121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47,071</t>
        </r>
      </text>
    </comment>
    <comment ref="G17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47,958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4,821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4,958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5,740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6,161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4,527</t>
        </r>
      </text>
    </comment>
    <comment ref="D19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4,527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4,527</t>
        </r>
      </text>
    </comment>
    <comment ref="G19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4,527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2,662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2,655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2,650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2,645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1,242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1,330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1,561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1,614</t>
        </r>
      </text>
    </comment>
    <comment ref="C25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4,636</t>
        </r>
      </text>
    </comment>
    <comment ref="D25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4,567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5,377</t>
        </r>
      </text>
    </comment>
    <comment ref="G25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5,772</t>
        </r>
      </text>
    </comment>
    <comment ref="C26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3,555</t>
        </r>
      </text>
    </comment>
    <comment ref="D26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3,900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3,071</t>
        </r>
      </text>
    </comment>
    <comment ref="G26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3,458</t>
        </r>
      </text>
    </comment>
    <comment ref="C27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9,338</t>
        </r>
      </text>
    </comment>
    <comment ref="D27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8,131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11,670</t>
        </r>
      </text>
    </comment>
    <comment ref="G27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10,752</t>
        </r>
      </text>
    </comment>
    <comment ref="C28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3,642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3,721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3,832</t>
        </r>
      </text>
    </comment>
    <comment ref="G28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3,939</t>
        </r>
      </text>
    </comment>
    <comment ref="C29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4,621</t>
        </r>
      </text>
    </comment>
    <comment ref="D29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4,426</t>
        </r>
      </text>
    </comment>
    <comment ref="F29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2,253</t>
        </r>
      </text>
    </comment>
    <comment ref="G29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2,170</t>
        </r>
      </text>
    </comment>
    <comment ref="C30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563</t>
        </r>
      </text>
    </comment>
    <comment ref="D30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631</t>
        </r>
      </text>
    </comment>
    <comment ref="F30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748</t>
        </r>
      </text>
    </comment>
    <comment ref="G30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818</t>
        </r>
      </text>
    </comment>
    <comment ref="C31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763</t>
        </r>
      </text>
    </comment>
    <comment ref="D31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757</t>
        </r>
      </text>
    </comment>
    <comment ref="F31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830</t>
        </r>
      </text>
    </comment>
    <comment ref="G31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854</t>
        </r>
      </text>
    </comment>
    <comment ref="C33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20,807</t>
        </r>
      </text>
    </comment>
    <comment ref="D33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20,562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21,940</t>
        </r>
      </text>
    </comment>
    <comment ref="G33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24,294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5,331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5,417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6,030</t>
        </r>
      </text>
    </comment>
    <comment ref="G34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6,386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4,060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4,056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4,103</t>
        </r>
      </text>
    </comment>
    <comment ref="G35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4,032</t>
        </r>
      </text>
    </comment>
    <comment ref="C36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974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1,058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1,077</t>
        </r>
      </text>
    </comment>
    <comment ref="G36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1,074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2,206</t>
        </r>
      </text>
    </comment>
    <comment ref="D37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2,463</t>
        </r>
      </text>
    </comment>
    <comment ref="F37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2,617</t>
        </r>
      </text>
    </comment>
    <comment ref="G37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2,822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1,508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1,478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1,518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1,500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| 14,309</t>
        </r>
      </text>
    </comment>
    <comment ref="D41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| 15,282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| 15,876</t>
        </r>
      </text>
    </comment>
    <comment ref="G41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| 16,697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S03 ual_09302025erex991.htm | Condensed Consolidated Balance Sheets - Total assets | 76,313</t>
        </r>
      </text>
    </comment>
    <comment ref="D45" authorId="0">
      <text>
        <r>
          <rPr>
            <sz val="9"/>
            <color rgb="FF000000"/>
            <rFont val="Arial"/>
            <family val="2"/>
          </rPr>
          <t>S04 ual_12312025erex991.htm | Condensed Consolidated Balance Sheets - Total assets | 76,448</t>
        </r>
      </text>
    </comment>
    <comment ref="F45" authorId="0">
      <text>
        <r>
          <rPr>
            <sz val="9"/>
            <color rgb="FF000000"/>
            <rFont val="Arial"/>
            <family val="2"/>
          </rPr>
          <t>S05 ual_erx03312026xex991.htm | Condensed Consolidated Balance Sheets - Total assets | 80,941</t>
        </r>
      </text>
    </comment>
    <comment ref="G45" authorId="0">
      <text>
        <r>
          <rPr>
            <sz val="9"/>
            <color rgb="FF000000"/>
            <rFont val="Arial"/>
            <family val="2"/>
          </rPr>
          <t>S06 ual_erx06302026xex991.htm | Condensed Consolidated Balance Sheets - Total assets | 84,569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E17" authorId="0">
      <text>
        <r>
          <rPr>
            <sz val="9"/>
            <color rgb="FF000000"/>
            <rFont val="Arial"/>
            <family val="2"/>
          </rPr>
          <t>S04 ual_12312025erex991.htm | Condensed Statements of Consolidated Cash Flows (FY) | 8,431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S05 ual_erx03312026xex991.htm | Condensed Statements of Consolidated Cash Flows | 4,799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S04 ual_12312025erex991.htm | Condensed Statements of Consolidated Cash Flows (FY) | (5,874)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S05 ual_erx03312026xex991.htm | Condensed Statements of Consolidated Cash Flows | (1,672)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S04 ual_12312025erex991.htm | Condensed Statements of Consolidated Cash Flows (FY) | (7,763)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S05 ual_erx03312026xex991.htm | Condensed Statements of Consolidated Cash Flows | (2,356)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S04 ual_12312025erex991.htm | Condensed Statements of Consolidated Cash Flows (FY) | 7,284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S05 ual_erx03312026xex991.htm | Condensed Statements of Consolidated Cash Flows | 2,269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S04 ual_12312025erex991.htm | Condensed Statements of Consolidated Cash Flows (FY) | 98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S05 ual_erx03312026xex991.htm | Condensed Statements of Consolidated Cash Flows | 9</t>
        </r>
      </text>
    </comment>
    <comment ref="E23" authorId="0">
      <text>
        <r>
          <rPr>
            <sz val="9"/>
            <color rgb="FF000000"/>
            <rFont val="Arial"/>
            <family val="2"/>
          </rPr>
          <t>S04 ual_12312025erex991.htm | Condensed Statements of Consolidated Cash Flows (FY) | (96)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S05 ual_erx03312026xex991.htm | Condensed Statements of Consolidated Cash Flows | (144)</t>
        </r>
      </text>
    </comment>
    <comment ref="E26" authorId="0">
      <text>
        <r>
          <rPr>
            <sz val="9"/>
            <color rgb="FF000000"/>
            <rFont val="Arial"/>
            <family val="2"/>
          </rPr>
          <t>S04 ual_12312025erex991.htm | Condensed Statements of Consolidated Cash Flows (FY) | 578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S05 ual_erx03312026xex991.htm | Condensed Statements of Consolidated Cash Flows | 2,233</t>
        </r>
      </text>
    </comment>
    <comment ref="E27" authorId="0">
      <text>
        <r>
          <rPr>
            <sz val="9"/>
            <color rgb="FF000000"/>
            <rFont val="Arial"/>
            <family val="2"/>
          </rPr>
          <t>S04 ual_12312025erex991.htm | Condensed Statements of Consolidated Cash Flows (FY) | (4,771)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S05 ual_erx03312026xex991.htm | Condensed Statements of Consolidated Cash Flows | (3,092)</t>
        </r>
      </text>
    </comment>
    <comment ref="E28" authorId="0">
      <text>
        <r>
          <rPr>
            <sz val="9"/>
            <color rgb="FF000000"/>
            <rFont val="Arial"/>
            <family val="2"/>
          </rPr>
          <t>S04 ual_12312025erex991.htm | Condensed Statements of Consolidated Cash Flows (FY) | (637)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S05 ual_erx03312026xex991.htm | Condensed Statements of Consolidated Cash Flows | (27)</t>
        </r>
      </text>
    </comment>
    <comment ref="E29" authorId="0">
      <text>
        <r>
          <rPr>
            <sz val="9"/>
            <color rgb="FF000000"/>
            <rFont val="Arial"/>
            <family val="2"/>
          </rPr>
          <t>S04 ual_12312025erex991.htm | Condensed Statements of Consolidated Cash Flows (FY) | (115)</t>
        </r>
      </text>
    </comment>
    <comment ref="F29" authorId="0">
      <text>
        <r>
          <rPr>
            <sz val="9"/>
            <color rgb="FF000000"/>
            <rFont val="Arial"/>
            <family val="2"/>
          </rPr>
          <t>S05 ual_erx03312026xex991.htm | Condensed Statements of Consolidated Cash Flows | (90)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S05 ual_erx03312026xex991.htm | Condensed Statements of Consolidated Cash Flows | 8,011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S03 ual_09302025erex991.htm | Cash flow reconciliation - restricted cash | 141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S04 ual_12312025erex991.htm | Cash flow reconciliation - restricted cash | 139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S05 ual_erx03312026xex991.htm | Cash flow reconciliation - restricted cash | 142</t>
        </r>
      </text>
    </comment>
    <comment ref="G35" authorId="0">
      <text>
        <r>
          <rPr>
            <sz val="9"/>
            <color rgb="FF000000"/>
            <rFont val="Arial"/>
            <family val="2"/>
          </rPr>
          <t>S06 ual_erx06302026xex991.htm | Cash flow reconciliation - restricted cash | 142</t>
        </r>
      </text>
    </comment>
    <comment ref="C39" authorId="0">
      <text>
        <r>
          <rPr>
            <sz val="9"/>
            <color rgb="FF000000"/>
            <rFont val="Arial"/>
            <family val="2"/>
          </rPr>
          <t>S03 ual_09302025erex991.htm | Non-GAAP financial information - Free Cash Flow | 337</t>
        </r>
      </text>
    </comment>
    <comment ref="D39" authorId="0">
      <text>
        <r>
          <rPr>
            <sz val="9"/>
            <color rgb="FF000000"/>
            <rFont val="Arial"/>
            <family val="2"/>
          </rPr>
          <t>S04 ual_12312025erex991.htm | Non-GAAP financial information - Free Cash Flow | (302)</t>
        </r>
      </text>
    </comment>
    <comment ref="E39" authorId="0">
      <text>
        <r>
          <rPr>
            <sz val="9"/>
            <color rgb="FF000000"/>
            <rFont val="Arial"/>
            <family val="2"/>
          </rPr>
          <t>S04 ual_12312025erex991.htm | Non-GAAP financial information - Free Cash Flow | 591</t>
        </r>
      </text>
    </comment>
    <comment ref="F39" authorId="0">
      <text>
        <r>
          <rPr>
            <sz val="9"/>
            <color rgb="FF000000"/>
            <rFont val="Arial"/>
            <family val="2"/>
          </rPr>
          <t>S05 ual_erx03312026xex991.htm | Non-GAAP financial information - Free Cash Flow | 0</t>
        </r>
      </text>
    </comment>
    <comment ref="G39" authorId="0">
      <text>
        <r>
          <rPr>
            <sz val="9"/>
            <color rgb="FF000000"/>
            <rFont val="Arial"/>
            <family val="2"/>
          </rPr>
          <t>S06 ual_erx06302026xex991.htm | Non-GAAP financial information - Free Cash Flow | 173</t>
        </r>
      </text>
    </comment>
    <comment ref="C40" authorId="0">
      <text>
        <r>
          <rPr>
            <sz val="9"/>
            <color rgb="FF000000"/>
            <rFont val="Arial"/>
            <family val="2"/>
          </rPr>
          <t>S03 ual_09302025erex991.htm | Non-GAAP financial information - Free Cash Flow | 35</t>
        </r>
      </text>
    </comment>
    <comment ref="D40" authorId="0">
      <text>
        <r>
          <rPr>
            <sz val="9"/>
            <color rgb="FF000000"/>
            <rFont val="Arial"/>
            <family val="2"/>
          </rPr>
          <t>S04 ual_12312025erex991.htm | Non-GAAP financial information - Free Cash Flow | 2</t>
        </r>
      </text>
    </comment>
    <comment ref="E40" authorId="0">
      <text>
        <r>
          <rPr>
            <sz val="9"/>
            <color rgb="FF000000"/>
            <rFont val="Arial"/>
            <family val="2"/>
          </rPr>
          <t>S04 ual_12312025erex991.htm | Non-GAAP financial information - Free Cash Flow | 38</t>
        </r>
      </text>
    </comment>
    <comment ref="F40" authorId="0">
      <text>
        <r>
          <rPr>
            <sz val="9"/>
            <color rgb="FF000000"/>
            <rFont val="Arial"/>
            <family val="2"/>
          </rPr>
          <t>S05 ual_erx03312026xex991.htm | Non-GAAP financial information - Free Cash Flow | (2)</t>
        </r>
      </text>
    </comment>
    <comment ref="G40" authorId="0">
      <text>
        <r>
          <rPr>
            <sz val="9"/>
            <color rgb="FF000000"/>
            <rFont val="Arial"/>
            <family val="2"/>
          </rPr>
          <t>S06 ual_erx06302026xex991.htm | Non-GAAP financial information - Free Cash Flow | (1)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S03 ual_09302025erex991.htm | Non-GAAP financial information - Free cash flow (Non-GAAP) | (153)</t>
        </r>
      </text>
    </comment>
    <comment ref="D42" authorId="0">
      <text>
        <r>
          <rPr>
            <sz val="9"/>
            <color rgb="FF000000"/>
            <rFont val="Arial"/>
            <family val="2"/>
          </rPr>
          <t>S04 ual_12312025erex991.htm | Non-GAAP financial information - Free cash flow (Non-GAAP) | (579)</t>
        </r>
      </text>
    </comment>
    <comment ref="E42" authorId="0">
      <text>
        <r>
          <rPr>
            <sz val="9"/>
            <color rgb="FF000000"/>
            <rFont val="Arial"/>
            <family val="2"/>
          </rPr>
          <t>S04 ual_12312025erex991.htm | Non-GAAP financial information - Free cash flow (Non-GAAP) | 2,710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S05 ual_erx03312026xex991.htm | Non-GAAP financial information - Free cash flow (Non-GAAP) | 2,903</t>
        </r>
      </text>
    </comment>
    <comment ref="G42" authorId="0">
      <text>
        <r>
          <rPr>
            <sz val="9"/>
            <color rgb="FF000000"/>
            <rFont val="Arial"/>
            <family val="2"/>
          </rPr>
          <t>S06 ual_erx06302026xex991.htm | Non-GAAP financial information - Free cash flow (Non-GAAP) | 322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S03 ual_09302025erex991.htm | Non-GAAP financial information - Adjusted capital expenditures | 1,881</t>
        </r>
      </text>
    </comment>
    <comment ref="D45" authorId="0">
      <text>
        <r>
          <rPr>
            <sz val="9"/>
            <color rgb="FF000000"/>
            <rFont val="Arial"/>
            <family val="2"/>
          </rPr>
          <t>S04 ual_12312025erex991.htm | Non-GAAP financial information - Adjusted capital expenditures | 1,916</t>
        </r>
      </text>
    </comment>
    <comment ref="E45" authorId="0">
      <text>
        <r>
          <rPr>
            <sz val="9"/>
            <color rgb="FF000000"/>
            <rFont val="Arial"/>
            <family val="2"/>
          </rPr>
          <t>S04 ual_12312025erex991.htm | Non-GAAP financial information - Adjusted capital expenditures | 6,266</t>
        </r>
      </text>
    </comment>
    <comment ref="F45" authorId="0">
      <text>
        <r>
          <rPr>
            <sz val="9"/>
            <color rgb="FF000000"/>
            <rFont val="Arial"/>
            <family val="2"/>
          </rPr>
          <t>S05 ual_erx03312026xex991.htm | Non-GAAP financial information - Adjusted capital expenditures | 1,719</t>
        </r>
      </text>
    </comment>
    <comment ref="G45" authorId="0">
      <text>
        <r>
          <rPr>
            <sz val="9"/>
            <color rgb="FF000000"/>
            <rFont val="Arial"/>
            <family val="2"/>
          </rPr>
          <t>S06 ual_erx06302026xex991.htm | Non-GAAP financial information - Adjusted capital expenditures | 1,448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1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| 8,099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| 8,301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S05 ual_erx03312026xex991.htm | Passenger revenue information and statistics | 7,915</t>
        </r>
      </text>
    </comment>
    <comment ref="G11" authorId="0">
      <text>
        <r>
          <rPr>
            <sz val="9"/>
            <color rgb="FF000000"/>
            <rFont val="Arial"/>
            <family val="2"/>
          </rPr>
          <t>S06 ual_erx06302026xex991.htm | Passenger revenue information and statistics | 9,506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(vs prior year) | 3.1%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(vs prior year) | 2.0%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- ASMs | 46,648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- ASMs | 45,230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S05 ual_erx03312026xex991.htm | Passenger revenue information and statistics - ASMs | 42,713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S06 ual_erx06302026xex991.htm | Passenger revenue information and statistics - ASMs | 48,330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(vs prior year) | 6.6%</t>
        </r>
      </text>
    </comment>
    <comment ref="D19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(vs prior year) | 4.0%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- RPMs | 39,815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- RPMs | 37,442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S05 ual_erx03312026xex991.htm | Passenger revenue information and statistics - RPMs | 34,915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S06 ual_erx06302026xex991.htm | Passenger revenue information and statistics - RPMs | 40,375</t>
        </r>
      </text>
    </comment>
    <comment ref="C25" authorId="0">
      <text>
        <r>
          <rPr>
            <sz val="9"/>
            <color rgb="FF000000"/>
            <rFont val="Arial"/>
            <family val="2"/>
          </rPr>
          <t>S03 ual_09302025erex991.htm | Select operating statistics - load factor change | -1.0 pts.</t>
        </r>
      </text>
    </comment>
    <comment ref="D25" authorId="0">
      <text>
        <r>
          <rPr>
            <sz val="9"/>
            <color rgb="FF000000"/>
            <rFont val="Arial"/>
            <family val="2"/>
          </rPr>
          <t>S04 ual_12312025erex991.htm | Select operating statistics - load factor change | -1.1 pts.</t>
        </r>
      </text>
    </comment>
    <comment ref="C28" authorId="0">
      <text>
        <r>
          <rPr>
            <sz val="9"/>
            <color rgb="FF000000"/>
            <rFont val="Arial"/>
            <family val="2"/>
          </rPr>
          <t>S03 ual_09302025erex991.htm | PRASM vs prior year | -3.3%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S04 ual_12312025erex991.htm | PRASM vs prior year | -1.9%</t>
        </r>
      </text>
    </comment>
    <comment ref="C31" authorId="0">
      <text>
        <r>
          <rPr>
            <sz val="9"/>
            <color rgb="FF000000"/>
            <rFont val="Arial"/>
            <family val="2"/>
          </rPr>
          <t>S03 ual_09302025erex991.htm | Yield vs prior year | -2.2%</t>
        </r>
      </text>
    </comment>
    <comment ref="D31" authorId="0">
      <text>
        <r>
          <rPr>
            <sz val="9"/>
            <color rgb="FF000000"/>
            <rFont val="Arial"/>
            <family val="2"/>
          </rPr>
          <t>S04 ual_12312025erex991.htm | Yield vs prior year | -0.5%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| 2,933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| 2,274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S05 ual_erx03312026xex991.htm | Passenger revenue information and statistics | 1,742</t>
        </r>
      </text>
    </comment>
    <comment ref="G34" authorId="0">
      <text>
        <r>
          <rPr>
            <sz val="9"/>
            <color rgb="FF000000"/>
            <rFont val="Arial"/>
            <family val="2"/>
          </rPr>
          <t>S06 ual_erx06302026xex991.htm | Passenger revenue information and statistics | 3,199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(vs prior year) | -1.3%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(vs prior year) | 8.7%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- ASMs | 19,063</t>
        </r>
      </text>
    </comment>
    <comment ref="D41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- ASMs | 13,945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S05 ual_erx03312026xex991.htm | Passenger revenue information and statistics - ASMs | 10,677</t>
        </r>
      </text>
    </comment>
    <comment ref="G41" authorId="0">
      <text>
        <r>
          <rPr>
            <sz val="9"/>
            <color rgb="FF000000"/>
            <rFont val="Arial"/>
            <family val="2"/>
          </rPr>
          <t>S06 ual_erx06302026xex991.htm | Passenger revenue information and statistics - ASMs | 17,270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(vs prior year) | 6.5%</t>
        </r>
      </text>
    </comment>
    <comment ref="D42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(vs prior year) | 7.3%</t>
        </r>
      </text>
    </comment>
    <comment ref="C44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- RPMs | 16,238</t>
        </r>
      </text>
    </comment>
    <comment ref="D44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- RPMs | 11,336</t>
        </r>
      </text>
    </comment>
    <comment ref="F44" authorId="0">
      <text>
        <r>
          <rPr>
            <sz val="9"/>
            <color rgb="FF000000"/>
            <rFont val="Arial"/>
            <family val="2"/>
          </rPr>
          <t>S05 ual_erx03312026xex991.htm | Passenger revenue information and statistics - RPMs | 8,328</t>
        </r>
      </text>
    </comment>
    <comment ref="G44" authorId="0">
      <text>
        <r>
          <rPr>
            <sz val="9"/>
            <color rgb="FF000000"/>
            <rFont val="Arial"/>
            <family val="2"/>
          </rPr>
          <t>S06 ual_erx06302026xex991.htm | Passenger revenue information and statistics - RPMs | 14,119</t>
        </r>
      </text>
    </comment>
    <comment ref="C51" authorId="0">
      <text>
        <r>
          <rPr>
            <sz val="9"/>
            <color rgb="FF000000"/>
            <rFont val="Arial"/>
            <family val="2"/>
          </rPr>
          <t>S03 ual_09302025erex991.htm | PRASM vs prior year | -7.3%</t>
        </r>
      </text>
    </comment>
    <comment ref="D51" authorId="0">
      <text>
        <r>
          <rPr>
            <sz val="9"/>
            <color rgb="FF000000"/>
            <rFont val="Arial"/>
            <family val="2"/>
          </rPr>
          <t>S04 ual_12312025erex991.htm | PRASM vs prior year | 1.3%</t>
        </r>
      </text>
    </comment>
    <comment ref="C54" authorId="0">
      <text>
        <r>
          <rPr>
            <sz val="9"/>
            <color rgb="FF000000"/>
            <rFont val="Arial"/>
            <family val="2"/>
          </rPr>
          <t>S03 ual_09302025erex991.htm | Yield vs prior year | -6.0%</t>
        </r>
      </text>
    </comment>
    <comment ref="D54" authorId="0">
      <text>
        <r>
          <rPr>
            <sz val="9"/>
            <color rgb="FF000000"/>
            <rFont val="Arial"/>
            <family val="2"/>
          </rPr>
          <t>S04 ual_12312025erex991.htm | Yield vs prior year | 1.6%</t>
        </r>
      </text>
    </comment>
    <comment ref="C57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| 347</t>
        </r>
      </text>
    </comment>
    <comment ref="D57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| 410</t>
        </r>
      </text>
    </comment>
    <comment ref="F57" authorId="0">
      <text>
        <r>
          <rPr>
            <sz val="9"/>
            <color rgb="FF000000"/>
            <rFont val="Arial"/>
            <family val="2"/>
          </rPr>
          <t>S05 ual_erx03312026xex991.htm | Passenger revenue information and statistics | 322</t>
        </r>
      </text>
    </comment>
    <comment ref="G57" authorId="0">
      <text>
        <r>
          <rPr>
            <sz val="9"/>
            <color rgb="FF000000"/>
            <rFont val="Arial"/>
            <family val="2"/>
          </rPr>
          <t>S06 ual_erx06302026xex991.htm | Passenger revenue information and statistics | 225</t>
        </r>
      </text>
    </comment>
    <comment ref="C58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(vs prior year) | 30.8%</t>
        </r>
      </text>
    </comment>
    <comment ref="D58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(vs prior year) | 58.7%</t>
        </r>
      </text>
    </comment>
    <comment ref="C64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- ASMs | 2,285</t>
        </r>
      </text>
    </comment>
    <comment ref="D64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- ASMs | 2,746</t>
        </r>
      </text>
    </comment>
    <comment ref="F64" authorId="0">
      <text>
        <r>
          <rPr>
            <sz val="9"/>
            <color rgb="FF000000"/>
            <rFont val="Arial"/>
            <family val="2"/>
          </rPr>
          <t>S05 ual_erx03312026xex991.htm | Passenger revenue information and statistics - ASMs | 2,205</t>
        </r>
      </text>
    </comment>
    <comment ref="G64" authorId="0">
      <text>
        <r>
          <rPr>
            <sz val="9"/>
            <color rgb="FF000000"/>
            <rFont val="Arial"/>
            <family val="2"/>
          </rPr>
          <t>S06 ual_erx06302026xex991.htm | Passenger revenue information and statistics - ASMs | 1,309</t>
        </r>
      </text>
    </comment>
    <comment ref="C65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(vs prior year) | 23.3%</t>
        </r>
      </text>
    </comment>
    <comment ref="D65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(vs prior year) | 56.0%</t>
        </r>
      </text>
    </comment>
    <comment ref="C67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- RPMs | 1,954</t>
        </r>
      </text>
    </comment>
    <comment ref="D67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- RPMs | 2,252</t>
        </r>
      </text>
    </comment>
    <comment ref="F67" authorId="0">
      <text>
        <r>
          <rPr>
            <sz val="9"/>
            <color rgb="FF000000"/>
            <rFont val="Arial"/>
            <family val="2"/>
          </rPr>
          <t>S05 ual_erx03312026xex991.htm | Passenger revenue information and statistics - RPMs | 1,808</t>
        </r>
      </text>
    </comment>
    <comment ref="G67" authorId="0">
      <text>
        <r>
          <rPr>
            <sz val="9"/>
            <color rgb="FF000000"/>
            <rFont val="Arial"/>
            <family val="2"/>
          </rPr>
          <t>S06 ual_erx06302026xex991.htm | Passenger revenue information and statistics - RPMs | 1,127</t>
        </r>
      </text>
    </comment>
    <comment ref="C74" authorId="0">
      <text>
        <r>
          <rPr>
            <sz val="9"/>
            <color rgb="FF000000"/>
            <rFont val="Arial"/>
            <family val="2"/>
          </rPr>
          <t>S03 ual_09302025erex991.htm | PRASM vs prior year | 6.1%</t>
        </r>
      </text>
    </comment>
    <comment ref="D74" authorId="0">
      <text>
        <r>
          <rPr>
            <sz val="9"/>
            <color rgb="FF000000"/>
            <rFont val="Arial"/>
            <family val="2"/>
          </rPr>
          <t>S04 ual_12312025erex991.htm | PRASM vs prior year | 1.7%</t>
        </r>
      </text>
    </comment>
    <comment ref="C77" authorId="0">
      <text>
        <r>
          <rPr>
            <sz val="9"/>
            <color rgb="FF000000"/>
            <rFont val="Arial"/>
            <family val="2"/>
          </rPr>
          <t>S03 ual_09302025erex991.htm | Yield vs prior year | 4.5%</t>
        </r>
      </text>
    </comment>
    <comment ref="D77" authorId="0">
      <text>
        <r>
          <rPr>
            <sz val="9"/>
            <color rgb="FF000000"/>
            <rFont val="Arial"/>
            <family val="2"/>
          </rPr>
          <t>S04 ual_12312025erex991.htm | Yield vs prior year | 1.1%</t>
        </r>
      </text>
    </comment>
    <comment ref="C81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(vs prior year) | 1.3%</t>
        </r>
      </text>
    </comment>
    <comment ref="D81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(vs prior year) | 14.2%</t>
        </r>
      </text>
    </comment>
    <comment ref="C88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(vs prior year) | 8.0%</t>
        </r>
      </text>
    </comment>
    <comment ref="D88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(vs prior year) | 13.1%</t>
        </r>
      </text>
    </comment>
    <comment ref="C97" authorId="0">
      <text>
        <r>
          <rPr>
            <sz val="9"/>
            <color rgb="FF000000"/>
            <rFont val="Arial"/>
            <family val="2"/>
          </rPr>
          <t>S03 ual_09302025erex991.htm | PRASM vs prior year | -6.2%</t>
        </r>
      </text>
    </comment>
    <comment ref="D97" authorId="0">
      <text>
        <r>
          <rPr>
            <sz val="9"/>
            <color rgb="FF000000"/>
            <rFont val="Arial"/>
            <family val="2"/>
          </rPr>
          <t>S04 ual_12312025erex991.htm | PRASM vs prior year | 0.9%</t>
        </r>
      </text>
    </comment>
    <comment ref="C100" authorId="0">
      <text>
        <r>
          <rPr>
            <sz val="9"/>
            <color rgb="FF000000"/>
            <rFont val="Arial"/>
            <family val="2"/>
          </rPr>
          <t>S03 ual_09302025erex991.htm | Yield vs prior year | -5.2%</t>
        </r>
      </text>
    </comment>
    <comment ref="D100" authorId="0">
      <text>
        <r>
          <rPr>
            <sz val="9"/>
            <color rgb="FF000000"/>
            <rFont val="Arial"/>
            <family val="2"/>
          </rPr>
          <t>S04 ual_12312025erex991.htm | Yield vs prior year | 1.1%</t>
        </r>
      </text>
    </comment>
    <comment ref="C103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| 1,359</t>
        </r>
      </text>
    </comment>
    <comment ref="D103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| 1,626</t>
        </r>
      </text>
    </comment>
    <comment ref="F103" authorId="0">
      <text>
        <r>
          <rPr>
            <sz val="9"/>
            <color rgb="FF000000"/>
            <rFont val="Arial"/>
            <family val="2"/>
          </rPr>
          <t>S05 ual_erx03312026xex991.htm | Passenger revenue information and statistics | 1,730</t>
        </r>
      </text>
    </comment>
    <comment ref="G103" authorId="0">
      <text>
        <r>
          <rPr>
            <sz val="9"/>
            <color rgb="FF000000"/>
            <rFont val="Arial"/>
            <family val="2"/>
          </rPr>
          <t>S06 ual_erx06302026xex991.htm | Passenger revenue information and statistics | 1,788</t>
        </r>
      </text>
    </comment>
    <comment ref="C104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(vs prior year) | 1.8%</t>
        </r>
      </text>
    </comment>
    <comment ref="D104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(vs prior year) | 10.1%</t>
        </r>
      </text>
    </comment>
    <comment ref="C110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- ASMs | 11,079</t>
        </r>
      </text>
    </comment>
    <comment ref="D110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- ASMs | 12,195</t>
        </r>
      </text>
    </comment>
    <comment ref="F110" authorId="0">
      <text>
        <r>
          <rPr>
            <sz val="9"/>
            <color rgb="FF000000"/>
            <rFont val="Arial"/>
            <family val="2"/>
          </rPr>
          <t>S05 ual_erx03312026xex991.htm | Passenger revenue information and statistics - ASMs | 12,608</t>
        </r>
      </text>
    </comment>
    <comment ref="G110" authorId="0">
      <text>
        <r>
          <rPr>
            <sz val="9"/>
            <color rgb="FF000000"/>
            <rFont val="Arial"/>
            <family val="2"/>
          </rPr>
          <t>S06 ual_erx06302026xex991.htm | Passenger revenue information and statistics - ASMs | 11,487</t>
        </r>
      </text>
    </comment>
    <comment ref="C111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(vs prior year) | 5.9%</t>
        </r>
      </text>
    </comment>
    <comment ref="D111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(vs prior year) | 5.7%</t>
        </r>
      </text>
    </comment>
    <comment ref="C113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- RPMs | 8,684</t>
        </r>
      </text>
    </comment>
    <comment ref="D113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- RPMs | 9,670</t>
        </r>
      </text>
    </comment>
    <comment ref="F113" authorId="0">
      <text>
        <r>
          <rPr>
            <sz val="9"/>
            <color rgb="FF000000"/>
            <rFont val="Arial"/>
            <family val="2"/>
          </rPr>
          <t>S05 ual_erx03312026xex991.htm | Passenger revenue information and statistics - RPMs | 10,319</t>
        </r>
      </text>
    </comment>
    <comment ref="G113" authorId="0">
      <text>
        <r>
          <rPr>
            <sz val="9"/>
            <color rgb="FF000000"/>
            <rFont val="Arial"/>
            <family val="2"/>
          </rPr>
          <t>S06 ual_erx06302026xex991.htm | Passenger revenue information and statistics - RPMs | 9,692</t>
        </r>
      </text>
    </comment>
    <comment ref="C120" authorId="0">
      <text>
        <r>
          <rPr>
            <sz val="9"/>
            <color rgb="FF000000"/>
            <rFont val="Arial"/>
            <family val="2"/>
          </rPr>
          <t>S03 ual_09302025erex991.htm | PRASM vs prior year | -3.9%</t>
        </r>
      </text>
    </comment>
    <comment ref="D120" authorId="0">
      <text>
        <r>
          <rPr>
            <sz val="9"/>
            <color rgb="FF000000"/>
            <rFont val="Arial"/>
            <family val="2"/>
          </rPr>
          <t>S04 ual_12312025erex991.htm | PRASM vs prior year | 4.2%</t>
        </r>
      </text>
    </comment>
    <comment ref="C123" authorId="0">
      <text>
        <r>
          <rPr>
            <sz val="9"/>
            <color rgb="FF000000"/>
            <rFont val="Arial"/>
            <family val="2"/>
          </rPr>
          <t>S03 ual_09302025erex991.htm | Yield vs prior year | -5.1%</t>
        </r>
      </text>
    </comment>
    <comment ref="D123" authorId="0">
      <text>
        <r>
          <rPr>
            <sz val="9"/>
            <color rgb="FF000000"/>
            <rFont val="Arial"/>
            <family val="2"/>
          </rPr>
          <t>S04 ual_12312025erex991.htm | Yield vs prior year | -0.2%</t>
        </r>
      </text>
    </comment>
    <comment ref="C126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| 1,078</t>
        </r>
      </text>
    </comment>
    <comment ref="D126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| 1,317</t>
        </r>
      </text>
    </comment>
    <comment ref="F126" authorId="0">
      <text>
        <r>
          <rPr>
            <sz val="9"/>
            <color rgb="FF000000"/>
            <rFont val="Arial"/>
            <family val="2"/>
          </rPr>
          <t>S05 ual_erx03312026xex991.htm | Passenger revenue information and statistics | 1,456</t>
        </r>
      </text>
    </comment>
    <comment ref="G126" authorId="0">
      <text>
        <r>
          <rPr>
            <sz val="9"/>
            <color rgb="FF000000"/>
            <rFont val="Arial"/>
            <family val="2"/>
          </rPr>
          <t>S06 ual_erx06302026xex991.htm | Passenger revenue information and statistics | 1,382</t>
        </r>
      </text>
    </comment>
    <comment ref="C127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(vs prior year) | -4.8%</t>
        </r>
      </text>
    </comment>
    <comment ref="D127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(vs prior year) | 0.5%</t>
        </r>
      </text>
    </comment>
    <comment ref="C133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- ASMs | 8,342</t>
        </r>
      </text>
    </comment>
    <comment ref="D133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- ASMs | 9,249</t>
        </r>
      </text>
    </comment>
    <comment ref="F133" authorId="0">
      <text>
        <r>
          <rPr>
            <sz val="9"/>
            <color rgb="FF000000"/>
            <rFont val="Arial"/>
            <family val="2"/>
          </rPr>
          <t>S05 ual_erx03312026xex991.htm | Passenger revenue information and statistics - ASMs | 9,494</t>
        </r>
      </text>
    </comment>
    <comment ref="G133" authorId="0">
      <text>
        <r>
          <rPr>
            <sz val="9"/>
            <color rgb="FF000000"/>
            <rFont val="Arial"/>
            <family val="2"/>
          </rPr>
          <t>S06 ual_erx06302026xex991.htm | Passenger revenue information and statistics - ASMs | 8,883</t>
        </r>
      </text>
    </comment>
    <comment ref="C134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(vs prior year) | 10.1%</t>
        </r>
      </text>
    </comment>
    <comment ref="D134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(vs prior year) | 8.7%</t>
        </r>
      </text>
    </comment>
    <comment ref="C136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- RPMs | 7,079</t>
        </r>
      </text>
    </comment>
    <comment ref="D136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- RPMs | 7,545</t>
        </r>
      </text>
    </comment>
    <comment ref="F136" authorId="0">
      <text>
        <r>
          <rPr>
            <sz val="9"/>
            <color rgb="FF000000"/>
            <rFont val="Arial"/>
            <family val="2"/>
          </rPr>
          <t>S05 ual_erx03312026xex991.htm | Passenger revenue information and statistics - RPMs | 8,015</t>
        </r>
      </text>
    </comment>
    <comment ref="G136" authorId="0">
      <text>
        <r>
          <rPr>
            <sz val="9"/>
            <color rgb="FF000000"/>
            <rFont val="Arial"/>
            <family val="2"/>
          </rPr>
          <t>S06 ual_erx06302026xex991.htm | Passenger revenue information and statistics - RPMs | 7,452</t>
        </r>
      </text>
    </comment>
    <comment ref="C143" authorId="0">
      <text>
        <r>
          <rPr>
            <sz val="9"/>
            <color rgb="FF000000"/>
            <rFont val="Arial"/>
            <family val="2"/>
          </rPr>
          <t>S03 ual_09302025erex991.htm | PRASM vs prior year | -13.5%</t>
        </r>
      </text>
    </comment>
    <comment ref="D143" authorId="0">
      <text>
        <r>
          <rPr>
            <sz val="9"/>
            <color rgb="FF000000"/>
            <rFont val="Arial"/>
            <family val="2"/>
          </rPr>
          <t>S04 ual_12312025erex991.htm | PRASM vs prior year | -7.6%</t>
        </r>
      </text>
    </comment>
    <comment ref="C146" authorId="0">
      <text>
        <r>
          <rPr>
            <sz val="9"/>
            <color rgb="FF000000"/>
            <rFont val="Arial"/>
            <family val="2"/>
          </rPr>
          <t>S03 ual_09302025erex991.htm | Yield vs prior year | -10.7%</t>
        </r>
      </text>
    </comment>
    <comment ref="D146" authorId="0">
      <text>
        <r>
          <rPr>
            <sz val="9"/>
            <color rgb="FF000000"/>
            <rFont val="Arial"/>
            <family val="2"/>
          </rPr>
          <t>S04 ual_12312025erex991.htm | Yield vs prior year | -4.8%</t>
        </r>
      </text>
    </comment>
    <comment ref="C150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(vs prior year) | 0.2%</t>
        </r>
      </text>
    </comment>
    <comment ref="D150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(vs prior year) | 9.5%</t>
        </r>
      </text>
    </comment>
    <comment ref="C157" authorId="0">
      <text>
        <r>
          <rPr>
            <sz val="9"/>
            <color rgb="FF000000"/>
            <rFont val="Arial"/>
            <family val="2"/>
          </rPr>
          <t>S03 ual_09302025erex991.htm | Passenger revenue information and statistics (vs prior year) | 7.9%</t>
        </r>
      </text>
    </comment>
    <comment ref="D157" authorId="0">
      <text>
        <r>
          <rPr>
            <sz val="9"/>
            <color rgb="FF000000"/>
            <rFont val="Arial"/>
            <family val="2"/>
          </rPr>
          <t>S04 ual_12312025erex991.htm | Passenger revenue information and statistics (vs prior year) | 9.6%</t>
        </r>
      </text>
    </comment>
    <comment ref="C163" authorId="0">
      <text>
        <r>
          <rPr>
            <sz val="9"/>
            <color rgb="FF000000"/>
            <rFont val="Arial"/>
            <family val="2"/>
          </rPr>
          <t>S03 ual_09302025erex991.htm | Select operating statistics - load factor change | -0.7 pts.</t>
        </r>
      </text>
    </comment>
    <comment ref="D163" authorId="0">
      <text>
        <r>
          <rPr>
            <sz val="9"/>
            <color rgb="FF000000"/>
            <rFont val="Arial"/>
            <family val="2"/>
          </rPr>
          <t>S04 ual_12312025erex991.htm | Select operating statistics - load factor change | 0.5 pts.</t>
        </r>
      </text>
    </comment>
    <comment ref="C166" authorId="0">
      <text>
        <r>
          <rPr>
            <sz val="9"/>
            <color rgb="FF000000"/>
            <rFont val="Arial"/>
            <family val="2"/>
          </rPr>
          <t>S03 ual_09302025erex991.htm | PRASM vs prior year | -7.1%</t>
        </r>
      </text>
    </comment>
    <comment ref="D166" authorId="0">
      <text>
        <r>
          <rPr>
            <sz val="9"/>
            <color rgb="FF000000"/>
            <rFont val="Arial"/>
            <family val="2"/>
          </rPr>
          <t>S04 ual_12312025erex991.htm | PRASM vs prior year | -0.1%</t>
        </r>
      </text>
    </comment>
    <comment ref="C169" authorId="0">
      <text>
        <r>
          <rPr>
            <sz val="9"/>
            <color rgb="FF000000"/>
            <rFont val="Arial"/>
            <family val="2"/>
          </rPr>
          <t>S03 ual_09302025erex991.htm | Yield vs prior year | -6.3%</t>
        </r>
      </text>
    </comment>
    <comment ref="D169" authorId="0">
      <text>
        <r>
          <rPr>
            <sz val="9"/>
            <color rgb="FF000000"/>
            <rFont val="Arial"/>
            <family val="2"/>
          </rPr>
          <t>S04 ual_12312025erex991.htm | Yield vs prior year | -0.6%</t>
        </r>
      </text>
    </comment>
    <comment ref="C198" authorId="0">
      <text>
        <r>
          <rPr>
            <sz val="9"/>
            <color rgb="FF000000"/>
            <rFont val="Arial"/>
            <family val="2"/>
          </rPr>
          <t>S10 ual-20250930.htm (10-Q) | Note 2 Revenue by Geography | 8,990</t>
        </r>
      </text>
    </comment>
    <comment ref="E198" authorId="0">
      <text>
        <r>
          <rPr>
            <sz val="9"/>
            <color rgb="FF000000"/>
            <rFont val="Arial"/>
            <family val="2"/>
          </rPr>
          <t>S11 ual-20251231 10-K XBRL R16/R48/R52 | Note 2 Revenue by Geography | 35,017</t>
        </r>
      </text>
    </comment>
    <comment ref="F198" authorId="0">
      <text>
        <r>
          <rPr>
            <sz val="9"/>
            <color rgb="FF000000"/>
            <rFont val="Arial"/>
            <family val="2"/>
          </rPr>
          <t>S09 ual-20260331.htm (10-Q) | Note 2 Revenue by Geography | 8,848</t>
        </r>
      </text>
    </comment>
    <comment ref="G198" authorId="0">
      <text>
        <r>
          <rPr>
            <sz val="9"/>
            <color rgb="FF000000"/>
            <rFont val="Arial"/>
            <family val="2"/>
          </rPr>
          <t>S08 ual-20260630.htm (10-Q) | Note 2 Revenue by Geography | 10,476</t>
        </r>
      </text>
    </comment>
    <comment ref="C205" authorId="0">
      <text>
        <r>
          <rPr>
            <sz val="9"/>
            <color rgb="FF000000"/>
            <rFont val="Arial"/>
            <family val="2"/>
          </rPr>
          <t>S10 ual-20250930.htm (10-Q) | Note 2 Revenue by Geography | 3,486</t>
        </r>
      </text>
    </comment>
    <comment ref="E205" authorId="0">
      <text>
        <r>
          <rPr>
            <sz val="9"/>
            <color rgb="FF000000"/>
            <rFont val="Arial"/>
            <family val="2"/>
          </rPr>
          <t>S11 ual-20251231 10-K XBRL R16/R48/R52 | Note 2 Revenue by Geography | 11,647</t>
        </r>
      </text>
    </comment>
    <comment ref="F205" authorId="0">
      <text>
        <r>
          <rPr>
            <sz val="9"/>
            <color rgb="FF000000"/>
            <rFont val="Arial"/>
            <family val="2"/>
          </rPr>
          <t>S09 ual-20260331.htm (10-Q) | Note 2 Revenue by Geography | 2,241</t>
        </r>
      </text>
    </comment>
    <comment ref="G205" authorId="0">
      <text>
        <r>
          <rPr>
            <sz val="9"/>
            <color rgb="FF000000"/>
            <rFont val="Arial"/>
            <family val="2"/>
          </rPr>
          <t>S08 ual-20260630.htm (10-Q) | Note 2 Revenue by Geography | 3,632</t>
        </r>
      </text>
    </comment>
    <comment ref="C212" authorId="0">
      <text>
        <r>
          <rPr>
            <sz val="9"/>
            <color rgb="FF000000"/>
            <rFont val="Arial"/>
            <family val="2"/>
          </rPr>
          <t>S10 ual-20250930.htm (10-Q) | Note 2 Revenue by Geography | 1,568</t>
        </r>
      </text>
    </comment>
    <comment ref="E212" authorId="0">
      <text>
        <r>
          <rPr>
            <sz val="9"/>
            <color rgb="FF000000"/>
            <rFont val="Arial"/>
            <family val="2"/>
          </rPr>
          <t>S11 ual-20251231 10-K XBRL R16/R48/R52 | Note 2 Revenue by Geography | 6,878</t>
        </r>
      </text>
    </comment>
    <comment ref="F212" authorId="0">
      <text>
        <r>
          <rPr>
            <sz val="9"/>
            <color rgb="FF000000"/>
            <rFont val="Arial"/>
            <family val="2"/>
          </rPr>
          <t>S09 ual-20260331.htm (10-Q) | Note 2 Revenue by Geography | 1,945</t>
        </r>
      </text>
    </comment>
    <comment ref="G212" authorId="0">
      <text>
        <r>
          <rPr>
            <sz val="9"/>
            <color rgb="FF000000"/>
            <rFont val="Arial"/>
            <family val="2"/>
          </rPr>
          <t>S08 ual-20260630.htm (10-Q) | Note 2 Revenue by Geography | 2,069</t>
        </r>
      </text>
    </comment>
    <comment ref="C219" authorId="0">
      <text>
        <r>
          <rPr>
            <sz val="9"/>
            <color rgb="FF000000"/>
            <rFont val="Arial"/>
            <family val="2"/>
          </rPr>
          <t>S10 ual-20250930.htm (10-Q) | Note 2 Revenue by Geography | 1,181</t>
        </r>
      </text>
    </comment>
    <comment ref="E219" authorId="0">
      <text>
        <r>
          <rPr>
            <sz val="9"/>
            <color rgb="FF000000"/>
            <rFont val="Arial"/>
            <family val="2"/>
          </rPr>
          <t>S11 ual-20251231 10-K XBRL R16/R48/R52 | Note 2 Revenue by Geography | 5,528</t>
        </r>
      </text>
    </comment>
    <comment ref="F219" authorId="0">
      <text>
        <r>
          <rPr>
            <sz val="9"/>
            <color rgb="FF000000"/>
            <rFont val="Arial"/>
            <family val="2"/>
          </rPr>
          <t>S09 ual-20260331.htm (10-Q) | Note 2 Revenue by Geography | 1,575</t>
        </r>
      </text>
    </comment>
    <comment ref="G219" authorId="0">
      <text>
        <r>
          <rPr>
            <sz val="9"/>
            <color rgb="FF000000"/>
            <rFont val="Arial"/>
            <family val="2"/>
          </rPr>
          <t>S08 ual-20260630.htm (10-Q) | Note 2 Revenue by Geography | 1,495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9" authorId="0">
      <text>
        <r>
          <rPr>
            <sz val="9"/>
            <color rgb="FF000000"/>
            <rFont val="Arial"/>
            <family val="2"/>
          </rPr>
          <t>S10 ual-20250930.htm (10-Q) | Note 3 Earnings per share - Basic weighted-average shares | 323.7</t>
        </r>
      </text>
    </comment>
    <comment ref="E9" authorId="0">
      <text>
        <r>
          <rPr>
            <sz val="9"/>
            <color rgb="FF000000"/>
            <rFont val="Arial"/>
            <family val="2"/>
          </rPr>
          <t>S11 ual-20251231 10-K XBRL R16/R48/R52 | Note 3 Earnings per share - Basic weighted-average shares | 324.9</t>
        </r>
      </text>
    </comment>
    <comment ref="F9" authorId="0">
      <text>
        <r>
          <rPr>
            <sz val="9"/>
            <color rgb="FF000000"/>
            <rFont val="Arial"/>
            <family val="2"/>
          </rPr>
          <t>S09 ual-20260331.htm (10-Q) | Note 3 Earnings per share - Basic weighted-average shares | 323.9</t>
        </r>
      </text>
    </comment>
    <comment ref="G9" authorId="0">
      <text>
        <r>
          <rPr>
            <sz val="9"/>
            <color rgb="FF000000"/>
            <rFont val="Arial"/>
            <family val="2"/>
          </rPr>
          <t>S08 ual-20260630.htm (10-Q) | Note 3 Earnings per share - Basic weighted-average shares | 324.6</t>
        </r>
      </text>
    </comment>
    <comment ref="C10" authorId="0">
      <text>
        <r>
          <rPr>
            <sz val="9"/>
            <color rgb="FF000000"/>
            <rFont val="Arial"/>
            <family val="2"/>
          </rPr>
          <t>S10 ual-20250930.htm (10-Q) | Note 3 - Dilutive effect of stock Warrants | —</t>
        </r>
      </text>
    </comment>
    <comment ref="D10" authorId="0">
      <text>
        <r>
          <rPr>
            <sz val="9"/>
            <color rgb="FF000000"/>
            <rFont val="Arial"/>
            <family val="2"/>
          </rPr>
          <t>S11 ual-20251231 10-K XBRL R52 | Warrants dilutive effect FY 0.3 vs 9M 0.4 (warrants exercised in 2025) | 0.0</t>
        </r>
      </text>
    </comment>
    <comment ref="E10" authorId="0">
      <text>
        <r>
          <rPr>
            <sz val="9"/>
            <color rgb="FF000000"/>
            <rFont val="Arial"/>
            <family val="2"/>
          </rPr>
          <t>S11 ual-20251231 10-K XBRL R16/R48/R52 | Note 3 - Dilutive effect of stock Warrants | 0.3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S09 ual-20260331.htm (10-Q) | Note 3 - Dilutive effect of stock Warrants | —</t>
        </r>
      </text>
    </comment>
    <comment ref="G10" authorId="0">
      <text>
        <r>
          <rPr>
            <sz val="9"/>
            <color rgb="FF000000"/>
            <rFont val="Arial"/>
            <family val="2"/>
          </rPr>
          <t>S08 ual-20260630.htm (10-Q) | Note 3 - Dilutive effect of stock Warrants | —</t>
        </r>
      </text>
    </comment>
    <comment ref="C11" authorId="0">
      <text>
        <r>
          <rPr>
            <sz val="9"/>
            <color rgb="FF000000"/>
            <rFont val="Arial"/>
            <family val="2"/>
          </rPr>
          <t>S10 ual-20250930.htm (10-Q) | Note 3 - Dilutive effect of employee stock awards | 3.2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S11 ual-20251231 10-K XBRL R16/R48/R52 | Note 3 - Dilutive effect of employee stock awards | 3.3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S09 ual-20260331.htm (10-Q) | Note 3 - Dilutive effect of employee stock awards | 2.9</t>
        </r>
      </text>
    </comment>
    <comment ref="G11" authorId="0">
      <text>
        <r>
          <rPr>
            <sz val="9"/>
            <color rgb="FF000000"/>
            <rFont val="Arial"/>
            <family val="2"/>
          </rPr>
          <t>S08 ual-20260630.htm (10-Q) | Note 3 - Dilutive effect of employee stock awards | 2.0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- Diluted weighted-average shares | 326.9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- Diluted weighted-average shares | 327.0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- Diluted weighted-average shares | 328.5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- Diluted weighted-average shares | 326.8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- Diluted weighted-average shares | 326.6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S10 ual-20250930.htm (10-Q) | Balance sheet - common stock outstanding shares | 323,743,462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S09 ual-20260331.htm (10-Q) | Balance sheet - common stock outstanding shares | 323,470,682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S09 ual-20260331.htm (10-Q) | Balance sheet - common stock outstanding shares | 324,603,702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S08 ual-20260630.htm (10-Q) | Balance sheet - common stock outstanding shares | 324,583,772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S10 ual-20250930.htm (10-Q) | Note 3 - shares repurchased (open market) | 0.2 million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S09 ual-20260331.htm (10-Q) | Note 3 - shares repurchased (open market) | 0.3 million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S08 ual-20260630.htm (10-Q) | Note 3 - shares repurchased (open market) | 0.0 million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E10" authorId="0">
      <text>
        <r>
          <rPr>
            <sz val="9"/>
            <color rgb="FF000000"/>
            <rFont val="Arial"/>
            <family val="2"/>
          </rPr>
          <t>S13 | 3Q25 Adjusted diluted EPS guidance low | 2.25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S13 | 3Q25 Adjusted diluted EPS guidance high | 2.75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S13 | FY25 Adjusted diluted EPS guidance low | 9.0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S13 | FY25 Adjusted diluted EPS guidance high | 11.0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S03 | 4Q25 Adjusted diluted EPS guidance low | 3.0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S03 | 4Q25 Adjusted diluted EPS guidance high | 3.5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S05 | 1Q26 Adjusted diluted EPS guidance low | 1.0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S05 | 1Q26 Adjusted diluted EPS guidance high | 1.5</t>
        </r>
      </text>
    </comment>
    <comment ref="E14" authorId="0">
      <text>
        <r>
          <rPr>
            <sz val="9"/>
            <color rgb="FF000000"/>
            <rFont val="Arial"/>
            <family val="2"/>
          </rPr>
          <t>S29 | FY26 Adjusted diluted EPS guidance low | 12.0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S29 | FY26 Adjusted diluted EPS guidance high | 14.0</t>
        </r>
      </text>
    </comment>
    <comment ref="E15" authorId="0">
      <text>
        <r>
          <rPr>
            <sz val="9"/>
            <color rgb="FF000000"/>
            <rFont val="Arial"/>
            <family val="2"/>
          </rPr>
          <t>S28 | 2Q26 Adjusted diluted EPS guidance low | 1.0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S28 | 2Q26 Adjusted diluted EPS guidance high | 2.0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S28 | FY26 Adjusted diluted EPS guidance low | 7.0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S28 | FY26 Adjusted diluted EPS guidance high | 11.0</t>
        </r>
      </text>
    </comment>
    <comment ref="E17" authorId="0">
      <text>
        <r>
          <rPr>
            <sz val="9"/>
            <color rgb="FF000000"/>
            <rFont val="Arial"/>
            <family val="2"/>
          </rPr>
          <t>S07 | 3Q26 Adjusted diluted EPS guidance low | 2.5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S07 | 3Q26 Adjusted diluted EPS guidance high | 3.5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S07 | FY26 Adjusted diluted EPS guidance low | 9.0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S07 | FY26 Adjusted diluted EPS guidance high | 11.0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S07 | 3Q26 All-in fuel price per gallon (assumption, $) guidance low | 3.69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S07 | 3Q26 All-in fuel price per gallon (assumption, $) guidance high | 3.69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S07 | 3Q26 Profit-sharing accrual ($m) guidance low | 135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S07 | 3Q26 Profit-sharing accrual ($m) guidance high | 220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S07 | 3Q26 Share-based comp for profit-sharing calc ($m) guidance low | 40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S07 | 3Q26 Share-based comp for profit-sharing calc ($m) guidance high | 40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S07 | 3Q26 TRASM growth Y/Y (exceed 2Q26 +12.1%; low bound only) guidance low | 0.121</t>
        </r>
      </text>
    </comment>
    <comment ref="E23" authorId="0">
      <text>
        <r>
          <rPr>
            <sz val="9"/>
            <color rgb="FF000000"/>
            <rFont val="Arial"/>
            <family val="2"/>
          </rPr>
          <t>S07 | 3Q26 Fuel price increase recovered via revenue guidance low | 0.8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S07 | 3Q26 Fuel price increase recovered via revenue guidance high | 0.9</t>
        </r>
      </text>
    </comment>
    <comment ref="E24" authorId="0">
      <text>
        <r>
          <rPr>
            <sz val="9"/>
            <color rgb="FF000000"/>
            <rFont val="Arial"/>
            <family val="2"/>
          </rPr>
          <t>S28 | 3Q26 Capacity (ASMs) Y/Y guidance low | 0.0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S28 | 3Q26 Capacity (ASMs) Y/Y guidance high | 0.02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S07 | FY26 Adjusted total capital expenditures ($bn) guidance low | 7.5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S07 | FY26 Adjusted total capital expenditures ($bn) guidance high | 7.5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6" authorId="0">
      <text>
        <r>
          <rPr>
            <sz val="9"/>
            <color rgb="FF000000"/>
            <rFont val="Arial"/>
            <family val="2"/>
          </rPr>
          <t>S01 UAL_consensus.json | analyst_count | 19</t>
        </r>
      </text>
    </comment>
    <comment ref="C17" authorId="0">
      <text>
        <r>
          <rPr>
            <sz val="9"/>
            <color rgb="FF000000"/>
            <rFont val="Arial"/>
            <family val="2"/>
          </rPr>
          <t>S01 UAL_consensus.json | consensus_eps | 2.59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S01 UAL_consensus.json | consensus_revenue_m | 17899.19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S01 UAL_consensus.json | summary_row.capiq_company_id | 309845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S01 UAL_consensus.json | summary_row.eps_normalized_estimates | 19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S01 UAL_consensus.json | summary_row.eps_normalized_contributors | 20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S01 UAL_consensus.json | summary_row.eps_normalized_mean | 2.59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S01 UAL_consensus.json | summary_row.eps_normalized_median | 2.55</t>
        </r>
      </text>
    </comment>
    <comment ref="C47" authorId="0">
      <text>
        <r>
          <rPr>
            <sz val="9"/>
            <color rgb="FF000000"/>
            <rFont val="Arial"/>
            <family val="2"/>
          </rPr>
          <t>S01 UAL_consensus.json | summary_row.eps_normalized_high | 3.01</t>
        </r>
      </text>
    </comment>
    <comment ref="C48" authorId="0">
      <text>
        <r>
          <rPr>
            <sz val="9"/>
            <color rgb="FF000000"/>
            <rFont val="Arial"/>
            <family val="2"/>
          </rPr>
          <t>S01 UAL_consensus.json | summary_row.eps_normalized_low | 2.29</t>
        </r>
      </text>
    </comment>
    <comment ref="C49" authorId="0">
      <text>
        <r>
          <rPr>
            <sz val="9"/>
            <color rgb="FF000000"/>
            <rFont val="Arial"/>
            <family val="2"/>
          </rPr>
          <t>S01 UAL_consensus.json | summary_row.eps_normalized_std_dev | 0.14</t>
        </r>
      </text>
    </comment>
    <comment ref="C50" authorId="0">
      <text>
        <r>
          <rPr>
            <sz val="9"/>
            <color rgb="FF000000"/>
            <rFont val="Arial"/>
            <family val="2"/>
          </rPr>
          <t>S01 UAL_consensus.json | summary_row.eps_normalized_n_est | 19</t>
        </r>
      </text>
    </comment>
    <comment ref="C52" authorId="0">
      <text>
        <r>
          <rPr>
            <sz val="9"/>
            <color rgb="FF000000"/>
            <rFont val="Arial"/>
            <family val="2"/>
          </rPr>
          <t>S01 UAL_consensus.json | summary_row.eps_normalized_guidance_low | 2.5</t>
        </r>
      </text>
    </comment>
    <comment ref="C53" authorId="0">
      <text>
        <r>
          <rPr>
            <sz val="9"/>
            <color rgb="FF000000"/>
            <rFont val="Arial"/>
            <family val="2"/>
          </rPr>
          <t>S01 UAL_consensus.json | summary_row.eps_normalized_guidance_high | 3.5</t>
        </r>
      </text>
    </comment>
    <comment ref="C54" authorId="0">
      <text>
        <r>
          <rPr>
            <sz val="9"/>
            <color rgb="FF000000"/>
            <rFont val="Arial"/>
            <family val="2"/>
          </rPr>
          <t>S01 UAL_consensus.json | summary_row.eps_gaap_mean | 2.79</t>
        </r>
      </text>
    </comment>
    <comment ref="C55" authorId="0">
      <text>
        <r>
          <rPr>
            <sz val="9"/>
            <color rgb="FF000000"/>
            <rFont val="Arial"/>
            <family val="2"/>
          </rPr>
          <t>S01 UAL_consensus.json | summary_row.eps_gaap_median | 2.68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S01 UAL_consensus.json | summary_row.eps_gaap_high | 3.43</t>
        </r>
      </text>
    </comment>
    <comment ref="C57" authorId="0">
      <text>
        <r>
          <rPr>
            <sz val="9"/>
            <color rgb="FF000000"/>
            <rFont val="Arial"/>
            <family val="2"/>
          </rPr>
          <t>S01 UAL_consensus.json | summary_row.eps_gaap_low | 2.45</t>
        </r>
      </text>
    </comment>
    <comment ref="C58" authorId="0">
      <text>
        <r>
          <rPr>
            <sz val="9"/>
            <color rgb="FF000000"/>
            <rFont val="Arial"/>
            <family val="2"/>
          </rPr>
          <t>S01 UAL_consensus.json | summary_row.eps_gaap_std_dev | 0.31</t>
        </r>
      </text>
    </comment>
    <comment ref="C59" authorId="0">
      <text>
        <r>
          <rPr>
            <sz val="9"/>
            <color rgb="FF000000"/>
            <rFont val="Arial"/>
            <family val="2"/>
          </rPr>
          <t>S01 UAL_consensus.json | summary_row.eps_gaap_n_est | 7</t>
        </r>
      </text>
    </comment>
    <comment ref="C63" authorId="0">
      <text>
        <r>
          <rPr>
            <sz val="9"/>
            <color rgb="FF000000"/>
            <rFont val="Arial"/>
            <family val="2"/>
          </rPr>
          <t>S01 UAL_consensus.json | summary_row.revenue_mean | 17899.19</t>
        </r>
      </text>
    </comment>
    <comment ref="C64" authorId="0">
      <text>
        <r>
          <rPr>
            <sz val="9"/>
            <color rgb="FF000000"/>
            <rFont val="Arial"/>
            <family val="2"/>
          </rPr>
          <t>S01 UAL_consensus.json | summary_row.revenue_median | 17931.49</t>
        </r>
      </text>
    </comment>
    <comment ref="C65" authorId="0">
      <text>
        <r>
          <rPr>
            <sz val="9"/>
            <color rgb="FF000000"/>
            <rFont val="Arial"/>
            <family val="2"/>
          </rPr>
          <t>S01 UAL_consensus.json | summary_row.revenue_high | 18018.0</t>
        </r>
      </text>
    </comment>
    <comment ref="C66" authorId="0">
      <text>
        <r>
          <rPr>
            <sz val="9"/>
            <color rgb="FF000000"/>
            <rFont val="Arial"/>
            <family val="2"/>
          </rPr>
          <t>S01 UAL_consensus.json | summary_row.revenue_low | 17688.0</t>
        </r>
      </text>
    </comment>
    <comment ref="C67" authorId="0">
      <text>
        <r>
          <rPr>
            <sz val="9"/>
            <color rgb="FF000000"/>
            <rFont val="Arial"/>
            <family val="2"/>
          </rPr>
          <t>S01 UAL_consensus.json | summary_row.revenue_std_dev | 97.49</t>
        </r>
      </text>
    </comment>
    <comment ref="C68" authorId="0">
      <text>
        <r>
          <rPr>
            <sz val="9"/>
            <color rgb="FF000000"/>
            <rFont val="Arial"/>
            <family val="2"/>
          </rPr>
          <t>S01 UAL_consensus.json | summary_row.revenue_n_est | 16</t>
        </r>
      </text>
    </comment>
    <comment ref="C72" authorId="0">
      <text>
        <r>
          <rPr>
            <sz val="9"/>
            <color rgb="FF000000"/>
            <rFont val="Arial"/>
            <family val="2"/>
          </rPr>
          <t>S01 UAL_consensus.json | summary_row.ebitda | 2090.35</t>
        </r>
      </text>
    </comment>
    <comment ref="C73" authorId="0">
      <text>
        <r>
          <rPr>
            <sz val="9"/>
            <color rgb="FF000000"/>
            <rFont val="Arial"/>
            <family val="2"/>
          </rPr>
          <t>S01 UAL_consensus.json | summary_row.ebit | 1254.16</t>
        </r>
      </text>
    </comment>
    <comment ref="C74" authorId="0">
      <text>
        <r>
          <rPr>
            <sz val="9"/>
            <color rgb="FF000000"/>
            <rFont val="Arial"/>
            <family val="2"/>
          </rPr>
          <t>S01 UAL_consensus.json | summary_row.ebt_excl_excep | 1137.25</t>
        </r>
      </text>
    </comment>
    <comment ref="C75" authorId="0">
      <text>
        <r>
          <rPr>
            <sz val="9"/>
            <color rgb="FF000000"/>
            <rFont val="Arial"/>
            <family val="2"/>
          </rPr>
          <t>S01 UAL_consensus.json | summary_row.ebt_gaap | 1204.4</t>
        </r>
      </text>
    </comment>
    <comment ref="C76" authorId="0">
      <text>
        <r>
          <rPr>
            <sz val="9"/>
            <color rgb="FF000000"/>
            <rFont val="Arial"/>
            <family val="2"/>
          </rPr>
          <t>S01 UAL_consensus.json | summary_row.net_income_excl_excep | 859.78</t>
        </r>
      </text>
    </comment>
    <comment ref="C77" authorId="0">
      <text>
        <r>
          <rPr>
            <sz val="9"/>
            <color rgb="FF000000"/>
            <rFont val="Arial"/>
            <family val="2"/>
          </rPr>
          <t>S01 UAL_consensus.json | summary_row.net_income_gaap | 909.74</t>
        </r>
      </text>
    </comment>
    <comment ref="C80" authorId="0">
      <text>
        <r>
          <rPr>
            <sz val="9"/>
            <color rgb="FF000000"/>
            <rFont val="Arial"/>
            <family val="2"/>
          </rPr>
          <t>S01 UAL_consensus.json | summary_row.d_and_a | 767.11</t>
        </r>
      </text>
    </comment>
    <comment ref="C84" authorId="0">
      <text>
        <r>
          <rPr>
            <sz val="9"/>
            <color rgb="FF000000"/>
            <rFont val="Arial"/>
            <family val="2"/>
          </rPr>
          <t>S01 UAL_consensus.json | summary_row.interest_expense | -345.0</t>
        </r>
      </text>
    </comment>
    <comment ref="C85" authorId="0">
      <text>
        <r>
          <rPr>
            <sz val="9"/>
            <color rgb="FF000000"/>
            <rFont val="Arial"/>
            <family val="2"/>
          </rPr>
          <t>S01 UAL_consensus.json | summary_row.net_debt | 11354.49</t>
        </r>
      </text>
    </comment>
    <comment ref="C88" authorId="0">
      <text>
        <r>
          <rPr>
            <sz val="9"/>
            <color rgb="FF000000"/>
            <rFont val="Arial"/>
            <family val="2"/>
          </rPr>
          <t>S01 UAL_consensus.json | summary_row.target_price_mean | 152.48</t>
        </r>
      </text>
    </comment>
    <comment ref="C89" authorId="0">
      <text>
        <r>
          <rPr>
            <sz val="9"/>
            <color rgb="FF000000"/>
            <rFont val="Arial"/>
            <family val="2"/>
          </rPr>
          <t>S01 UAL_consensus.json | summary_row.target_price_median | 150.0</t>
        </r>
      </text>
    </comment>
    <comment ref="C90" authorId="0">
      <text>
        <r>
          <rPr>
            <sz val="9"/>
            <color rgb="FF000000"/>
            <rFont val="Arial"/>
            <family val="2"/>
          </rPr>
          <t>S01 UAL_consensus.json | summary_row.target_price_high | 203.0</t>
        </r>
      </text>
    </comment>
    <comment ref="C91" authorId="0">
      <text>
        <r>
          <rPr>
            <sz val="9"/>
            <color rgb="FF000000"/>
            <rFont val="Arial"/>
            <family val="2"/>
          </rPr>
          <t>S01 UAL_consensus.json | summary_row.target_price_low | 102.0</t>
        </r>
      </text>
    </comment>
    <comment ref="C92" authorId="0">
      <text>
        <r>
          <rPr>
            <sz val="9"/>
            <color rgb="FF000000"/>
            <rFont val="Arial"/>
            <family val="2"/>
          </rPr>
          <t>S01 UAL_consensus.json | summary_row.target_price_std_dev | 20.28</t>
        </r>
      </text>
    </comment>
    <comment ref="C93" authorId="0">
      <text>
        <r>
          <rPr>
            <sz val="9"/>
            <color rgb="FF000000"/>
            <rFont val="Arial"/>
            <family val="2"/>
          </rPr>
          <t>S01 UAL_consensus.json | summary_row.target_price_n_est | 23</t>
        </r>
      </text>
    </comment>
    <comment ref="C95" authorId="0">
      <text>
        <r>
          <rPr>
            <sz val="9"/>
            <color rgb="FF000000"/>
            <rFont val="Arial"/>
            <family val="2"/>
          </rPr>
          <t>S01 UAL_consensus.json | summary_row.recommendation_score | 1.32</t>
        </r>
      </text>
    </comment>
    <comment ref="C96" authorId="0">
      <text>
        <r>
          <rPr>
            <sz val="9"/>
            <color rgb="FF000000"/>
            <rFont val="Arial"/>
            <family val="2"/>
          </rPr>
          <t>S01 UAL_consensus.json | summary_row.last_close_price | 96.1</t>
        </r>
      </text>
    </comment>
    <comment ref="D103" authorId="0">
      <text>
        <r>
          <rPr>
            <sz val="9"/>
            <color rgb="FF000000"/>
            <rFont val="Arial"/>
            <family val="2"/>
          </rPr>
          <t>S02 UAL_history.csv | 2025-03-31 eps_normalized_consensus | 0.74</t>
        </r>
      </text>
    </comment>
    <comment ref="E103" authorId="0">
      <text>
        <r>
          <rPr>
            <sz val="9"/>
            <color rgb="FF000000"/>
            <rFont val="Arial"/>
            <family val="2"/>
          </rPr>
          <t>S02 UAL_history.csv | 2025-03-31 eps_normalized_actual | 0.91</t>
        </r>
      </text>
    </comment>
    <comment ref="F103" authorId="0">
      <text>
        <r>
          <rPr>
            <sz val="9"/>
            <color rgb="FF000000"/>
            <rFont val="Arial"/>
            <family val="2"/>
          </rPr>
          <t>S02 UAL_history.csv | 2025-03-31 eps_gaap_consensus | 0.73</t>
        </r>
      </text>
    </comment>
    <comment ref="G103" authorId="0">
      <text>
        <r>
          <rPr>
            <sz val="9"/>
            <color rgb="FF000000"/>
            <rFont val="Arial"/>
            <family val="2"/>
          </rPr>
          <t>S02 UAL_history.csv | 2025-03-31 eps_gaap_actual | 1.16</t>
        </r>
      </text>
    </comment>
    <comment ref="H103" authorId="0">
      <text>
        <r>
          <rPr>
            <sz val="9"/>
            <color rgb="FF000000"/>
            <rFont val="Arial"/>
            <family val="2"/>
          </rPr>
          <t>S02 UAL_history.csv | 2025-03-31 revenue_m_consensus | 13183.74</t>
        </r>
      </text>
    </comment>
    <comment ref="I103" authorId="0">
      <text>
        <r>
          <rPr>
            <sz val="9"/>
            <color rgb="FF000000"/>
            <rFont val="Arial"/>
            <family val="2"/>
          </rPr>
          <t>S02 UAL_history.csv | 2025-03-31 revenue_m_actual | 13213.0</t>
        </r>
      </text>
    </comment>
    <comment ref="D104" authorId="0">
      <text>
        <r>
          <rPr>
            <sz val="9"/>
            <color rgb="FF000000"/>
            <rFont val="Arial"/>
            <family val="2"/>
          </rPr>
          <t>S02 UAL_history.csv | 2025-06-30 eps_normalized_consensus | 3.81</t>
        </r>
      </text>
    </comment>
    <comment ref="E104" authorId="0">
      <text>
        <r>
          <rPr>
            <sz val="9"/>
            <color rgb="FF000000"/>
            <rFont val="Arial"/>
            <family val="2"/>
          </rPr>
          <t>S02 UAL_history.csv | 2025-06-30 eps_normalized_actual | 3.87</t>
        </r>
      </text>
    </comment>
    <comment ref="F104" authorId="0">
      <text>
        <r>
          <rPr>
            <sz val="9"/>
            <color rgb="FF000000"/>
            <rFont val="Arial"/>
            <family val="2"/>
          </rPr>
          <t>S02 UAL_history.csv | 2025-06-30 eps_gaap_consensus | 3.88</t>
        </r>
      </text>
    </comment>
    <comment ref="G104" authorId="0">
      <text>
        <r>
          <rPr>
            <sz val="9"/>
            <color rgb="FF000000"/>
            <rFont val="Arial"/>
            <family val="2"/>
          </rPr>
          <t>S02 UAL_history.csv | 2025-06-30 eps_gaap_actual | 2.97</t>
        </r>
      </text>
    </comment>
    <comment ref="H104" authorId="0">
      <text>
        <r>
          <rPr>
            <sz val="9"/>
            <color rgb="FF000000"/>
            <rFont val="Arial"/>
            <family val="2"/>
          </rPr>
          <t>S02 UAL_history.csv | 2025-06-30 revenue_m_consensus | 15340.46</t>
        </r>
      </text>
    </comment>
    <comment ref="I104" authorId="0">
      <text>
        <r>
          <rPr>
            <sz val="9"/>
            <color rgb="FF000000"/>
            <rFont val="Arial"/>
            <family val="2"/>
          </rPr>
          <t>S02 UAL_history.csv | 2025-06-30 revenue_m_actual | 15236.0</t>
        </r>
      </text>
    </comment>
    <comment ref="D105" authorId="0">
      <text>
        <r>
          <rPr>
            <sz val="9"/>
            <color rgb="FF000000"/>
            <rFont val="Arial"/>
            <family val="2"/>
          </rPr>
          <t>S02 UAL_history.csv | 2025-09-30 eps_normalized_consensus | 2.68</t>
        </r>
      </text>
    </comment>
    <comment ref="E105" authorId="0">
      <text>
        <r>
          <rPr>
            <sz val="9"/>
            <color rgb="FF000000"/>
            <rFont val="Arial"/>
            <family val="2"/>
          </rPr>
          <t>S02 UAL_history.csv | 2025-09-30 eps_normalized_actual | 2.78</t>
        </r>
      </text>
    </comment>
    <comment ref="F105" authorId="0">
      <text>
        <r>
          <rPr>
            <sz val="9"/>
            <color rgb="FF000000"/>
            <rFont val="Arial"/>
            <family val="2"/>
          </rPr>
          <t>S02 UAL_history.csv | 2025-09-30 eps_gaap_consensus | 2.73</t>
        </r>
      </text>
    </comment>
    <comment ref="G105" authorId="0">
      <text>
        <r>
          <rPr>
            <sz val="9"/>
            <color rgb="FF000000"/>
            <rFont val="Arial"/>
            <family val="2"/>
          </rPr>
          <t>S02 UAL_history.csv | 2025-09-30 eps_gaap_actual | 2.9</t>
        </r>
      </text>
    </comment>
    <comment ref="H105" authorId="0">
      <text>
        <r>
          <rPr>
            <sz val="9"/>
            <color rgb="FF000000"/>
            <rFont val="Arial"/>
            <family val="2"/>
          </rPr>
          <t>S02 UAL_history.csv | 2025-09-30 revenue_m_consensus | 15293.99</t>
        </r>
      </text>
    </comment>
    <comment ref="I105" authorId="0">
      <text>
        <r>
          <rPr>
            <sz val="9"/>
            <color rgb="FF000000"/>
            <rFont val="Arial"/>
            <family val="2"/>
          </rPr>
          <t>S02 UAL_history.csv | 2025-09-30 revenue_m_actual | 15225.0</t>
        </r>
      </text>
    </comment>
    <comment ref="D106" authorId="0">
      <text>
        <r>
          <rPr>
            <sz val="9"/>
            <color rgb="FF000000"/>
            <rFont val="Arial"/>
            <family val="2"/>
          </rPr>
          <t>S02 UAL_history.csv | 2025-12-31 eps_normalized_consensus | 2.94</t>
        </r>
      </text>
    </comment>
    <comment ref="E106" authorId="0">
      <text>
        <r>
          <rPr>
            <sz val="9"/>
            <color rgb="FF000000"/>
            <rFont val="Arial"/>
            <family val="2"/>
          </rPr>
          <t>S02 UAL_history.csv | 2025-12-31 eps_normalized_actual | 3.1</t>
        </r>
      </text>
    </comment>
    <comment ref="F106" authorId="0">
      <text>
        <r>
          <rPr>
            <sz val="9"/>
            <color rgb="FF000000"/>
            <rFont val="Arial"/>
            <family val="2"/>
          </rPr>
          <t>S02 UAL_history.csv | 2025-12-31 eps_gaap_consensus | 2.92</t>
        </r>
      </text>
    </comment>
    <comment ref="G106" authorId="0">
      <text>
        <r>
          <rPr>
            <sz val="9"/>
            <color rgb="FF000000"/>
            <rFont val="Arial"/>
            <family val="2"/>
          </rPr>
          <t>S02 UAL_history.csv | 2025-12-31 eps_gaap_actual | 3.19</t>
        </r>
      </text>
    </comment>
    <comment ref="H106" authorId="0">
      <text>
        <r>
          <rPr>
            <sz val="9"/>
            <color rgb="FF000000"/>
            <rFont val="Arial"/>
            <family val="2"/>
          </rPr>
          <t>S02 UAL_history.csv | 2025-12-31 revenue_m_consensus | 15343.06</t>
        </r>
      </text>
    </comment>
    <comment ref="I106" authorId="0">
      <text>
        <r>
          <rPr>
            <sz val="9"/>
            <color rgb="FF000000"/>
            <rFont val="Arial"/>
            <family val="2"/>
          </rPr>
          <t>S02 UAL_history.csv | 2025-12-31 revenue_m_actual | 15397.0</t>
        </r>
      </text>
    </comment>
    <comment ref="D107" authorId="0">
      <text>
        <r>
          <rPr>
            <sz val="9"/>
            <color rgb="FF000000"/>
            <rFont val="Arial"/>
            <family val="2"/>
          </rPr>
          <t>S02 UAL_history.csv | 2026-03-31 eps_normalized_consensus | 1.08</t>
        </r>
      </text>
    </comment>
    <comment ref="E107" authorId="0">
      <text>
        <r>
          <rPr>
            <sz val="9"/>
            <color rgb="FF000000"/>
            <rFont val="Arial"/>
            <family val="2"/>
          </rPr>
          <t>S02 UAL_history.csv | 2026-03-31 eps_normalized_actual | 1.19</t>
        </r>
      </text>
    </comment>
    <comment ref="F107" authorId="0">
      <text>
        <r>
          <rPr>
            <sz val="9"/>
            <color rgb="FF000000"/>
            <rFont val="Arial"/>
            <family val="2"/>
          </rPr>
          <t>S02 UAL_history.csv | 2026-03-31 eps_gaap_consensus | 1.12</t>
        </r>
      </text>
    </comment>
    <comment ref="G107" authorId="0">
      <text>
        <r>
          <rPr>
            <sz val="9"/>
            <color rgb="FF000000"/>
            <rFont val="Arial"/>
            <family val="2"/>
          </rPr>
          <t>S02 UAL_history.csv | 2026-03-31 eps_gaap_actual | 2.14</t>
        </r>
      </text>
    </comment>
    <comment ref="H107" authorId="0">
      <text>
        <r>
          <rPr>
            <sz val="9"/>
            <color rgb="FF000000"/>
            <rFont val="Arial"/>
            <family val="2"/>
          </rPr>
          <t>S02 UAL_history.csv | 2026-03-31 revenue_m_consensus | 14375.93</t>
        </r>
      </text>
    </comment>
    <comment ref="I107" authorId="0">
      <text>
        <r>
          <rPr>
            <sz val="9"/>
            <color rgb="FF000000"/>
            <rFont val="Arial"/>
            <family val="2"/>
          </rPr>
          <t>S02 UAL_history.csv | 2026-03-31 revenue_m_actual | 14608.0</t>
        </r>
      </text>
    </comment>
    <comment ref="D108" authorId="0">
      <text>
        <r>
          <rPr>
            <sz val="9"/>
            <color rgb="FF000000"/>
            <rFont val="Arial"/>
            <family val="2"/>
          </rPr>
          <t>S02 UAL_history.csv | 2026-06-30 eps_normalized_consensus | 1.85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S02 UAL_history.csv | 2026-06-30 eps_normalized_actual | 1.99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S02 UAL_history.csv | 2026-06-30 eps_gaap_consensus | 1.79</t>
        </r>
      </text>
    </comment>
    <comment ref="G108" authorId="0">
      <text>
        <r>
          <rPr>
            <sz val="9"/>
            <color rgb="FF000000"/>
            <rFont val="Arial"/>
            <family val="2"/>
          </rPr>
          <t>S02 UAL_history.csv | 2026-06-30 eps_gaap_actual | 2.46</t>
        </r>
      </text>
    </comment>
    <comment ref="H108" authorId="0">
      <text>
        <r>
          <rPr>
            <sz val="9"/>
            <color rgb="FF000000"/>
            <rFont val="Arial"/>
            <family val="2"/>
          </rPr>
          <t>S02 UAL_history.csv | 2026-06-30 revenue_m_consensus | 17570.97</t>
        </r>
      </text>
    </comment>
    <comment ref="I108" authorId="0">
      <text>
        <r>
          <rPr>
            <sz val="9"/>
            <color rgb="FF000000"/>
            <rFont val="Arial"/>
            <family val="2"/>
          </rPr>
          <t>S02 UAL_history.csv | 2026-06-30 revenue_m_actual | 17672.0</t>
        </r>
      </text>
    </comment>
    <comment ref="C119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13,561</t>
        </r>
      </text>
    </comment>
    <comment ref="D119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13,275</t>
        </r>
      </text>
    </comment>
    <comment ref="E119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51,829</t>
        </r>
      </text>
    </comment>
    <comment ref="F119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11,860</t>
        </r>
      </text>
    </comment>
    <comment ref="G119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13,836</t>
        </r>
      </text>
    </comment>
    <comment ref="C120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417</t>
        </r>
      </text>
    </comment>
    <comment ref="D120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521</t>
        </r>
      </text>
    </comment>
    <comment ref="E120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1,743</t>
        </r>
      </text>
    </comment>
    <comment ref="F120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429</t>
        </r>
      </text>
    </comment>
    <comment ref="G120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430</t>
        </r>
      </text>
    </comment>
    <comment ref="C121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865</t>
        </r>
      </text>
    </comment>
    <comment ref="D121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899</t>
        </r>
      </text>
    </comment>
    <comment ref="E121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3,491</t>
        </r>
      </text>
    </comment>
    <comment ref="F121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923</t>
        </r>
      </text>
    </comment>
    <comment ref="G121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970</t>
        </r>
      </text>
    </comment>
    <comment ref="C122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14,843</t>
        </r>
      </text>
    </comment>
    <comment ref="D122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14,695</t>
        </r>
      </text>
    </comment>
    <comment ref="E122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57,063</t>
        </r>
      </text>
    </comment>
    <comment ref="F122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13,213</t>
        </r>
      </text>
    </comment>
    <comment ref="G122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15,236</t>
        </r>
      </text>
    </comment>
    <comment ref="C123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4,323</t>
        </r>
      </text>
    </comment>
    <comment ref="D123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4,325</t>
        </r>
      </text>
    </comment>
    <comment ref="E123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16,678</t>
        </r>
      </text>
    </comment>
    <comment ref="F123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4,155</t>
        </r>
      </text>
    </comment>
    <comment ref="G123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4,413</t>
        </r>
      </text>
    </comment>
    <comment ref="C124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2,993</t>
        </r>
      </text>
    </comment>
    <comment ref="D124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2,676</t>
        </r>
      </text>
    </comment>
    <comment ref="E124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11,756</t>
        </r>
      </text>
    </comment>
    <comment ref="F124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2,701</t>
        </r>
      </text>
    </comment>
    <comment ref="G124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2,775</t>
        </r>
      </text>
    </comment>
    <comment ref="C125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866</t>
        </r>
      </text>
    </comment>
    <comment ref="D125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901</t>
        </r>
      </text>
    </comment>
    <comment ref="E125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3,437</t>
        </r>
      </text>
    </comment>
    <comment ref="F125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873</t>
        </r>
      </text>
    </comment>
    <comment ref="G125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961</t>
        </r>
      </text>
    </comment>
    <comment ref="C126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765</t>
        </r>
      </text>
    </comment>
    <comment ref="D126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809</t>
        </r>
      </text>
    </comment>
    <comment ref="E126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3,063</t>
        </r>
      </text>
    </comment>
    <comment ref="F126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731</t>
        </r>
      </text>
    </comment>
    <comment ref="G126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865</t>
        </r>
      </text>
    </comment>
    <comment ref="C127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742</t>
        </r>
      </text>
    </comment>
    <comment ref="D127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759</t>
        </r>
      </text>
    </comment>
    <comment ref="E127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2,928</t>
        </r>
      </text>
    </comment>
    <comment ref="F127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727</t>
        </r>
      </text>
    </comment>
    <comment ref="G127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733</t>
        </r>
      </text>
    </comment>
    <comment ref="C128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651</t>
        </r>
      </text>
    </comment>
    <comment ref="D128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668</t>
        </r>
      </text>
    </comment>
    <comment ref="E128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2,516</t>
        </r>
      </text>
    </comment>
    <comment ref="F128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650</t>
        </r>
      </text>
    </comment>
    <comment ref="G128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676</t>
        </r>
      </text>
    </comment>
    <comment ref="C129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574</t>
        </r>
      </text>
    </comment>
    <comment ref="D129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551</t>
        </r>
      </text>
    </comment>
    <comment ref="E129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2,231</t>
        </r>
      </text>
    </comment>
    <comment ref="F129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496</t>
        </r>
      </text>
    </comment>
    <comment ref="G129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487</t>
        </r>
      </text>
    </comment>
    <comment ref="C130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65</t>
        </r>
      </text>
    </comment>
    <comment ref="D130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45</t>
        </r>
      </text>
    </comment>
    <comment ref="E130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193</t>
        </r>
      </text>
    </comment>
    <comment ref="F130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51</t>
        </r>
      </text>
    </comment>
    <comment ref="G130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67</t>
        </r>
      </text>
    </comment>
    <comment ref="C131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(5)</t>
        </r>
      </text>
    </comment>
    <comment ref="D131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68</t>
        </r>
      </text>
    </comment>
    <comment ref="E131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112</t>
        </r>
      </text>
    </comment>
    <comment ref="F131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(108)</t>
        </r>
      </text>
    </comment>
    <comment ref="G131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447</t>
        </r>
      </text>
    </comment>
    <comment ref="C132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2,304</t>
        </r>
      </text>
    </comment>
    <comment ref="D132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2,390</t>
        </r>
      </text>
    </comment>
    <comment ref="E132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9,053</t>
        </r>
      </text>
    </comment>
    <comment ref="F132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2,326</t>
        </r>
      </text>
    </comment>
    <comment ref="G132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2,487</t>
        </r>
      </text>
    </comment>
    <comment ref="C133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13,278</t>
        </r>
      </text>
    </comment>
    <comment ref="D133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13,192</t>
        </r>
      </text>
    </comment>
    <comment ref="E133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51,967</t>
        </r>
      </text>
    </comment>
    <comment ref="F133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12,605</t>
        </r>
      </text>
    </comment>
    <comment ref="G133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13,911</t>
        </r>
      </text>
    </comment>
    <comment ref="C134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1,565</t>
        </r>
      </text>
    </comment>
    <comment ref="D134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1,503</t>
        </r>
      </text>
    </comment>
    <comment ref="E134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5,096</t>
        </r>
      </text>
    </comment>
    <comment ref="F134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607</t>
        </r>
      </text>
    </comment>
    <comment ref="G134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1,325</t>
        </r>
      </text>
    </comment>
    <comment ref="C135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(379)</t>
        </r>
      </text>
    </comment>
    <comment ref="D135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(369)</t>
        </r>
      </text>
    </comment>
    <comment ref="E135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(1,629)</t>
        </r>
      </text>
    </comment>
    <comment ref="F135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(356)</t>
        </r>
      </text>
    </comment>
    <comment ref="G135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(361)</t>
        </r>
      </text>
    </comment>
    <comment ref="C136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187</t>
        </r>
      </text>
    </comment>
    <comment ref="D136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172</t>
        </r>
      </text>
    </comment>
    <comment ref="E136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726</t>
        </r>
      </text>
    </comment>
    <comment ref="F136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164</t>
        </r>
      </text>
    </comment>
    <comment ref="G136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167</t>
        </r>
      </text>
    </comment>
    <comment ref="C137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53</t>
        </r>
      </text>
    </comment>
    <comment ref="D137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53</t>
        </r>
      </text>
    </comment>
    <comment ref="E137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227</t>
        </r>
      </text>
    </comment>
    <comment ref="F137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48</t>
        </r>
      </text>
    </comment>
    <comment ref="G137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51</t>
        </r>
      </text>
    </comment>
    <comment ref="C138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(90)</t>
        </r>
      </text>
    </comment>
    <comment ref="D138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(39)</t>
        </r>
      </text>
    </comment>
    <comment ref="E138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(199)</t>
        </r>
      </text>
    </comment>
    <comment ref="F138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(21)</t>
        </r>
      </text>
    </comment>
    <comment ref="G138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26</t>
        </r>
      </text>
    </comment>
    <comment ref="C139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(50)</t>
        </r>
      </text>
    </comment>
    <comment ref="D139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(13)</t>
        </r>
      </text>
    </comment>
    <comment ref="E139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(53)</t>
        </r>
      </text>
    </comment>
    <comment ref="F139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36</t>
        </r>
      </text>
    </comment>
    <comment ref="G139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41</t>
        </r>
      </text>
    </comment>
    <comment ref="C140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(279)</t>
        </r>
      </text>
    </comment>
    <comment ref="D140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(196)</t>
        </r>
      </text>
    </comment>
    <comment ref="E140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(928)</t>
        </r>
      </text>
    </comment>
    <comment ref="F140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(129)</t>
        </r>
      </text>
    </comment>
    <comment ref="G140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(77)</t>
        </r>
      </text>
    </comment>
    <comment ref="C141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1,286</t>
        </r>
      </text>
    </comment>
    <comment ref="D141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1,307</t>
        </r>
      </text>
    </comment>
    <comment ref="E141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4,168</t>
        </r>
      </text>
    </comment>
    <comment ref="F141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478</t>
        </r>
      </text>
    </comment>
    <comment ref="G141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1,248</t>
        </r>
      </text>
    </comment>
    <comment ref="C142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321</t>
        </r>
      </text>
    </comment>
    <comment ref="D142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322</t>
        </r>
      </text>
    </comment>
    <comment ref="E142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1,019</t>
        </r>
      </text>
    </comment>
    <comment ref="F142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91</t>
        </r>
      </text>
    </comment>
    <comment ref="G142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275</t>
        </r>
      </text>
    </comment>
    <comment ref="C143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965</t>
        </r>
      </text>
    </comment>
    <comment ref="D143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985</t>
        </r>
      </text>
    </comment>
    <comment ref="E143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3,149</t>
        </r>
      </text>
    </comment>
    <comment ref="F143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387</t>
        </r>
      </text>
    </comment>
    <comment ref="G143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973</t>
        </r>
      </text>
    </comment>
    <comment ref="C144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2.90</t>
        </r>
      </text>
    </comment>
    <comment ref="D144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2.95</t>
        </r>
      </text>
    </comment>
    <comment ref="E144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9.45</t>
        </r>
      </text>
    </comment>
    <comment ref="F144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1.16</t>
        </r>
      </text>
    </comment>
    <comment ref="G144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2.97</t>
        </r>
      </text>
    </comment>
    <comment ref="C145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| 332.70</t>
        </r>
      </text>
    </comment>
    <comment ref="D145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334.50</t>
        </r>
      </text>
    </comment>
    <comment ref="E145" authorId="0">
      <text>
        <r>
          <rPr>
            <sz val="9"/>
            <color rgb="FF000000"/>
            <rFont val="Arial"/>
            <family val="2"/>
          </rPr>
          <t>S04 ual_12312025erex991.htm | Statements of Consolidated Operations | 333.20</t>
        </r>
      </text>
    </comment>
    <comment ref="F145" authorId="0">
      <text>
        <r>
          <rPr>
            <sz val="9"/>
            <color rgb="FF000000"/>
            <rFont val="Arial"/>
            <family val="2"/>
          </rPr>
          <t>S05 ual_erx03312026xex991.htm | Statements of Consolidated Operations | 333</t>
        </r>
      </text>
    </comment>
    <comment ref="G145" authorId="0">
      <text>
        <r>
          <rPr>
            <sz val="9"/>
            <color rgb="FF000000"/>
            <rFont val="Arial"/>
            <family val="2"/>
          </rPr>
          <t>S06 ual_erx06302026xex991.htm | Statements of Consolidated Operations | 327.20</t>
        </r>
      </text>
    </comment>
    <comment ref="C146" authorId="0">
      <text>
        <r>
          <rPr>
            <sz val="9"/>
            <color rgb="FF000000"/>
            <rFont val="Arial"/>
            <family val="2"/>
          </rPr>
          <t>S03 ual_09302025erex991.htm | Non-GAAP financial information | 231</t>
        </r>
      </text>
    </comment>
    <comment ref="D146" authorId="0">
      <text>
        <r>
          <rPr>
            <sz val="9"/>
            <color rgb="FF000000"/>
            <rFont val="Arial"/>
            <family val="2"/>
          </rPr>
          <t>S04 ual_12312025erex991.htm | Non-GAAP financial information | 294</t>
        </r>
      </text>
    </comment>
    <comment ref="E146" authorId="0">
      <text>
        <r>
          <rPr>
            <sz val="9"/>
            <color rgb="FF000000"/>
            <rFont val="Arial"/>
            <family val="2"/>
          </rPr>
          <t>S04 ual_12312025erex991.htm | Non-GAAP financial information | 713</t>
        </r>
      </text>
    </comment>
    <comment ref="F146" authorId="0">
      <text>
        <r>
          <rPr>
            <sz val="9"/>
            <color rgb="FF000000"/>
            <rFont val="Arial"/>
            <family val="2"/>
          </rPr>
          <t>S05 ual_erx03312026xex991.htm | Non-GAAP financial information | 43</t>
        </r>
      </text>
    </comment>
    <comment ref="G146" authorId="0">
      <text>
        <r>
          <rPr>
            <sz val="9"/>
            <color rgb="FF000000"/>
            <rFont val="Arial"/>
            <family val="2"/>
          </rPr>
          <t>S06 ual_erx06302026xex991.htm | Non-GAAP financial information | 188</t>
        </r>
      </text>
    </comment>
    <comment ref="C147" authorId="0">
      <text>
        <r>
          <rPr>
            <sz val="9"/>
            <color rgb="FF000000"/>
            <rFont val="Arial"/>
            <family val="2"/>
          </rPr>
          <t>S03 ual_09302025erex991.htm | Non-GAAP financial information | 61</t>
        </r>
      </text>
    </comment>
    <comment ref="D147" authorId="0">
      <text>
        <r>
          <rPr>
            <sz val="9"/>
            <color rgb="FF000000"/>
            <rFont val="Arial"/>
            <family val="2"/>
          </rPr>
          <t>S04 ual_12312025erex991.htm | Non-GAAP financial information | 63</t>
        </r>
      </text>
    </comment>
    <comment ref="E147" authorId="0">
      <text>
        <r>
          <rPr>
            <sz val="9"/>
            <color rgb="FF000000"/>
            <rFont val="Arial"/>
            <family val="2"/>
          </rPr>
          <t>S04 ual_12312025erex991.htm | Non-GAAP financial information | 246</t>
        </r>
      </text>
    </comment>
    <comment ref="F147" authorId="0">
      <text>
        <r>
          <rPr>
            <sz val="9"/>
            <color rgb="FF000000"/>
            <rFont val="Arial"/>
            <family val="2"/>
          </rPr>
          <t>S05 ual_erx03312026xex991.htm | Non-GAAP financial information | 68</t>
        </r>
      </text>
    </comment>
    <comment ref="G147" authorId="0">
      <text>
        <r>
          <rPr>
            <sz val="9"/>
            <color rgb="FF000000"/>
            <rFont val="Arial"/>
            <family val="2"/>
          </rPr>
          <t>S06 ual_erx06302026xex991.htm | Non-GAAP financial information | 72</t>
        </r>
      </text>
    </comment>
    <comment ref="C148" authorId="0">
      <text>
        <r>
          <rPr>
            <sz val="9"/>
            <color rgb="FF000000"/>
            <rFont val="Arial"/>
            <family val="2"/>
          </rPr>
          <t>S03 ual_09302025erex991.htm | Non-GAAP financial information | 75</t>
        </r>
      </text>
    </comment>
    <comment ref="D148" authorId="0">
      <text>
        <r>
          <rPr>
            <sz val="9"/>
            <color rgb="FF000000"/>
            <rFont val="Arial"/>
            <family val="2"/>
          </rPr>
          <t>S04 ual_12312025erex991.htm | Non-GAAP financial information | 18</t>
        </r>
      </text>
    </comment>
    <comment ref="E148" authorId="0">
      <text>
        <r>
          <rPr>
            <sz val="9"/>
            <color rgb="FF000000"/>
            <rFont val="Arial"/>
            <family val="2"/>
          </rPr>
          <t>S04 ual_12312025erex991.htm | Non-GAAP financial information | 128</t>
        </r>
      </text>
    </comment>
    <comment ref="F148" authorId="0">
      <text>
        <r>
          <rPr>
            <sz val="9"/>
            <color rgb="FF000000"/>
            <rFont val="Arial"/>
            <family val="2"/>
          </rPr>
          <t>S05 ual_erx03312026xex991.htm | Non-GAAP financial information | 0</t>
        </r>
      </text>
    </comment>
    <comment ref="G148" authorId="0">
      <text>
        <r>
          <rPr>
            <sz val="9"/>
            <color rgb="FF000000"/>
            <rFont val="Arial"/>
            <family val="2"/>
          </rPr>
          <t>S06 ual_erx06302026xex991.htm | Non-GAAP financial information | 0</t>
        </r>
      </text>
    </comment>
    <comment ref="C149" authorId="0">
      <text>
        <r>
          <rPr>
            <sz val="9"/>
            <color rgb="FF000000"/>
            <rFont val="Arial"/>
            <family val="2"/>
          </rPr>
          <t>S03 ual_09302025erex991.htm | Non-GAAP financial information | (15)</t>
        </r>
      </text>
    </comment>
    <comment ref="D149" authorId="0">
      <text>
        <r>
          <rPr>
            <sz val="9"/>
            <color rgb="FF000000"/>
            <rFont val="Arial"/>
            <family val="2"/>
          </rPr>
          <t>S04 ual_12312025erex991.htm | Non-GAAP financial information | (20)</t>
        </r>
      </text>
    </comment>
    <comment ref="E149" authorId="0">
      <text>
        <r>
          <rPr>
            <sz val="9"/>
            <color rgb="FF000000"/>
            <rFont val="Arial"/>
            <family val="2"/>
          </rPr>
          <t>S04 ual_12312025erex991.htm | Non-GAAP financial information | (54)</t>
        </r>
      </text>
    </comment>
    <comment ref="F149" authorId="0">
      <text>
        <r>
          <rPr>
            <sz val="9"/>
            <color rgb="FF000000"/>
            <rFont val="Arial"/>
            <family val="2"/>
          </rPr>
          <t>S05 ual_erx03312026xex991.htm | Non-GAAP financial information | 2</t>
        </r>
      </text>
    </comment>
    <comment ref="G149" authorId="0">
      <text>
        <r>
          <rPr>
            <sz val="9"/>
            <color rgb="FF000000"/>
            <rFont val="Arial"/>
            <family val="2"/>
          </rPr>
          <t>S06 ual_erx06302026xex991.htm | Non-GAAP financial information | (128)</t>
        </r>
      </text>
    </comment>
    <comment ref="C150" authorId="0">
      <text>
        <r>
          <rPr>
            <sz val="9"/>
            <color rgb="FF000000"/>
            <rFont val="Arial"/>
            <family val="2"/>
          </rPr>
          <t>S03 ual_09302025erex991.htm | Non-GAAP financial information | 1,110</t>
        </r>
      </text>
    </comment>
    <comment ref="D150" authorId="0">
      <text>
        <r>
          <rPr>
            <sz val="9"/>
            <color rgb="FF000000"/>
            <rFont val="Arial"/>
            <family val="2"/>
          </rPr>
          <t>S04 ual_12312025erex991.htm | Non-GAAP financial information | 1,090</t>
        </r>
      </text>
    </comment>
    <comment ref="E150" authorId="0">
      <text>
        <r>
          <rPr>
            <sz val="9"/>
            <color rgb="FF000000"/>
            <rFont val="Arial"/>
            <family val="2"/>
          </rPr>
          <t>S04 ual_12312025erex991.htm | Non-GAAP financial information | 3,534</t>
        </r>
      </text>
    </comment>
    <comment ref="F150" authorId="0">
      <text>
        <r>
          <rPr>
            <sz val="9"/>
            <color rgb="FF000000"/>
            <rFont val="Arial"/>
            <family val="2"/>
          </rPr>
          <t>S05 ual_erx03312026xex991.htm | Non-GAAP financial information | 302</t>
        </r>
      </text>
    </comment>
    <comment ref="G150" authorId="0">
      <text>
        <r>
          <rPr>
            <sz val="9"/>
            <color rgb="FF000000"/>
            <rFont val="Arial"/>
            <family val="2"/>
          </rPr>
          <t>S06 ual_erx06302026xex991.htm | Non-GAAP financial information | 1,267</t>
        </r>
      </text>
    </comment>
    <comment ref="C151" authorId="0">
      <text>
        <r>
          <rPr>
            <sz val="9"/>
            <color rgb="FF000000"/>
            <rFont val="Arial"/>
            <family val="2"/>
          </rPr>
          <t>S03 ual_09302025erex991.htm | Non-GAAP financial information | 3.33</t>
        </r>
      </text>
    </comment>
    <comment ref="D151" authorId="0">
      <text>
        <r>
          <rPr>
            <sz val="9"/>
            <color rgb="FF000000"/>
            <rFont val="Arial"/>
            <family val="2"/>
          </rPr>
          <t>S04 ual_12312025erex991.htm | Non-GAAP financial information | 3.26</t>
        </r>
      </text>
    </comment>
    <comment ref="E151" authorId="0">
      <text>
        <r>
          <rPr>
            <sz val="9"/>
            <color rgb="FF000000"/>
            <rFont val="Arial"/>
            <family val="2"/>
          </rPr>
          <t>S04 ual_12312025erex991.htm | Non-GAAP financial information | 10.61</t>
        </r>
      </text>
    </comment>
    <comment ref="F151" authorId="0">
      <text>
        <r>
          <rPr>
            <sz val="9"/>
            <color rgb="FF000000"/>
            <rFont val="Arial"/>
            <family val="2"/>
          </rPr>
          <t>S05 ual_erx03312026xex991.htm | Non-GAAP financial information | 0.91</t>
        </r>
      </text>
    </comment>
    <comment ref="G151" authorId="0">
      <text>
        <r>
          <rPr>
            <sz val="9"/>
            <color rgb="FF000000"/>
            <rFont val="Arial"/>
            <family val="2"/>
          </rPr>
          <t>S06 ual_erx06302026xex991.htm | Non-GAAP financial information | 3.87</t>
        </r>
      </text>
    </comment>
    <comment ref="C152" authorId="0">
      <text>
        <r>
          <rPr>
            <sz val="9"/>
            <color rgb="FF000000"/>
            <rFont val="Arial"/>
            <family val="2"/>
          </rPr>
          <t>S03 ual_09302025erex991.htm | Non-GAAP financial information | 1,446</t>
        </r>
      </text>
    </comment>
    <comment ref="D152" authorId="0">
      <text>
        <r>
          <rPr>
            <sz val="9"/>
            <color rgb="FF000000"/>
            <rFont val="Arial"/>
            <family val="2"/>
          </rPr>
          <t>S04 ual_12312025erex991.htm | Non-GAAP financial information | 1,432</t>
        </r>
      </text>
    </comment>
    <comment ref="E152" authorId="0">
      <text>
        <r>
          <rPr>
            <sz val="9"/>
            <color rgb="FF000000"/>
            <rFont val="Arial"/>
            <family val="2"/>
          </rPr>
          <t>S04 ual_12312025erex991.htm | Non-GAAP financial information | 4,607</t>
        </r>
      </text>
    </comment>
    <comment ref="F152" authorId="0">
      <text>
        <r>
          <rPr>
            <sz val="9"/>
            <color rgb="FF000000"/>
            <rFont val="Arial"/>
            <family val="2"/>
          </rPr>
          <t>S05 ual_erx03312026xex991.htm | Non-GAAP financial information | 391</t>
        </r>
      </text>
    </comment>
    <comment ref="G152" authorId="0">
      <text>
        <r>
          <rPr>
            <sz val="9"/>
            <color rgb="FF000000"/>
            <rFont val="Arial"/>
            <family val="2"/>
          </rPr>
          <t>S06 ual_erx06302026xex991.htm | Non-GAAP financial information | 1,670</t>
        </r>
      </text>
    </comment>
    <comment ref="C153" authorId="0">
      <text>
        <r>
          <rPr>
            <sz val="9"/>
            <color rgb="FF000000"/>
            <rFont val="Arial"/>
            <family val="2"/>
          </rPr>
          <t>S03 ual_09302025erex991.htm | Non-GAAP financial information | 2,327</t>
        </r>
      </text>
    </comment>
    <comment ref="D153" authorId="0">
      <text>
        <r>
          <rPr>
            <sz val="9"/>
            <color rgb="FF000000"/>
            <rFont val="Arial"/>
            <family val="2"/>
          </rPr>
          <t>S04 ual_12312025erex991.htm | Non-GAAP financial information | 2,335</t>
        </r>
      </text>
    </comment>
    <comment ref="E153" authorId="0">
      <text>
        <r>
          <rPr>
            <sz val="9"/>
            <color rgb="FF000000"/>
            <rFont val="Arial"/>
            <family val="2"/>
          </rPr>
          <t>S04 ual_12312025erex991.htm | Non-GAAP financial information | 8,211</t>
        </r>
      </text>
    </comment>
    <comment ref="F153" authorId="0">
      <text>
        <r>
          <rPr>
            <sz val="9"/>
            <color rgb="FF000000"/>
            <rFont val="Arial"/>
            <family val="2"/>
          </rPr>
          <t>S05 ual_erx03312026xex991.htm | Non-GAAP financial information | 1,263</t>
        </r>
      </text>
    </comment>
    <comment ref="G153" authorId="0">
      <text>
        <r>
          <rPr>
            <sz val="9"/>
            <color rgb="FF000000"/>
            <rFont val="Arial"/>
            <family val="2"/>
          </rPr>
          <t>S06 ual_erx06302026xex991.htm | Non-GAAP financial information | 2,547</t>
        </r>
      </text>
    </comment>
    <comment ref="C154" authorId="0">
      <text>
        <r>
          <rPr>
            <sz val="9"/>
            <color rgb="FF000000"/>
            <rFont val="Arial"/>
            <family val="2"/>
          </rPr>
          <t>S03 ual_09302025erex991.htm | Non-GAAP financial information | 12.26</t>
        </r>
      </text>
    </comment>
    <comment ref="D154" authorId="0">
      <text>
        <r>
          <rPr>
            <sz val="9"/>
            <color rgb="FF000000"/>
            <rFont val="Arial"/>
            <family val="2"/>
          </rPr>
          <t>S04 ual_12312025erex991.htm | Non-GAAP financial information | 12.89</t>
        </r>
      </text>
    </comment>
    <comment ref="E154" authorId="0">
      <text>
        <r>
          <rPr>
            <sz val="9"/>
            <color rgb="FF000000"/>
            <rFont val="Arial"/>
            <family val="2"/>
          </rPr>
          <t>S04 ual_12312025erex991.htm | Non-GAAP financial information | 12.58</t>
        </r>
      </text>
    </comment>
    <comment ref="F154" authorId="0">
      <text>
        <r>
          <rPr>
            <sz val="9"/>
            <color rgb="FF000000"/>
            <rFont val="Arial"/>
            <family val="2"/>
          </rPr>
          <t>S05 ual_erx03312026xex991.htm | Non-GAAP financial information | 13.17</t>
        </r>
      </text>
    </comment>
    <comment ref="G154" authorId="0">
      <text>
        <r>
          <rPr>
            <sz val="9"/>
            <color rgb="FF000000"/>
            <rFont val="Arial"/>
            <family val="2"/>
          </rPr>
          <t>S06 ual_erx06302026xex991.htm | Non-GAAP financial information | 12.36</t>
        </r>
      </text>
    </comment>
    <comment ref="C155" authorId="0">
      <text>
        <r>
          <rPr>
            <sz val="9"/>
            <color rgb="FF000000"/>
            <rFont val="Arial"/>
            <family val="2"/>
          </rPr>
          <t>S03 ual_09302025erex991.htm | Select operating statistics | 1,381</t>
        </r>
      </text>
    </comment>
    <comment ref="D155" authorId="0">
      <text>
        <r>
          <rPr>
            <sz val="9"/>
            <color rgb="FF000000"/>
            <rFont val="Arial"/>
            <family val="2"/>
          </rPr>
          <t>S04 ual_12312025erex991.htm | Select operating statistics | 1,406</t>
        </r>
      </text>
    </comment>
    <comment ref="F155" authorId="0">
      <text>
        <r>
          <rPr>
            <sz val="9"/>
            <color rgb="FF000000"/>
            <rFont val="Arial"/>
            <family val="2"/>
          </rPr>
          <t>S05 ual_erx03312026xex991.htm | Select operating statistics | 1,442</t>
        </r>
      </text>
    </comment>
    <comment ref="G155" authorId="0">
      <text>
        <r>
          <rPr>
            <sz val="9"/>
            <color rgb="FF000000"/>
            <rFont val="Arial"/>
            <family val="2"/>
          </rPr>
          <t>S06 ual_erx06302026xex991.htm | Select operating statistics | 1,473</t>
        </r>
      </text>
    </comment>
    <comment ref="C156" authorId="0">
      <text>
        <r>
          <rPr>
            <sz val="9"/>
            <color rgb="FF000000"/>
            <rFont val="Arial"/>
            <family val="2"/>
          </rPr>
          <t>S03 ual_09302025erex991.htm | Select operating statistics | 81,541</t>
        </r>
      </text>
    </comment>
    <comment ref="D156" authorId="0">
      <text>
        <r>
          <rPr>
            <sz val="9"/>
            <color rgb="FF000000"/>
            <rFont val="Arial"/>
            <family val="2"/>
          </rPr>
          <t>S04 ual_12312025erex991.htm | Select operating statistics | 78,298</t>
        </r>
      </text>
    </comment>
    <comment ref="E156" authorId="0">
      <text>
        <r>
          <rPr>
            <sz val="9"/>
            <color rgb="FF000000"/>
            <rFont val="Arial"/>
            <family val="2"/>
          </rPr>
          <t>S04 ual_12312025erex991.htm | Select operating statistics | 311,185</t>
        </r>
      </text>
    </comment>
    <comment ref="F156" authorId="0">
      <text>
        <r>
          <rPr>
            <sz val="9"/>
            <color rgb="FF000000"/>
            <rFont val="Arial"/>
            <family val="2"/>
          </rPr>
          <t>S05 ual_erx03312026xex991.htm | Select operating statistics | 75,155</t>
        </r>
      </text>
    </comment>
    <comment ref="G156" authorId="0">
      <text>
        <r>
          <rPr>
            <sz val="9"/>
            <color rgb="FF000000"/>
            <rFont val="Arial"/>
            <family val="2"/>
          </rPr>
          <t>S06 ual_erx06302026xex991.htm | Select operating statistics | 84,347</t>
        </r>
      </text>
    </comment>
    <comment ref="C157" authorId="0">
      <text>
        <r>
          <rPr>
            <sz val="9"/>
            <color rgb="FF000000"/>
            <rFont val="Arial"/>
            <family val="2"/>
          </rPr>
          <t>S03 ual_09302025erex991.htm | Select operating statistics | 69,549</t>
        </r>
      </text>
    </comment>
    <comment ref="D157" authorId="0">
      <text>
        <r>
          <rPr>
            <sz val="9"/>
            <color rgb="FF000000"/>
            <rFont val="Arial"/>
            <family val="2"/>
          </rPr>
          <t>S04 ual_12312025erex991.htm | Select operating statistics | 64,463</t>
        </r>
      </text>
    </comment>
    <comment ref="E157" authorId="0">
      <text>
        <r>
          <rPr>
            <sz val="9"/>
            <color rgb="FF000000"/>
            <rFont val="Arial"/>
            <family val="2"/>
          </rPr>
          <t>S04 ual_12312025erex991.htm | Select operating statistics | 258,503</t>
        </r>
      </text>
    </comment>
    <comment ref="F157" authorId="0">
      <text>
        <r>
          <rPr>
            <sz val="9"/>
            <color rgb="FF000000"/>
            <rFont val="Arial"/>
            <family val="2"/>
          </rPr>
          <t>S05 ual_erx03312026xex991.htm | Select operating statistics | 59,517</t>
        </r>
      </text>
    </comment>
    <comment ref="G157" authorId="0">
      <text>
        <r>
          <rPr>
            <sz val="9"/>
            <color rgb="FF000000"/>
            <rFont val="Arial"/>
            <family val="2"/>
          </rPr>
          <t>S06 ual_erx06302026xex991.htm | Select operating statistics | 70,088</t>
        </r>
      </text>
    </comment>
    <comment ref="C158" authorId="0">
      <text>
        <r>
          <rPr>
            <sz val="9"/>
            <color rgb="FF000000"/>
            <rFont val="Arial"/>
            <family val="2"/>
          </rPr>
          <t>S03 ual_09302025erex991.htm | Select operating statistics | 45,559</t>
        </r>
      </text>
    </comment>
    <comment ref="D158" authorId="0">
      <text>
        <r>
          <rPr>
            <sz val="9"/>
            <color rgb="FF000000"/>
            <rFont val="Arial"/>
            <family val="2"/>
          </rPr>
          <t>S04 ual_12312025erex991.htm | Select operating statistics | 44,344</t>
        </r>
      </text>
    </comment>
    <comment ref="E158" authorId="0">
      <text>
        <r>
          <rPr>
            <sz val="9"/>
            <color rgb="FF000000"/>
            <rFont val="Arial"/>
            <family val="2"/>
          </rPr>
          <t>S04 ual_12312025erex991.htm | Select operating statistics | 173,603</t>
        </r>
      </text>
    </comment>
    <comment ref="F158" authorId="0">
      <text>
        <r>
          <rPr>
            <sz val="9"/>
            <color rgb="FF000000"/>
            <rFont val="Arial"/>
            <family val="2"/>
          </rPr>
          <t>S05 ual_erx03312026xex991.htm | Select operating statistics | 40,806</t>
        </r>
      </text>
    </comment>
    <comment ref="G158" authorId="0">
      <text>
        <r>
          <rPr>
            <sz val="9"/>
            <color rgb="FF000000"/>
            <rFont val="Arial"/>
            <family val="2"/>
          </rPr>
          <t>S06 ual_erx06302026xex991.htm | Select operating statistics | 46,186</t>
        </r>
      </text>
    </comment>
    <comment ref="C159" authorId="0">
      <text>
        <r>
          <rPr>
            <sz val="9"/>
            <color rgb="FF000000"/>
            <rFont val="Arial"/>
            <family val="2"/>
          </rPr>
          <t>S03 ual_09302025erex991.htm | Select operating statistics | 1,510</t>
        </r>
      </text>
    </comment>
    <comment ref="D159" authorId="0">
      <text>
        <r>
          <rPr>
            <sz val="9"/>
            <color rgb="FF000000"/>
            <rFont val="Arial"/>
            <family val="2"/>
          </rPr>
          <t>S04 ual_12312025erex991.htm | Select operating statistics | 1,450</t>
        </r>
      </text>
    </comment>
    <comment ref="E159" authorId="0">
      <text>
        <r>
          <rPr>
            <sz val="9"/>
            <color rgb="FF000000"/>
            <rFont val="Arial"/>
            <family val="2"/>
          </rPr>
          <t>S04 ual_12312025erex991.htm | Select operating statistics | 1,490</t>
        </r>
      </text>
    </comment>
    <comment ref="F159" authorId="0">
      <text>
        <r>
          <rPr>
            <sz val="9"/>
            <color rgb="FF000000"/>
            <rFont val="Arial"/>
            <family val="2"/>
          </rPr>
          <t>S05 ual_erx03312026xex991.htm | Select operating statistics | 1,454</t>
        </r>
      </text>
    </comment>
    <comment ref="G159" authorId="0">
      <text>
        <r>
          <rPr>
            <sz val="9"/>
            <color rgb="FF000000"/>
            <rFont val="Arial"/>
            <family val="2"/>
          </rPr>
          <t>S06 ual_erx06302026xex991.htm | Select operating statistics | 1,508</t>
        </r>
      </text>
    </comment>
    <comment ref="C160" authorId="0">
      <text>
        <r>
          <rPr>
            <sz val="9"/>
            <color rgb="FF000000"/>
            <rFont val="Arial"/>
            <family val="2"/>
          </rPr>
          <t>S03 ual_09302025erex991.htm | Select operating statistics | 881</t>
        </r>
      </text>
    </comment>
    <comment ref="D160" authorId="0">
      <text>
        <r>
          <rPr>
            <sz val="9"/>
            <color rgb="FF000000"/>
            <rFont val="Arial"/>
            <family val="2"/>
          </rPr>
          <t>S04 ual_12312025erex991.htm | Select operating statistics | 981</t>
        </r>
      </text>
    </comment>
    <comment ref="E160" authorId="0">
      <text>
        <r>
          <rPr>
            <sz val="9"/>
            <color rgb="FF000000"/>
            <rFont val="Arial"/>
            <family val="2"/>
          </rPr>
          <t>S04 ual_12312025erex991.htm | Select operating statistics | 3,604</t>
        </r>
      </text>
    </comment>
    <comment ref="F160" authorId="0">
      <text>
        <r>
          <rPr>
            <sz val="9"/>
            <color rgb="FF000000"/>
            <rFont val="Arial"/>
            <family val="2"/>
          </rPr>
          <t>S05 ual_erx03312026xex991.htm | Select operating statistics | 889</t>
        </r>
      </text>
    </comment>
    <comment ref="G160" authorId="0">
      <text>
        <r>
          <rPr>
            <sz val="9"/>
            <color rgb="FF000000"/>
            <rFont val="Arial"/>
            <family val="2"/>
          </rPr>
          <t>S06 ual_erx06302026xex991.htm | Select operating statistics | 885</t>
        </r>
      </text>
    </comment>
    <comment ref="C161" authorId="0">
      <text>
        <r>
          <rPr>
            <sz val="9"/>
            <color rgb="FF000000"/>
            <rFont val="Arial"/>
            <family val="2"/>
          </rPr>
          <t>S03 ual_09302025erex991.htm | Select operating statistics | 1,170</t>
        </r>
      </text>
    </comment>
    <comment ref="D161" authorId="0">
      <text>
        <r>
          <rPr>
            <sz val="9"/>
            <color rgb="FF000000"/>
            <rFont val="Arial"/>
            <family val="2"/>
          </rPr>
          <t>S04 ual_12312025erex991.htm | Select operating statistics | 1,115</t>
        </r>
      </text>
    </comment>
    <comment ref="E161" authorId="0">
      <text>
        <r>
          <rPr>
            <sz val="9"/>
            <color rgb="FF000000"/>
            <rFont val="Arial"/>
            <family val="2"/>
          </rPr>
          <t>S04 ual_12312025erex991.htm | Select operating statistics | 4,444</t>
        </r>
      </text>
    </comment>
    <comment ref="F161" authorId="0">
      <text>
        <r>
          <rPr>
            <sz val="9"/>
            <color rgb="FF000000"/>
            <rFont val="Arial"/>
            <family val="2"/>
          </rPr>
          <t>S05 ual_erx03312026xex991.htm | Select operating statistics | 1,067</t>
        </r>
      </text>
    </comment>
    <comment ref="G161" authorId="0">
      <text>
        <r>
          <rPr>
            <sz val="9"/>
            <color rgb="FF000000"/>
            <rFont val="Arial"/>
            <family val="2"/>
          </rPr>
          <t>S06 ual_erx06302026xex991.htm | Select operating statistics | 1,188</t>
        </r>
      </text>
    </comment>
    <comment ref="C162" authorId="0">
      <text>
        <r>
          <rPr>
            <sz val="9"/>
            <color rgb="FF000000"/>
            <rFont val="Arial"/>
            <family val="2"/>
          </rPr>
          <t>S03 ual_09302025erex991.htm | Select operating statistics | 2.56</t>
        </r>
      </text>
    </comment>
    <comment ref="D162" authorId="0">
      <text>
        <r>
          <rPr>
            <sz val="9"/>
            <color rgb="FF000000"/>
            <rFont val="Arial"/>
            <family val="2"/>
          </rPr>
          <t>S04 ual_12312025erex991.htm | Select operating statistics | 2.40</t>
        </r>
      </text>
    </comment>
    <comment ref="E162" authorId="0">
      <text>
        <r>
          <rPr>
            <sz val="9"/>
            <color rgb="FF000000"/>
            <rFont val="Arial"/>
            <family val="2"/>
          </rPr>
          <t>S04 ual_12312025erex991.htm | Select operating statistics | 2.65</t>
        </r>
      </text>
    </comment>
    <comment ref="F162" authorId="0">
      <text>
        <r>
          <rPr>
            <sz val="9"/>
            <color rgb="FF000000"/>
            <rFont val="Arial"/>
            <family val="2"/>
          </rPr>
          <t>S05 ual_erx03312026xex991.htm | Select operating statistics | 2.53</t>
        </r>
      </text>
    </comment>
    <comment ref="G162" authorId="0">
      <text>
        <r>
          <rPr>
            <sz val="9"/>
            <color rgb="FF000000"/>
            <rFont val="Arial"/>
            <family val="2"/>
          </rPr>
          <t>S06 ual_erx06302026xex991.htm | Select operating statistics | 2.34</t>
        </r>
      </text>
    </comment>
    <comment ref="C163" authorId="0">
      <text>
        <r>
          <rPr>
            <sz val="9"/>
            <color rgb="FF000000"/>
            <rFont val="Arial"/>
            <family val="2"/>
          </rPr>
          <t>S10 ual-20250930.htm (10-Q) | Note 2 Revenue - Ancillary services | 1,100</t>
        </r>
      </text>
    </comment>
    <comment ref="E163" authorId="0">
      <text>
        <r>
          <rPr>
            <sz val="9"/>
            <color rgb="FF000000"/>
            <rFont val="Arial"/>
            <family val="2"/>
          </rPr>
          <t>S11 ual-20251231 10-K XBRL R16/R48/R52 | Note 2 Revenue - Ancillary services | 4,500</t>
        </r>
      </text>
    </comment>
    <comment ref="F163" authorId="0">
      <text>
        <r>
          <rPr>
            <sz val="9"/>
            <color rgb="FF000000"/>
            <rFont val="Arial"/>
            <family val="2"/>
          </rPr>
          <t>S09 ual-20260331.htm (10-Q) | Note 2 Revenue - Ancillary services | 1,000</t>
        </r>
      </text>
    </comment>
    <comment ref="G163" authorId="0">
      <text>
        <r>
          <rPr>
            <sz val="9"/>
            <color rgb="FF000000"/>
            <rFont val="Arial"/>
            <family val="2"/>
          </rPr>
          <t>S08 ual-20260630.htm (10-Q) | Note 2 Revenue - Ancillary services | 1,200</t>
        </r>
      </text>
    </comment>
    <comment ref="C164" authorId="0">
      <text>
        <r>
          <rPr>
            <sz val="9"/>
            <color rgb="FF000000"/>
            <rFont val="Arial"/>
            <family val="2"/>
          </rPr>
          <t>S10 ual-20250930.htm (10-Q) | Note 2 Revenue - partner agreements | 700</t>
        </r>
      </text>
    </comment>
    <comment ref="E164" authorId="0">
      <text>
        <r>
          <rPr>
            <sz val="9"/>
            <color rgb="FF000000"/>
            <rFont val="Arial"/>
            <family val="2"/>
          </rPr>
          <t>S11 ual-20251231 10-K XBRL R16/R48/R52 | Note 2 Revenue - partner agreements | 2,900</t>
        </r>
      </text>
    </comment>
    <comment ref="F164" authorId="0">
      <text>
        <r>
          <rPr>
            <sz val="9"/>
            <color rgb="FF000000"/>
            <rFont val="Arial"/>
            <family val="2"/>
          </rPr>
          <t>S09 ual-20260331.htm (10-Q) | Note 2 Revenue - partner agreements | 774</t>
        </r>
      </text>
    </comment>
    <comment ref="G164" authorId="0">
      <text>
        <r>
          <rPr>
            <sz val="9"/>
            <color rgb="FF000000"/>
            <rFont val="Arial"/>
            <family val="2"/>
          </rPr>
          <t>S08 ual-20260630.htm (10-Q) | Note 2 Revenue - partner agreements | 800</t>
        </r>
      </text>
    </comment>
    <comment ref="C165" authorId="0">
      <text>
        <r>
          <rPr>
            <sz val="9"/>
            <color rgb="FF000000"/>
            <rFont val="Arial"/>
            <family val="2"/>
          </rPr>
          <t>S10 ual-20250930.htm (10-Q) | Note 2 Frequent flyer roll forward | 884</t>
        </r>
      </text>
    </comment>
    <comment ref="E165" authorId="0">
      <text>
        <r>
          <rPr>
            <sz val="9"/>
            <color rgb="FF000000"/>
            <rFont val="Arial"/>
            <family val="2"/>
          </rPr>
          <t>S11 ual-20251231 10-K XBRL R16/R48/R52 | Note 2 Frequent flyer roll forward | 3,563</t>
        </r>
      </text>
    </comment>
    <comment ref="F165" authorId="0">
      <text>
        <r>
          <rPr>
            <sz val="9"/>
            <color rgb="FF000000"/>
            <rFont val="Arial"/>
            <family val="2"/>
          </rPr>
          <t>S09 ual-20260331.htm (10-Q) | Note 2 Frequent flyer roll forward | 919</t>
        </r>
      </text>
    </comment>
    <comment ref="G165" authorId="0">
      <text>
        <r>
          <rPr>
            <sz val="9"/>
            <color rgb="FF000000"/>
            <rFont val="Arial"/>
            <family val="2"/>
          </rPr>
          <t>S08 ual-20260630.htm (10-Q) | Note 2 Frequent flyer roll forward | 991</t>
        </r>
      </text>
    </comment>
    <comment ref="C166" authorId="0">
      <text>
        <r>
          <rPr>
            <sz val="9"/>
            <color rgb="FF000000"/>
            <rFont val="Arial"/>
            <family val="2"/>
          </rPr>
          <t>S10 ual-20250930.htm (10-Q) | Note 2 Frequent flyer roll forward | (842)</t>
        </r>
      </text>
    </comment>
    <comment ref="E166" authorId="0">
      <text>
        <r>
          <rPr>
            <sz val="9"/>
            <color rgb="FF000000"/>
            <rFont val="Arial"/>
            <family val="2"/>
          </rPr>
          <t>S11 ual-20251231 10-K XBRL R16/R48/R52 | Note 2 Frequent flyer roll forward | (3,150)</t>
        </r>
      </text>
    </comment>
    <comment ref="F166" authorId="0">
      <text>
        <r>
          <rPr>
            <sz val="9"/>
            <color rgb="FF000000"/>
            <rFont val="Arial"/>
            <family val="2"/>
          </rPr>
          <t>S09 ual-20260331.htm (10-Q) | Note 2 Frequent flyer roll forward | (730)</t>
        </r>
      </text>
    </comment>
    <comment ref="G166" authorId="0">
      <text>
        <r>
          <rPr>
            <sz val="9"/>
            <color rgb="FF000000"/>
            <rFont val="Arial"/>
            <family val="2"/>
          </rPr>
          <t>S08 ual-20260630.htm (10-Q) | Note 2 Frequent flyer roll forward | (888)</t>
        </r>
      </text>
    </comment>
    <comment ref="C167" authorId="0">
      <text>
        <r>
          <rPr>
            <sz val="9"/>
            <color rgb="FF000000"/>
            <rFont val="Arial"/>
            <family val="2"/>
          </rPr>
          <t>S10 ual-20250930.htm (10-Q) | Note 2 Frequent flyer roll forward | (24)</t>
        </r>
      </text>
    </comment>
    <comment ref="E167" authorId="0">
      <text>
        <r>
          <rPr>
            <sz val="9"/>
            <color rgb="FF000000"/>
            <rFont val="Arial"/>
            <family val="2"/>
          </rPr>
          <t>S11 ual-20251231 10-K XBRL R16/R48/R52 | Note 2 Frequent flyer roll forward | (115)</t>
        </r>
      </text>
    </comment>
    <comment ref="F167" authorId="0">
      <text>
        <r>
          <rPr>
            <sz val="9"/>
            <color rgb="FF000000"/>
            <rFont val="Arial"/>
            <family val="2"/>
          </rPr>
          <t>S09 ual-20260331.htm (10-Q) | Note 2 Frequent flyer roll forward | (38)</t>
        </r>
      </text>
    </comment>
    <comment ref="G167" authorId="0">
      <text>
        <r>
          <rPr>
            <sz val="9"/>
            <color rgb="FF000000"/>
            <rFont val="Arial"/>
            <family val="2"/>
          </rPr>
          <t>S08 ual-20260630.htm (10-Q) | Note 2 Frequent flyer roll forward | (29)</t>
        </r>
      </text>
    </comment>
    <comment ref="C168" authorId="0">
      <text>
        <r>
          <rPr>
            <sz val="9"/>
            <color rgb="FF000000"/>
            <rFont val="Arial"/>
            <family val="2"/>
          </rPr>
          <t>S10 ual-20250930.htm (10-Q) | Note 2 Revenue by Geography | 8,648</t>
        </r>
      </text>
    </comment>
    <comment ref="E168" authorId="0">
      <text>
        <r>
          <rPr>
            <sz val="9"/>
            <color rgb="FF000000"/>
            <rFont val="Arial"/>
            <family val="2"/>
          </rPr>
          <t>S11 ual-20251231 10-K XBRL R16/R48/R52 | Note 2 Revenue by Geography | 34,067</t>
        </r>
      </text>
    </comment>
    <comment ref="F168" authorId="0">
      <text>
        <r>
          <rPr>
            <sz val="9"/>
            <color rgb="FF000000"/>
            <rFont val="Arial"/>
            <family val="2"/>
          </rPr>
          <t>S09 ual-20260331.htm (10-Q) | Note 2 Revenue by Geography | 8,034</t>
        </r>
      </text>
    </comment>
    <comment ref="G168" authorId="0">
      <text>
        <r>
          <rPr>
            <sz val="9"/>
            <color rgb="FF000000"/>
            <rFont val="Arial"/>
            <family val="2"/>
          </rPr>
          <t>S08 ual-20260630.htm (10-Q) | Note 2 Revenue by Geography | 8,784</t>
        </r>
      </text>
    </comment>
    <comment ref="C169" authorId="0">
      <text>
        <r>
          <rPr>
            <sz val="9"/>
            <color rgb="FF000000"/>
            <rFont val="Arial"/>
            <family val="2"/>
          </rPr>
          <t>S10 ual-20250930.htm (10-Q) | Note 2 Revenue by Geography | 3,432</t>
        </r>
      </text>
    </comment>
    <comment ref="E169" authorId="0">
      <text>
        <r>
          <rPr>
            <sz val="9"/>
            <color rgb="FF000000"/>
            <rFont val="Arial"/>
            <family val="2"/>
          </rPr>
          <t>S11 ual-20251231 10-K XBRL R16/R48/R52 | Note 2 Revenue by Geography | 11,097</t>
        </r>
      </text>
    </comment>
    <comment ref="F169" authorId="0">
      <text>
        <r>
          <rPr>
            <sz val="9"/>
            <color rgb="FF000000"/>
            <rFont val="Arial"/>
            <family val="2"/>
          </rPr>
          <t>S09 ual-20260331.htm (10-Q) | Note 2 Revenue by Geography | 1,899</t>
        </r>
      </text>
    </comment>
    <comment ref="G169" authorId="0">
      <text>
        <r>
          <rPr>
            <sz val="9"/>
            <color rgb="FF000000"/>
            <rFont val="Arial"/>
            <family val="2"/>
          </rPr>
          <t>S08 ual-20260630.htm (10-Q) | Note 2 Revenue by Geography | 3,370</t>
        </r>
      </text>
    </comment>
    <comment ref="C170" authorId="0">
      <text>
        <r>
          <rPr>
            <sz val="9"/>
            <color rgb="FF000000"/>
            <rFont val="Arial"/>
            <family val="2"/>
          </rPr>
          <t>S10 ual-20250930.htm (10-Q) | Note 2 Revenue by Geography | 1,531</t>
        </r>
      </text>
    </comment>
    <comment ref="E170" authorId="0">
      <text>
        <r>
          <rPr>
            <sz val="9"/>
            <color rgb="FF000000"/>
            <rFont val="Arial"/>
            <family val="2"/>
          </rPr>
          <t>S11 ual-20251231 10-K XBRL R16/R48/R52 | Note 2 Revenue by Geography | 6,462</t>
        </r>
      </text>
    </comment>
    <comment ref="F170" authorId="0">
      <text>
        <r>
          <rPr>
            <sz val="9"/>
            <color rgb="FF000000"/>
            <rFont val="Arial"/>
            <family val="2"/>
          </rPr>
          <t>S09 ual-20260331.htm (10-Q) | Note 2 Revenue by Geography | 1,722</t>
        </r>
      </text>
    </comment>
    <comment ref="G170" authorId="0">
      <text>
        <r>
          <rPr>
            <sz val="9"/>
            <color rgb="FF000000"/>
            <rFont val="Arial"/>
            <family val="2"/>
          </rPr>
          <t>S08 ual-20260630.htm (10-Q) | Note 2 Revenue by Geography | 1,720</t>
        </r>
      </text>
    </comment>
    <comment ref="C171" authorId="0">
      <text>
        <r>
          <rPr>
            <sz val="9"/>
            <color rgb="FF000000"/>
            <rFont val="Arial"/>
            <family val="2"/>
          </rPr>
          <t>S10 ual-20250930.htm (10-Q) | Note 2 Revenue by Geography | 1,232</t>
        </r>
      </text>
    </comment>
    <comment ref="E171" authorId="0">
      <text>
        <r>
          <rPr>
            <sz val="9"/>
            <color rgb="FF000000"/>
            <rFont val="Arial"/>
            <family val="2"/>
          </rPr>
          <t>S11 ual-20251231 10-K XBRL R16/R48/R52 | Note 2 Revenue by Geography | 5,437</t>
        </r>
      </text>
    </comment>
    <comment ref="F171" authorId="0">
      <text>
        <r>
          <rPr>
            <sz val="9"/>
            <color rgb="FF000000"/>
            <rFont val="Arial"/>
            <family val="2"/>
          </rPr>
          <t>S09 ual-20260331.htm (10-Q) | Note 2 Revenue by Geography | 1,557</t>
        </r>
      </text>
    </comment>
    <comment ref="G171" authorId="0">
      <text>
        <r>
          <rPr>
            <sz val="9"/>
            <color rgb="FF000000"/>
            <rFont val="Arial"/>
            <family val="2"/>
          </rPr>
          <t>S08 ual-20260630.htm (10-Q) | Note 2 Revenue by Geography | 1,362</t>
        </r>
      </text>
    </comment>
    <comment ref="F172" authorId="0">
      <text>
        <r>
          <rPr>
            <sz val="9"/>
            <color rgb="FF000000"/>
            <rFont val="Arial"/>
            <family val="2"/>
          </rPr>
          <t>S12 ual_03312025erex991.htm | Passenger revenue information and statistics | 7,182</t>
        </r>
      </text>
    </comment>
    <comment ref="G172" authorId="0">
      <text>
        <r>
          <rPr>
            <sz val="9"/>
            <color rgb="FF000000"/>
            <rFont val="Arial"/>
            <family val="2"/>
          </rPr>
          <t>S13 ual_06302025erex991.htm | Passenger revenue information and statistics | 7,905</t>
        </r>
      </text>
    </comment>
    <comment ref="F173" authorId="0">
      <text>
        <r>
          <rPr>
            <sz val="9"/>
            <color rgb="FF000000"/>
            <rFont val="Arial"/>
            <family val="2"/>
          </rPr>
          <t>S12 ual_03312025erex991.htm | Passenger revenue information and statistics | 41,810</t>
        </r>
      </text>
    </comment>
    <comment ref="G173" authorId="0">
      <text>
        <r>
          <rPr>
            <sz val="9"/>
            <color rgb="FF000000"/>
            <rFont val="Arial"/>
            <family val="2"/>
          </rPr>
          <t>S13 ual_06302025erex991.htm | Passenger revenue information and statistics | 45,100</t>
        </r>
      </text>
    </comment>
    <comment ref="F174" authorId="0">
      <text>
        <r>
          <rPr>
            <sz val="9"/>
            <color rgb="FF000000"/>
            <rFont val="Arial"/>
            <family val="2"/>
          </rPr>
          <t>S12 ual_03312025erex991.htm | Passenger revenue information and statistics | 33,557</t>
        </r>
      </text>
    </comment>
    <comment ref="G174" authorId="0">
      <text>
        <r>
          <rPr>
            <sz val="9"/>
            <color rgb="FF000000"/>
            <rFont val="Arial"/>
            <family val="2"/>
          </rPr>
          <t>S13 ual_06302025erex991.htm | Passenger revenue information and statistics | 37,936</t>
        </r>
      </text>
    </comment>
    <comment ref="F175" authorId="0">
      <text>
        <r>
          <rPr>
            <sz val="9"/>
            <color rgb="FF000000"/>
            <rFont val="Arial"/>
            <family val="2"/>
          </rPr>
          <t>S12 ual_03312025erex991.htm | Passenger revenue information and statistics | 1,476</t>
        </r>
      </text>
    </comment>
    <comment ref="G175" authorId="0">
      <text>
        <r>
          <rPr>
            <sz val="9"/>
            <color rgb="FF000000"/>
            <rFont val="Arial"/>
            <family val="2"/>
          </rPr>
          <t>S13 ual_06302025erex991.htm | Passenger revenue information and statistics | 2,904</t>
        </r>
      </text>
    </comment>
    <comment ref="F176" authorId="0">
      <text>
        <r>
          <rPr>
            <sz val="9"/>
            <color rgb="FF000000"/>
            <rFont val="Arial"/>
            <family val="2"/>
          </rPr>
          <t>S12 ual_03312025erex991.htm | Passenger revenue information and statistics | 10,184</t>
        </r>
      </text>
    </comment>
    <comment ref="G176" authorId="0">
      <text>
        <r>
          <rPr>
            <sz val="9"/>
            <color rgb="FF000000"/>
            <rFont val="Arial"/>
            <family val="2"/>
          </rPr>
          <t>S13 ual_06302025erex991.htm | Passenger revenue information and statistics | 17,311</t>
        </r>
      </text>
    </comment>
    <comment ref="F177" authorId="0">
      <text>
        <r>
          <rPr>
            <sz val="9"/>
            <color rgb="FF000000"/>
            <rFont val="Arial"/>
            <family val="2"/>
          </rPr>
          <t>S12 ual_03312025erex991.htm | Passenger revenue information and statistics | 7,433</t>
        </r>
      </text>
    </comment>
    <comment ref="G177" authorId="0">
      <text>
        <r>
          <rPr>
            <sz val="9"/>
            <color rgb="FF000000"/>
            <rFont val="Arial"/>
            <family val="2"/>
          </rPr>
          <t>S13 ual_06302025erex991.htm | Passenger revenue information and statistics | 13,969</t>
        </r>
      </text>
    </comment>
    <comment ref="F178" authorId="0">
      <text>
        <r>
          <rPr>
            <sz val="9"/>
            <color rgb="FF000000"/>
            <rFont val="Arial"/>
            <family val="2"/>
          </rPr>
          <t>S12 ual_03312025erex991.htm | Passenger revenue information and statistics | 260</t>
        </r>
      </text>
    </comment>
    <comment ref="G178" authorId="0">
      <text>
        <r>
          <rPr>
            <sz val="9"/>
            <color rgb="FF000000"/>
            <rFont val="Arial"/>
            <family val="2"/>
          </rPr>
          <t>S13 ual_06302025erex991.htm | Passenger revenue information and statistics | 269</t>
        </r>
      </text>
    </comment>
    <comment ref="F179" authorId="0">
      <text>
        <r>
          <rPr>
            <sz val="9"/>
            <color rgb="FF000000"/>
            <rFont val="Arial"/>
            <family val="2"/>
          </rPr>
          <t>S12 ual_03312025erex991.htm | Passenger revenue information and statistics | 1,843</t>
        </r>
      </text>
    </comment>
    <comment ref="G179" authorId="0">
      <text>
        <r>
          <rPr>
            <sz val="9"/>
            <color rgb="FF000000"/>
            <rFont val="Arial"/>
            <family val="2"/>
          </rPr>
          <t>S13 ual_06302025erex991.htm | Passenger revenue information and statistics | 1,997</t>
        </r>
      </text>
    </comment>
    <comment ref="F180" authorId="0">
      <text>
        <r>
          <rPr>
            <sz val="9"/>
            <color rgb="FF000000"/>
            <rFont val="Arial"/>
            <family val="2"/>
          </rPr>
          <t>S12 ual_03312025erex991.htm | Passenger revenue information and statistics | 1,484</t>
        </r>
      </text>
    </comment>
    <comment ref="G180" authorId="0">
      <text>
        <r>
          <rPr>
            <sz val="9"/>
            <color rgb="FF000000"/>
            <rFont val="Arial"/>
            <family val="2"/>
          </rPr>
          <t>S13 ual_06302025erex991.htm | Passenger revenue information and statistics | 1,657</t>
        </r>
      </text>
    </comment>
    <comment ref="F181" authorId="0">
      <text>
        <r>
          <rPr>
            <sz val="9"/>
            <color rgb="FF000000"/>
            <rFont val="Arial"/>
            <family val="2"/>
          </rPr>
          <t>S12 ual_03312025erex991.htm | Passenger revenue information and statistics | 1,511</t>
        </r>
      </text>
    </comment>
    <comment ref="G181" authorId="0">
      <text>
        <r>
          <rPr>
            <sz val="9"/>
            <color rgb="FF000000"/>
            <rFont val="Arial"/>
            <family val="2"/>
          </rPr>
          <t>S13 ual_06302025erex991.htm | Passenger revenue information and statistics | 1,507</t>
        </r>
      </text>
    </comment>
    <comment ref="F182" authorId="0">
      <text>
        <r>
          <rPr>
            <sz val="9"/>
            <color rgb="FF000000"/>
            <rFont val="Arial"/>
            <family val="2"/>
          </rPr>
          <t>S12 ual_03312025erex991.htm | Passenger revenue information and statistics | 11,901</t>
        </r>
      </text>
    </comment>
    <comment ref="G182" authorId="0">
      <text>
        <r>
          <rPr>
            <sz val="9"/>
            <color rgb="FF000000"/>
            <rFont val="Arial"/>
            <family val="2"/>
          </rPr>
          <t>S13 ual_06302025erex991.htm | Passenger revenue information and statistics | 11,036</t>
        </r>
      </text>
    </comment>
    <comment ref="F183" authorId="0">
      <text>
        <r>
          <rPr>
            <sz val="9"/>
            <color rgb="FF000000"/>
            <rFont val="Arial"/>
            <family val="2"/>
          </rPr>
          <t>S12 ual_03312025erex991.htm | Passenger revenue information and statistics | 9,159</t>
        </r>
      </text>
    </comment>
    <comment ref="G183" authorId="0">
      <text>
        <r>
          <rPr>
            <sz val="9"/>
            <color rgb="FF000000"/>
            <rFont val="Arial"/>
            <family val="2"/>
          </rPr>
          <t>S13 ual_06302025erex991.htm | Passenger revenue information and statistics | 9,059</t>
        </r>
      </text>
    </comment>
    <comment ref="F184" authorId="0">
      <text>
        <r>
          <rPr>
            <sz val="9"/>
            <color rgb="FF000000"/>
            <rFont val="Arial"/>
            <family val="2"/>
          </rPr>
          <t>S12 ual_03312025erex991.htm | Passenger revenue information and statistics | 1,431</t>
        </r>
      </text>
    </comment>
    <comment ref="G184" authorId="0">
      <text>
        <r>
          <rPr>
            <sz val="9"/>
            <color rgb="FF000000"/>
            <rFont val="Arial"/>
            <family val="2"/>
          </rPr>
          <t>S13 ual_06302025erex991.htm | Passenger revenue information and statistics | 1,251</t>
        </r>
      </text>
    </comment>
    <comment ref="F185" authorId="0">
      <text>
        <r>
          <rPr>
            <sz val="9"/>
            <color rgb="FF000000"/>
            <rFont val="Arial"/>
            <family val="2"/>
          </rPr>
          <t>S12 ual_03312025erex991.htm | Passenger revenue information and statistics | 9,418</t>
        </r>
      </text>
    </comment>
    <comment ref="G185" authorId="0">
      <text>
        <r>
          <rPr>
            <sz val="9"/>
            <color rgb="FF000000"/>
            <rFont val="Arial"/>
            <family val="2"/>
          </rPr>
          <t>S13 ual_06302025erex991.htm | Passenger revenue information and statistics | 8,903</t>
        </r>
      </text>
    </comment>
    <comment ref="F186" authorId="0">
      <text>
        <r>
          <rPr>
            <sz val="9"/>
            <color rgb="FF000000"/>
            <rFont val="Arial"/>
            <family val="2"/>
          </rPr>
          <t>S12 ual_03312025erex991.htm | Passenger revenue information and statistics | 7,883</t>
        </r>
      </text>
    </comment>
    <comment ref="G186" authorId="0">
      <text>
        <r>
          <rPr>
            <sz val="9"/>
            <color rgb="FF000000"/>
            <rFont val="Arial"/>
            <family val="2"/>
          </rPr>
          <t>S13 ual_06302025erex991.htm | Passenger revenue information and statistics | 7,467</t>
        </r>
      </text>
    </comment>
    <comment ref="C190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5,927</t>
        </r>
      </text>
    </comment>
    <comment ref="D190" authorId="0">
      <text>
        <r>
          <rPr>
            <sz val="9"/>
            <color rgb="FF000000"/>
            <rFont val="Arial"/>
            <family val="2"/>
          </rPr>
          <t>S03 ual_09302025erex991.htm | Condensed Statements of Consolidated Cash Flows (YTD) | 7,145</t>
        </r>
      </text>
    </comment>
    <comment ref="E190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6,409</t>
        </r>
      </text>
    </comment>
    <comment ref="C191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(2,520)</t>
        </r>
      </text>
    </comment>
    <comment ref="D191" authorId="0">
      <text>
        <r>
          <rPr>
            <sz val="9"/>
            <color rgb="FF000000"/>
            <rFont val="Arial"/>
            <family val="2"/>
          </rPr>
          <t>S03 ual_09302025erex991.htm | Condensed Statements of Consolidated Cash Flows (YTD) | (3,984)</t>
        </r>
      </text>
    </comment>
    <comment ref="E191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(3,015)</t>
        </r>
      </text>
    </comment>
    <comment ref="C192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(4,722)</t>
        </r>
      </text>
    </comment>
    <comment ref="D192" authorId="0">
      <text>
        <r>
          <rPr>
            <sz val="9"/>
            <color rgb="FF000000"/>
            <rFont val="Arial"/>
            <family val="2"/>
          </rPr>
          <t>S03 ual_09302025erex991.htm | Condensed Statements of Consolidated Cash Flows (YTD) | (6,454)</t>
        </r>
      </text>
    </comment>
    <comment ref="E192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(4,439)</t>
        </r>
      </text>
    </comment>
    <comment ref="C193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4,222</t>
        </r>
      </text>
    </comment>
    <comment ref="D193" authorId="0">
      <text>
        <r>
          <rPr>
            <sz val="9"/>
            <color rgb="FF000000"/>
            <rFont val="Arial"/>
            <family val="2"/>
          </rPr>
          <t>S03 ual_09302025erex991.htm | Condensed Statements of Consolidated Cash Flows (YTD) | 5,654</t>
        </r>
      </text>
    </comment>
    <comment ref="E193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4,179</t>
        </r>
      </text>
    </comment>
    <comment ref="C194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48</t>
        </r>
      </text>
    </comment>
    <comment ref="D194" authorId="0">
      <text>
        <r>
          <rPr>
            <sz val="9"/>
            <color rgb="FF000000"/>
            <rFont val="Arial"/>
            <family val="2"/>
          </rPr>
          <t>S03 ual_09302025erex991.htm | Condensed Statements of Consolidated Cash Flows (YTD) | 63</t>
        </r>
      </text>
    </comment>
    <comment ref="E194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33</t>
        </r>
      </text>
    </comment>
    <comment ref="C195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(70)</t>
        </r>
      </text>
    </comment>
    <comment ref="D195" authorId="0">
      <text>
        <r>
          <rPr>
            <sz val="9"/>
            <color rgb="FF000000"/>
            <rFont val="Arial"/>
            <family val="2"/>
          </rPr>
          <t>S03 ual_09302025erex991.htm | Condensed Statements of Consolidated Cash Flows (YTD) | (64)</t>
        </r>
      </text>
    </comment>
    <comment ref="E195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(111)</t>
        </r>
      </text>
    </comment>
    <comment ref="C196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(3,042)</t>
        </r>
      </text>
    </comment>
    <comment ref="D196" authorId="0">
      <text>
        <r>
          <rPr>
            <sz val="9"/>
            <color rgb="FF000000"/>
            <rFont val="Arial"/>
            <family val="2"/>
          </rPr>
          <t>S03 ual_09302025erex991.htm | Condensed Statements of Consolidated Cash Flows (YTD) | (4,785)</t>
        </r>
      </text>
    </comment>
    <comment ref="E196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(3,354)</t>
        </r>
      </text>
    </comment>
    <comment ref="C197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0</t>
        </r>
      </text>
    </comment>
    <comment ref="D197" authorId="0">
      <text>
        <r>
          <rPr>
            <sz val="9"/>
            <color rgb="FF000000"/>
            <rFont val="Arial"/>
            <family val="2"/>
          </rPr>
          <t>S03 ual_09302025erex991.htm | Condensed Statements of Consolidated Cash Flows (YTD) | 485</t>
        </r>
      </text>
    </comment>
    <comment ref="E197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5,829</t>
        </r>
      </text>
    </comment>
    <comment ref="C198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(1,611)</t>
        </r>
      </text>
    </comment>
    <comment ref="D198" authorId="0">
      <text>
        <r>
          <rPr>
            <sz val="9"/>
            <color rgb="FF000000"/>
            <rFont val="Arial"/>
            <family val="2"/>
          </rPr>
          <t>S03 ual_09302025erex991.htm | Condensed Statements of Consolidated Cash Flows (YTD) | (4,196)</t>
        </r>
      </text>
    </comment>
    <comment ref="E198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(4,537)</t>
        </r>
      </text>
    </comment>
    <comment ref="C199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(589)</t>
        </r>
      </text>
    </comment>
    <comment ref="D199" authorId="0">
      <text>
        <r>
          <rPr>
            <sz val="9"/>
            <color rgb="FF000000"/>
            <rFont val="Arial"/>
            <family val="2"/>
          </rPr>
          <t>S03 ual_09302025erex991.htm | Condensed Statements of Consolidated Cash Flows (YTD) | (610)</t>
        </r>
      </text>
    </comment>
    <comment ref="E199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(27)</t>
        </r>
      </text>
    </comment>
    <comment ref="C200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(99)</t>
        </r>
      </text>
    </comment>
    <comment ref="D200" authorId="0">
      <text>
        <r>
          <rPr>
            <sz val="9"/>
            <color rgb="FF000000"/>
            <rFont val="Arial"/>
            <family val="2"/>
          </rPr>
          <t>S03 ual_09302025erex991.htm | Condensed Statements of Consolidated Cash Flows (YTD) | (114)</t>
        </r>
      </text>
    </comment>
    <comment ref="E200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(93)</t>
        </r>
      </text>
    </comment>
    <comment ref="C201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(2,300)</t>
        </r>
      </text>
    </comment>
    <comment ref="D201" authorId="0">
      <text>
        <r>
          <rPr>
            <sz val="9"/>
            <color rgb="FF000000"/>
            <rFont val="Arial"/>
            <family val="2"/>
          </rPr>
          <t>S03 ual_09302025erex991.htm | Condensed Statements of Consolidated Cash Flows (YTD) | (4,436)</t>
        </r>
      </text>
    </comment>
    <comment ref="E201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1,172</t>
        </r>
      </text>
    </comment>
    <comment ref="C202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585</t>
        </r>
      </text>
    </comment>
    <comment ref="D202" authorId="0">
      <text>
        <r>
          <rPr>
            <sz val="9"/>
            <color rgb="FF000000"/>
            <rFont val="Arial"/>
            <family val="2"/>
          </rPr>
          <t>S03 ual_09302025erex991.htm | Condensed Statements of Consolidated Cash Flows (YTD) | (2,075)</t>
        </r>
      </text>
    </comment>
    <comment ref="E202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4,227</t>
        </r>
      </text>
    </comment>
    <comment ref="C203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8,946</t>
        </r>
      </text>
    </comment>
    <comment ref="D203" authorId="0">
      <text>
        <r>
          <rPr>
            <sz val="9"/>
            <color rgb="FF000000"/>
            <rFont val="Arial"/>
            <family val="2"/>
          </rPr>
          <t>S03 ual_09302025erex991.htm | Condensed Statements of Consolidated Cash Flows (YTD) | 8,946</t>
        </r>
      </text>
    </comment>
    <comment ref="E203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6,081</t>
        </r>
      </text>
    </comment>
    <comment ref="C204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9,531</t>
        </r>
      </text>
    </comment>
    <comment ref="D204" authorId="0">
      <text>
        <r>
          <rPr>
            <sz val="9"/>
            <color rgb="FF000000"/>
            <rFont val="Arial"/>
            <family val="2"/>
          </rPr>
          <t>S03 ual_09302025erex991.htm | Condensed Statements of Consolidated Cash Flows (YTD) | 6,871</t>
        </r>
      </text>
    </comment>
    <comment ref="E204" authorId="0">
      <text>
        <r>
          <rPr>
            <sz val="9"/>
            <color rgb="FF000000"/>
            <rFont val="Arial"/>
            <family val="2"/>
          </rPr>
          <t>S06 ual_erx06302026xex991.htm | Condensed Statements of Consolidated Cash Flows (YTD) | 10,308</t>
        </r>
      </text>
    </comment>
    <comment ref="D205" authorId="0">
      <text>
        <r>
          <rPr>
            <sz val="9"/>
            <color rgb="FF000000"/>
            <rFont val="Arial"/>
            <family val="2"/>
          </rPr>
          <t>S10 ual-20250930.htm (10-Q) | Note 2 Revenue by Geography (9M 2025) | 25,808</t>
        </r>
      </text>
    </comment>
    <comment ref="F205" authorId="0">
      <text>
        <r>
          <rPr>
            <sz val="9"/>
            <color rgb="FF000000"/>
            <rFont val="Arial"/>
            <family val="2"/>
          </rPr>
          <t>S10 ual-20250930.htm (10-Q) | Note 2 Revenue by Geography (9M 2024) | 25,082</t>
        </r>
      </text>
    </comment>
    <comment ref="D206" authorId="0">
      <text>
        <r>
          <rPr>
            <sz val="9"/>
            <color rgb="FF000000"/>
            <rFont val="Arial"/>
            <family val="2"/>
          </rPr>
          <t>S10 ual-20250930.htm (10-Q) | Note 2 Revenue by Geography (9M 2025) | 8,755</t>
        </r>
      </text>
    </comment>
    <comment ref="F206" authorId="0">
      <text>
        <r>
          <rPr>
            <sz val="9"/>
            <color rgb="FF000000"/>
            <rFont val="Arial"/>
            <family val="2"/>
          </rPr>
          <t>S10 ual-20250930.htm (10-Q) | Note 2 Revenue by Geography (9M 2024) | 8,542</t>
        </r>
      </text>
    </comment>
    <comment ref="D207" authorId="0">
      <text>
        <r>
          <rPr>
            <sz val="9"/>
            <color rgb="FF000000"/>
            <rFont val="Arial"/>
            <family val="2"/>
          </rPr>
          <t>S10 ual-20250930.htm (10-Q) | Note 2 Revenue by Geography (9M 2025) | 5,009</t>
        </r>
      </text>
    </comment>
    <comment ref="F207" authorId="0">
      <text>
        <r>
          <rPr>
            <sz val="9"/>
            <color rgb="FF000000"/>
            <rFont val="Arial"/>
            <family val="2"/>
          </rPr>
          <t>S10 ual-20250930.htm (10-Q) | Note 2 Revenue by Geography (9M 2024) | 4,721</t>
        </r>
      </text>
    </comment>
    <comment ref="D208" authorId="0">
      <text>
        <r>
          <rPr>
            <sz val="9"/>
            <color rgb="FF000000"/>
            <rFont val="Arial"/>
            <family val="2"/>
          </rPr>
          <t>S10 ual-20250930.htm (10-Q) | Note 2 Revenue by Geography (9M 2025) | 4,100</t>
        </r>
      </text>
    </comment>
    <comment ref="F208" authorId="0">
      <text>
        <r>
          <rPr>
            <sz val="9"/>
            <color rgb="FF000000"/>
            <rFont val="Arial"/>
            <family val="2"/>
          </rPr>
          <t>S10 ual-20250930.htm (10-Q) | Note 2 Revenue by Geography (9M 2024) | 4,023</t>
        </r>
      </text>
    </comment>
    <comment ref="D209" authorId="0">
      <text>
        <r>
          <rPr>
            <sz val="9"/>
            <color rgb="FF000000"/>
            <rFont val="Arial"/>
            <family val="2"/>
          </rPr>
          <t>S10 ual-20250930.htm (10-Q) | Note 2 Ancillary services (9M 2025) | 3.5 billion</t>
        </r>
      </text>
    </comment>
    <comment ref="F209" authorId="0">
      <text>
        <r>
          <rPr>
            <sz val="9"/>
            <color rgb="FF000000"/>
            <rFont val="Arial"/>
            <family val="2"/>
          </rPr>
          <t>S10 ual-20250930.htm (10-Q) | Note 2 Ancillary services (9M 2024) | 3.3 billion</t>
        </r>
      </text>
    </comment>
    <comment ref="D210" authorId="0">
      <text>
        <r>
          <rPr>
            <sz val="9"/>
            <color rgb="FF000000"/>
            <rFont val="Arial"/>
            <family val="2"/>
          </rPr>
          <t>S10 ual-20250930.htm (10-Q) | Note 2 partner agreements (9M 2025) | 2.4 billion</t>
        </r>
      </text>
    </comment>
    <comment ref="F210" authorId="0">
      <text>
        <r>
          <rPr>
            <sz val="9"/>
            <color rgb="FF000000"/>
            <rFont val="Arial"/>
            <family val="2"/>
          </rPr>
          <t>S10 ual-20250930.htm (10-Q) | Note 2 partner agreements (9M 2024) | 2.2 billion</t>
        </r>
      </text>
    </comment>
    <comment ref="D211" authorId="0">
      <text>
        <r>
          <rPr>
            <sz val="9"/>
            <color rgb="FF000000"/>
            <rFont val="Arial"/>
            <family val="2"/>
          </rPr>
          <t>S10 ual-20250930.htm (10-Q) | Note 2 Frequent flyer roll forward (9M 2025) | 2,878</t>
        </r>
      </text>
    </comment>
    <comment ref="F211" authorId="0">
      <text>
        <r>
          <rPr>
            <sz val="9"/>
            <color rgb="FF000000"/>
            <rFont val="Arial"/>
            <family val="2"/>
          </rPr>
          <t>S10 ual-20250930.htm (10-Q) | Note 2 roll forward (9M 2024) | 2,643</t>
        </r>
      </text>
    </comment>
    <comment ref="D212" authorId="0">
      <text>
        <r>
          <rPr>
            <sz val="9"/>
            <color rgb="FF000000"/>
            <rFont val="Arial"/>
            <family val="2"/>
          </rPr>
          <t>S10 ual-20250930.htm (10-Q) | Note 2 Frequent flyer roll forward (9M 2025) | (2,514)</t>
        </r>
      </text>
    </comment>
    <comment ref="F212" authorId="0">
      <text>
        <r>
          <rPr>
            <sz val="9"/>
            <color rgb="FF000000"/>
            <rFont val="Arial"/>
            <family val="2"/>
          </rPr>
          <t>S10 ual-20250930.htm (10-Q) | Note 2 roll forward (9M 2024) | (2,325)</t>
        </r>
      </text>
    </comment>
    <comment ref="D213" authorId="0">
      <text>
        <r>
          <rPr>
            <sz val="9"/>
            <color rgb="FF000000"/>
            <rFont val="Arial"/>
            <family val="2"/>
          </rPr>
          <t>S10 ual-20250930.htm (10-Q) | Note 2 Frequent flyer roll forward (9M 2025) | (103)</t>
        </r>
      </text>
    </comment>
    <comment ref="F213" authorId="0">
      <text>
        <r>
          <rPr>
            <sz val="9"/>
            <color rgb="FF000000"/>
            <rFont val="Arial"/>
            <family val="2"/>
          </rPr>
          <t>S10 ual-20250930.htm (10-Q) | Note 2 roll forward (9M 2024) | (90)</t>
        </r>
      </text>
    </comment>
    <comment ref="D214" authorId="0">
      <text>
        <r>
          <rPr>
            <sz val="9"/>
            <color rgb="FF000000"/>
            <rFont val="Arial"/>
            <family val="2"/>
          </rPr>
          <t>S10 ual-20250930.htm (10-Q) | Note 3 Earnings per share | 325.3</t>
        </r>
      </text>
    </comment>
    <comment ref="D215" authorId="0">
      <text>
        <r>
          <rPr>
            <sz val="9"/>
            <color rgb="FF000000"/>
            <rFont val="Arial"/>
            <family val="2"/>
          </rPr>
          <t>S10 ual-20250930.htm (10-Q) | Note 3 Earnings per share | 0.4</t>
        </r>
      </text>
    </comment>
    <comment ref="D216" authorId="0">
      <text>
        <r>
          <rPr>
            <sz val="9"/>
            <color rgb="FF000000"/>
            <rFont val="Arial"/>
            <family val="2"/>
          </rPr>
          <t>S10 ual-20250930.htm (10-Q) | Note 3 Earnings per share | 3.3</t>
        </r>
      </text>
    </comment>
    <comment ref="D217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(9M) | 2,309</t>
        </r>
      </text>
    </comment>
    <comment ref="D218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(9M) | 43,673</t>
        </r>
      </text>
    </comment>
    <comment ref="D219" authorId="0">
      <text>
        <r>
          <rPr>
            <sz val="9"/>
            <color rgb="FF000000"/>
            <rFont val="Arial"/>
            <family val="2"/>
          </rPr>
          <t>S03 ual_09302025erex991.htm | Statements of Consolidated Operations (9M) | 3,328</t>
        </r>
      </text>
    </comment>
    <comment ref="C220" authorId="0">
      <text>
        <r>
          <rPr>
            <sz val="9"/>
            <color rgb="FF000000"/>
            <rFont val="Arial"/>
            <family val="2"/>
          </rPr>
          <t>S13 ual_06302025erex991.htm | Select operating statistics - aircraft in fleet (2024 comparative) | 1,369</t>
        </r>
      </text>
    </comment>
    <comment ref="C223" authorId="0">
      <text>
        <r>
          <rPr>
            <sz val="9"/>
            <color rgb="FF000000"/>
            <rFont val="Arial"/>
            <family val="2"/>
          </rPr>
          <t>S25 companiesmarketcap.com/united-airlines/marketcap | Market cap Oct 2026 | $31.19 B</t>
        </r>
      </text>
    </comment>
    <comment ref="C225" authorId="0">
      <text>
        <r>
          <rPr>
            <sz val="9"/>
            <color rgb="FF000000"/>
            <rFont val="Arial"/>
            <family val="2"/>
          </rPr>
          <t>S26 markets.businessinsider.com S&amp;P 500 components (16.10.2026) | United Airlines Holdings Inc listed | 1</t>
        </r>
      </text>
    </comment>
    <comment ref="C226" authorId="0">
      <text>
        <r>
          <rPr>
            <sz val="9"/>
            <color rgb="FF000000"/>
            <rFont val="Arial"/>
            <family val="2"/>
          </rPr>
          <t>Playbook forecasting-playbook.md | Section 7 | 0.78</t>
        </r>
      </text>
    </comment>
    <comment ref="C227" authorId="0">
      <text>
        <r>
          <rPr>
            <sz val="9"/>
            <color rgb="FF000000"/>
            <rFont val="Arial"/>
            <family val="2"/>
          </rPr>
          <t>Playbook forecasting-playbook.md | Section 7 | 0.70</t>
        </r>
      </text>
    </comment>
    <comment ref="C228" authorId="0">
      <text>
        <r>
          <rPr>
            <sz val="9"/>
            <color rgb="FF000000"/>
            <rFont val="Arial"/>
            <family val="2"/>
          </rPr>
          <t>Playbook forecasting-playbook.md | Section 7 | 0.60</t>
        </r>
      </text>
    </comment>
    <comment ref="C232" authorId="0">
      <text>
        <r>
          <rPr>
            <sz val="9"/>
            <color rgb="FF000000"/>
            <rFont val="Arial"/>
            <family val="2"/>
          </rPr>
          <t>Playbook forecasting-playbook.md | Section 7 | Eight pseudo-observations</t>
        </r>
      </text>
    </comment>
    <comment ref="D244" authorId="0">
      <text>
        <r>
          <rPr>
            <sz val="9"/>
            <color rgb="FF000000"/>
            <rFont val="Arial"/>
            <family val="2"/>
          </rPr>
          <t>S27 | consensus EPS | 3.6</t>
        </r>
      </text>
    </comment>
    <comment ref="D245" authorId="0">
      <text>
        <r>
          <rPr>
            <sz val="9"/>
            <color rgb="FF000000"/>
            <rFont val="Arial"/>
            <family val="2"/>
          </rPr>
          <t>S30 | consensus EPS | 2.837</t>
        </r>
      </text>
    </comment>
    <comment ref="E245" authorId="0">
      <text>
        <r>
          <rPr>
            <sz val="9"/>
            <color rgb="FF000000"/>
            <rFont val="Arial"/>
            <family val="2"/>
          </rPr>
          <t>S30 | consensus revenue | 17752</t>
        </r>
      </text>
    </comment>
    <comment ref="D246" authorId="0">
      <text>
        <r>
          <rPr>
            <sz val="9"/>
            <color rgb="FF000000"/>
            <rFont val="Arial"/>
            <family val="2"/>
          </rPr>
          <t>S31 | consensus EPS | 2.61</t>
        </r>
      </text>
    </comment>
    <comment ref="E247" authorId="0">
      <text>
        <r>
          <rPr>
            <sz val="9"/>
            <color rgb="FF000000"/>
            <rFont val="Arial"/>
            <family val="2"/>
          </rPr>
          <t>S31 | consensus revenue | 17840</t>
        </r>
      </text>
    </comment>
    <comment ref="D248" authorId="0">
      <text>
        <r>
          <rPr>
            <sz val="9"/>
            <color rgb="FF000000"/>
            <rFont val="Arial"/>
            <family val="2"/>
          </rPr>
          <t>S24 | consensus EPS | 2.59</t>
        </r>
      </text>
    </comment>
    <comment ref="E248" authorId="0">
      <text>
        <r>
          <rPr>
            <sz val="9"/>
            <color rgb="FF000000"/>
            <rFont val="Arial"/>
            <family val="2"/>
          </rPr>
          <t>S24 | consensus revenue | 17900</t>
        </r>
      </text>
    </comment>
    <comment ref="D249" authorId="0">
      <text>
        <r>
          <rPr>
            <sz val="9"/>
            <color rgb="FF000000"/>
            <rFont val="Arial"/>
            <family val="2"/>
          </rPr>
          <t>S24 | consensus EPS | 2.58</t>
        </r>
      </text>
    </comment>
    <comment ref="E249" authorId="0">
      <text>
        <r>
          <rPr>
            <sz val="9"/>
            <color rgb="FF000000"/>
            <rFont val="Arial"/>
            <family val="2"/>
          </rPr>
          <t>S24 | consensus revenue | 17880</t>
        </r>
      </text>
    </comment>
  </commentList>
</comments>
</file>

<file path=xl/sharedStrings.xml><?xml version="1.0" encoding="utf-8"?>
<sst xmlns="http://schemas.openxmlformats.org/spreadsheetml/2006/main" count="849" uniqueCount="849">
  <si>
    <t>United Airlines Holdings, Inc. (NasdaqGS: UAL)</t>
  </si>
  <si>
    <t>Cover</t>
  </si>
  <si>
    <t>$ millions, except per share</t>
  </si>
  <si>
    <t>Period</t>
  </si>
  <si>
    <t>3Q25A</t>
  </si>
  <si>
    <t>4Q25A</t>
  </si>
  <si>
    <t>FY25A</t>
  </si>
  <si>
    <t>1Q26A</t>
  </si>
  <si>
    <t>2Q26A</t>
  </si>
  <si>
    <t>3Q26E</t>
  </si>
  <si>
    <t>Period end</t>
  </si>
  <si>
    <t>Days in period</t>
  </si>
  <si>
    <t>Company Model — built by Shortcut</t>
  </si>
  <si>
    <t>Author: Shortcut</t>
  </si>
  <si>
    <t>Company</t>
  </si>
  <si>
    <t>United Airlines Holdings, Inc.</t>
  </si>
  <si>
    <t>Ticker</t>
  </si>
  <si>
    <t>UAL</t>
  </si>
  <si>
    <t>Exchange</t>
  </si>
  <si>
    <t>NasdaqGS (Nasdaq Global Select Market)</t>
  </si>
  <si>
    <t>Fiscal year end</t>
  </si>
  <si>
    <t>December 31 (FQ3 2026 = quarter ended Sept 30, 2026; supplied label 2026-09-30 matches)</t>
  </si>
  <si>
    <t>Reporting currency</t>
  </si>
  <si>
    <t>USD ($ millions, except per share)</t>
  </si>
  <si>
    <t>EPS basis</t>
  </si>
  <si>
    <t>Adjusted (non-GAAP) diluted EPS = CapIQ normalized diluted EPS, USD per diluted common share</t>
  </si>
  <si>
    <t>Information cutoff</t>
  </si>
  <si>
    <t>2026-10-18 21:34:46 UTC</t>
  </si>
  <si>
    <t>Expected report date</t>
  </si>
  <si>
    <t>2026-10-20 (supplied CapIQ; issuer confirms after market close Oct 20, call Oct 21 - S16)</t>
  </si>
  <si>
    <t>Target period</t>
  </si>
  <si>
    <t>FQ3 2026 (3Q26E)</t>
  </si>
  <si>
    <t>Headline: 3Q26E</t>
  </si>
  <si>
    <t>Shortcut est.</t>
  </si>
  <si>
    <t>Consensus (CapIQ 10/18/26)</t>
  </si>
  <si>
    <t>Variance</t>
  </si>
  <si>
    <t>Variance %</t>
  </si>
  <si>
    <t>Guidance midpoint</t>
  </si>
  <si>
    <t>Est. vs guidance</t>
  </si>
  <si>
    <t>Total operating revenue ($m)</t>
  </si>
  <si>
    <t>not guided</t>
  </si>
  <si>
    <t>n.a.</t>
  </si>
  <si>
    <t>Adj. net income ($m)</t>
  </si>
  <si>
    <t>Adjusted (non-GAAP) NI; guidance column = $3.00 midpoint x forecast diluted shares (implied). CapIQ NI mean 859.78 / EPS mean 2.59 implies ~332.0m shares vs model 326.6m: contributor set/basis not verified like-for-like - NI variance uncertain; only EPS is scored</t>
  </si>
  <si>
    <t>Net income - GAAP ($m)</t>
  </si>
  <si>
    <t>CapIQ GAAP NI mean 909.74 / GAAP EPS mean 2.79 implies ~326.1m shares; comparator basis unverified - uncertain, not scored</t>
  </si>
  <si>
    <t>Adj. diluted EPS</t>
  </si>
  <si>
    <t>Consensus basis: UAL adjusted diluted EPS = CapIQ normalized</t>
  </si>
  <si>
    <t>GAAP diluted EPS</t>
  </si>
  <si>
    <t>Consensus # (EPS / revenue)</t>
  </si>
  <si>
    <t>19 / 16</t>
  </si>
  <si>
    <t>P(beat consensus EPS)</t>
  </si>
  <si>
    <t>Confidence</t>
  </si>
  <si>
    <t>medium</t>
  </si>
  <si>
    <t>Check: Cover ties to statements</t>
  </si>
  <si>
    <t>By construction (direct links)</t>
  </si>
  <si>
    <t>Overall structural check</t>
  </si>
  <si>
    <t>PASS</t>
  </si>
  <si>
    <t>Structural integrity only: AND of inline check rows on all tabs; 3Q26E members are mostly by-construction identities - not independent forecast validation</t>
  </si>
  <si>
    <t>Key 3Q26E drivers</t>
  </si>
  <si>
    <t>ASMs Y/Y</t>
  </si>
  <si>
    <t>TRASM Y/Y</t>
  </si>
  <si>
    <t>Fuel price per gallon ($)</t>
  </si>
  <si>
    <t>CASM-ex Y/Y</t>
  </si>
  <si>
    <t>Adjusted pre-tax margin</t>
  </si>
  <si>
    <t>Diluted shares (m)</t>
  </si>
  <si>
    <t>Method: consensus anchor; fuel calibrated to Delta 3Q26 realized price; revenue built from entity PRASM x ASMs (Geo); costs from line-item growth.</t>
  </si>
  <si>
    <t>Revenue summary</t>
  </si>
  <si>
    <t>Single reported segment (airline); drivers built on this tab</t>
  </si>
  <si>
    <t>S08 10-Q Note 1: "The Company manages its operations as one segment" - no Segment tabs</t>
  </si>
  <si>
    <t>A. Operating statistics (drivers)</t>
  </si>
  <si>
    <t>Available seat miles (ASMs, m)</t>
  </si>
  <si>
    <t>% Y/Y</t>
  </si>
  <si>
    <t>Q/Q change (abs., m)</t>
  </si>
  <si>
    <t>n.m.</t>
  </si>
  <si>
    <t>Revenue passenger miles (RPMs, m)</t>
  </si>
  <si>
    <t>Passenger load factor</t>
  </si>
  <si>
    <t>Y/Y change (bps)</t>
  </si>
  <si>
    <t>Q/Q change (bps)</t>
  </si>
  <si>
    <t>Average stage length (miles)</t>
  </si>
  <si>
    <t>3Q26E 1,480 (-1.9% Y/Y): more domestic, MEIA cut; 2Q26 was -3.2% Y/Y</t>
  </si>
  <si>
    <t>Q/Q change (abs., miles)</t>
  </si>
  <si>
    <t>Passengers (000s)</t>
  </si>
  <si>
    <t>Q/Q change (abs., 000s)</t>
  </si>
  <si>
    <t>Yield (cents per RPM)</t>
  </si>
  <si>
    <t>Q/Q change (abs., cents)</t>
  </si>
  <si>
    <t>PRASM (cents)</t>
  </si>
  <si>
    <t>TRASM (cents)</t>
  </si>
  <si>
    <t>Guidance (S07): 3Q26 TRASM growth to exceed 2Q26 +12.1%</t>
  </si>
  <si>
    <t>Avg. revenue per passenger ($)</t>
  </si>
  <si>
    <t>Q/Q change (abs., $)</t>
  </si>
  <si>
    <t>Cargo revenue ton miles (m)</t>
  </si>
  <si>
    <t>3Q26E CTM +3% (2Q26 +5.3%, 1Q26 -1.2%; call: gains mostly yield-driven, S14)</t>
  </si>
  <si>
    <t>Cargo yield (cents per RTM)</t>
  </si>
  <si>
    <t>3Q26E cargo yield +18% (2Q26 cargo rev +22.6% on CTM +5.3% = yield +16%; DAL cargo +29%, S17)</t>
  </si>
  <si>
    <t>B. Fleet ladder (aircraft)</t>
  </si>
  <si>
    <t>Opening fleet</t>
  </si>
  <si>
    <t>Net additions</t>
  </si>
  <si>
    <t>Deliveries less retirements</t>
  </si>
  <si>
    <t>Closing fleet</t>
  </si>
  <si>
    <t>Aircraft in fleet at end of period (reported)</t>
  </si>
  <si>
    <t>of which mainline</t>
  </si>
  <si>
    <t>n.d.</t>
  </si>
  <si>
    <t>of which regional</t>
  </si>
  <si>
    <t>Average fleet</t>
  </si>
  <si>
    <t>Two-point average (opening + closing)/2. FY25A (E52) is a two-point annual average, not a day-weighted mean of quarters - not comparable to quarterly columns (feeds E55)</t>
  </si>
  <si>
    <t>Q/Q change (abs.)</t>
  </si>
  <si>
    <t>ASMs per aircraft per day (000s)</t>
  </si>
  <si>
    <t>FY25A uses the two-point FY average fleet (E52); not comparable to quarterly columns</t>
  </si>
  <si>
    <t>3Q25A Q/Q uses 2Q25 days = 91, taken from G7 (2Q26 has the same 91 days)</t>
  </si>
  <si>
    <t>C. MileagePlus deferred revenue ladder ($m; Note 2 roll forward)</t>
  </si>
  <si>
    <t>Opening balance</t>
  </si>
  <si>
    <t>Miles earned (additions)</t>
  </si>
  <si>
    <t>3Q26E +10% (2Q26 +9.3%, 1Q26 +12.5%; new co-brand accounts +22%, card spend +14%, S14)</t>
  </si>
  <si>
    <t>Q/Q change (abs., $m)</t>
  </si>
  <si>
    <t>Travel miles redeemed</t>
  </si>
  <si>
    <t>3Q26E +13% (2Q26 +14.1%, 1Q26 +14.4%)</t>
  </si>
  <si>
    <t>Non-travel miles redeemed</t>
  </si>
  <si>
    <t>3Q26E flat vs 3Q25A (-36)</t>
  </si>
  <si>
    <t>Net change (net additions)</t>
  </si>
  <si>
    <t>Closing balance (calculated)</t>
  </si>
  <si>
    <t>Closing balance (reported)</t>
  </si>
  <si>
    <t>3Q26E (H72) = calculated closing balance (H71), not a reported figure</t>
  </si>
  <si>
    <t>Calculated less reported (rounding)</t>
  </si>
  <si>
    <t>Average balance</t>
  </si>
  <si>
    <t>Travel redemption rate</t>
  </si>
  <si>
    <t>Travel miles redeemed / opening balance. FY25A (E75) = annual flow / opening balance - not comparable to quarterly rates</t>
  </si>
  <si>
    <t>Partner rev. / miles earned (x)</t>
  </si>
  <si>
    <t>Q/Q change (abs., x)</t>
  </si>
  <si>
    <t>Check: ties to BS deferred rev.</t>
  </si>
  <si>
    <t>Closing balance vs balance sheet FF deferred revenue (current + noncurrent), |diff| &lt;= $2m rounding; 3Q26E by construction (BS linked to ladder)</t>
  </si>
  <si>
    <t>D. Revenue by type ($m)</t>
  </si>
  <si>
    <t>Ticket revenue (derived)</t>
  </si>
  <si>
    <t>Passenger revenue less ancillary fees</t>
  </si>
  <si>
    <t>% Y/Y (total reported growth)</t>
  </si>
  <si>
    <t>% Q/Q</t>
  </si>
  <si>
    <t>% of total revenue</t>
  </si>
  <si>
    <t>Organic growth</t>
  </si>
  <si>
    <t>unavailable</t>
  </si>
  <si>
    <t>UAL does not disclose FX or M&amp;A growth effects (10-Q/10-K); organic = (1+Y/Y)/((1+M&amp;A)*(1+FX))-1 not computable</t>
  </si>
  <si>
    <t>M&amp;A / scope impact</t>
  </si>
  <si>
    <t>FX impact</t>
  </si>
  <si>
    <t>Ancillary fees (in passenger rev.)</t>
  </si>
  <si>
    <t>Baggage, seat and other ticket-related fees (10-Q Note 2); disclosed rounded to $0.1bn</t>
  </si>
  <si>
    <t>Ancillary % of passenger rev.</t>
  </si>
  <si>
    <t>3Q26E 8.8% (2Q26 8.7%, 1Q26 9.1%, 3Q25 9.4%); fare growth outpacing fees</t>
  </si>
  <si>
    <t>Passenger revenue</t>
  </si>
  <si>
    <t>Cargo revenue</t>
  </si>
  <si>
    <t>MileagePlus partner revenue</t>
  </si>
  <si>
    <t>Marketing, advertising, non-travel redemptions and other benefits under Chase and other partner agreements</t>
  </si>
  <si>
    <t>3Q26E +12% (loyalty other revenue underlying &gt;13% in 2Q26 ex one-time adj., S14); 2025 values disclosed rounded to $0.1bn</t>
  </si>
  <si>
    <t>Other revenue - residual</t>
  </si>
  <si>
    <t>Other operating revenue less partner revenue (derived)</t>
  </si>
  <si>
    <t>3Q26E +5% (lounge visits, third-party services); residual of rounded disclosures</t>
  </si>
  <si>
    <t>Other operating revenue</t>
  </si>
  <si>
    <t>Total operating revenue</t>
  </si>
  <si>
    <t>Memo: CapIQ revenue actual</t>
  </si>
  <si>
    <t>Linked from Inputs history (UAL_history.csv)</t>
  </si>
  <si>
    <t>Check: segments sum to total</t>
  </si>
  <si>
    <t>Passenger + cargo + other = total; total ties to CapIQ actual; 3Q26E by construction (identity)</t>
  </si>
  <si>
    <t>Check: ties to reported total</t>
  </si>
  <si>
    <t>Total vs reported total operating revenue (Income Statement memo); 3Q26E by construction (IS links to this tab)</t>
  </si>
  <si>
    <t>Income Statement</t>
  </si>
  <si>
    <t>Revenue</t>
  </si>
  <si>
    <t>Memo: reported total operating revenue</t>
  </si>
  <si>
    <t>Operating expenses</t>
  </si>
  <si>
    <t>Salaries excl. profit sharing</t>
  </si>
  <si>
    <t>Derived: salaries and related less profit sharing</t>
  </si>
  <si>
    <t>3Q26E +9.0% (2Q26 +8.8%, 1Q26 +9.5% ex profit sharing; AFA contract ratified May 2026 in outlook, S14)</t>
  </si>
  <si>
    <t>Profit sharing (incl. in salaries)</t>
  </si>
  <si>
    <t>Guidance 3Q26 accrual $135-220m (S07). 3Q26E = 9.6% x H144 + 6.0% x YTD base above $2.5bn (H152) = $151.2m, within guided range. S07 tiers applied year-to-date: this fits reported 3Q25-2Q26 accruals and reproduces the guided range at $2.50/$3.50 EPS; the prior quarter-only test ($128.0m) did not (repair r1)</t>
  </si>
  <si>
    <t>Salaries and related costs</t>
  </si>
  <si>
    <t>Fuel gallons consumed (m)</t>
  </si>
  <si>
    <t>Q/Q change (abs., m gallons)</t>
  </si>
  <si>
    <t>Gallons per 1,000 ASMs</t>
  </si>
  <si>
    <t>3Q26E -0.8% fuel efficiency (2Q26 -0.8%; new MAX/A321neo deliveries)</t>
  </si>
  <si>
    <t>Average fuel price per gallon ($)</t>
  </si>
  <si>
    <t>3Q26E $3.86 vs guide $3.69 (S07): DAL ex-refinery $3.74 (S17) x UAL/DAL 2Q26 ratio 1.037 = $3.88; DAL guide-gap method $3.77; GC spot Jul/Aug/Sep $3.40/$3.72/$4.39 (S19)</t>
  </si>
  <si>
    <t>Aircraft fuel</t>
  </si>
  <si>
    <t>Landing fees and other rent</t>
  </si>
  <si>
    <t>3Q26E +9% (2Q26 +9.9%, 1Q26 +8.6%)</t>
  </si>
  <si>
    <t>Aircraft maintenance</t>
  </si>
  <si>
    <t>Aircraft maintenance materials and outside repairs</t>
  </si>
  <si>
    <t>3Q26E +9% (2Q26 +4.7%, 1Q26 +16.8%, 4Q25 +13.6%)</t>
  </si>
  <si>
    <t>Depreciation and amortization</t>
  </si>
  <si>
    <t>3Q26E +5.2% to ~$768m (1Q26 $756m, 2Q26 $762m; fleet growth)</t>
  </si>
  <si>
    <t>Regional capacity purchase</t>
  </si>
  <si>
    <t>3Q26E +8% (2Q26 +9.8%; CPA rate step-ups, S08)</t>
  </si>
  <si>
    <t>Distribution expenses</t>
  </si>
  <si>
    <t>Distribution % of pax revenue</t>
  </si>
  <si>
    <t>3Q26E 4.0% (2Q26 4.0%, 1Q26 4.0%, 3Q25 4.0%)</t>
  </si>
  <si>
    <t>Aircraft rent</t>
  </si>
  <si>
    <t>3Q26E $125m (1Q26 $83m, 2Q26 $112m; rising with sale-leasebacks)</t>
  </si>
  <si>
    <t>Special charges (credits)</t>
  </si>
  <si>
    <t>3Q26E net credit -$100m: recurring aircraft sale-leaseback gains (4Q25-2Q26 avg -$181m); excluded from adjusted EPS</t>
  </si>
  <si>
    <t>Other operating expenses</t>
  </si>
  <si>
    <t>3Q26E +8.5% (2Q26 +8.6%, 1Q26 +9.3%)</t>
  </si>
  <si>
    <t>Total operating expense</t>
  </si>
  <si>
    <t>Memo: reported total operating expense</t>
  </si>
  <si>
    <t>History model total (row 53) = sum of rounded reported lines; differs from reported by up to $1m (3Q25 +1, 4Q25 -1, FY25 +1) - disclosed rounding residual, not a check. 3Q26E grows lines, unaffected</t>
  </si>
  <si>
    <t>Operating income (GAAP)</t>
  </si>
  <si>
    <t>Operating margin</t>
  </si>
  <si>
    <t>Adj. operating income</t>
  </si>
  <si>
    <t>Operating income excluding special charges (credits)</t>
  </si>
  <si>
    <t>Adjusted operating margin</t>
  </si>
  <si>
    <t>Unit costs</t>
  </si>
  <si>
    <t>CASM (cents)</t>
  </si>
  <si>
    <t>Third-party business expenses</t>
  </si>
  <si>
    <t>3Q26E $60m (3Q25 $59m, 2Q26 $68m)</t>
  </si>
  <si>
    <t>CASM-ex (cents)</t>
  </si>
  <si>
    <t>CASM excluding fuel, profit sharing, special charges and third-party business expenses</t>
  </si>
  <si>
    <t>Mgmt: 3Q26 is the peak quarter for CASM-ex pressure (S14/S15); 2Q26 +6.1%, DAL 3Q26 +7.3%</t>
  </si>
  <si>
    <t>Nonoperating income (expense)</t>
  </si>
  <si>
    <t>Interest expense</t>
  </si>
  <si>
    <t>3Q26E -$358m: debt +$2.3bn in 2Q26 (S06), full-quarter carry</t>
  </si>
  <si>
    <t>Interest income</t>
  </si>
  <si>
    <t>3Q26E $155m on ~$16.6bn cash+STI (2Q26 $148m)</t>
  </si>
  <si>
    <t>Interest capitalized</t>
  </si>
  <si>
    <t>3Q26E $60m (2Q26 $59m)</t>
  </si>
  <si>
    <t>Unrealized gains (losses), net</t>
  </si>
  <si>
    <t>3Q26E nil - not forecastable; excluded from adjusted</t>
  </si>
  <si>
    <t>Miscellaneous, net</t>
  </si>
  <si>
    <t>3Q26E $25m (1Q26 $24m, 2Q26 $26m); includes debt extinguishment fees (nil assumed)</t>
  </si>
  <si>
    <t>Total nonoperating expense, net</t>
  </si>
  <si>
    <t>Income before income taxes (GAAP)</t>
  </si>
  <si>
    <t>Pre-tax margin</t>
  </si>
  <si>
    <t>Income tax expense</t>
  </si>
  <si>
    <t>Effective tax rate (GAAP)</t>
  </si>
  <si>
    <t>Net income (GAAP)</t>
  </si>
  <si>
    <t>Net margin</t>
  </si>
  <si>
    <t>Memo: reported net income</t>
  </si>
  <si>
    <t>Model NI (row 88) differs from reported by up to $1m from line-item rounding (3Q25 -1, 4Q25 +1, FY25 -1, 1Q26 -1) - disclosed residual, not a check</t>
  </si>
  <si>
    <t>Per share (GAAP)</t>
  </si>
  <si>
    <t>Basic weighted-average shares (m)</t>
  </si>
  <si>
    <t>Diluted weighted-average shares (m)</t>
  </si>
  <si>
    <t>Basic EPS (GAAP)</t>
  </si>
  <si>
    <t>Diluted EPS (GAAP)</t>
  </si>
  <si>
    <t>Memo: reported diluted EPS</t>
  </si>
  <si>
    <t>Check: EPS = NI / diluted sh.</t>
  </si>
  <si>
    <t>History vs reported diluted EPS within $0.011; 3Q26E by construction (identity), not independent validation</t>
  </si>
  <si>
    <t>GAAP to non-GAAP bridge (consensus basis = UAL adjusted diluted EPS = CapIQ normalized)</t>
  </si>
  <si>
    <t>Add: special charges (credits)</t>
  </si>
  <si>
    <t>Add: unrealized (gains) losses</t>
  </si>
  <si>
    <t>Add: debt extinguishment fees</t>
  </si>
  <si>
    <t>3Q26E nil assumed (not forecastable)</t>
  </si>
  <si>
    <t>Add: tax on adjustments</t>
  </si>
  <si>
    <t>Adjusted net income (non-GAAP)</t>
  </si>
  <si>
    <t>Memo: reported adjusted net income</t>
  </si>
  <si>
    <t>Adjusted pre-tax income (non-GAAP)</t>
  </si>
  <si>
    <t>Adjusted effective tax rate</t>
  </si>
  <si>
    <t>3Q26E 23.0% (2Q26 23.0%, 1Q26 21.9%, 3Q25 25.2%, 2026 YTD 22.7%)</t>
  </si>
  <si>
    <t>Tax rate on adjustments</t>
  </si>
  <si>
    <t>3Q26E 15% (2Q26 14.7%, 1Q26 16.7%). History C118:G118 = tax / adjustments on small, mixed-sign bases (e.g. 4Q25 -42.9%, FY25 49.5%): n.m. as a rate</t>
  </si>
  <si>
    <t>n.m.: bps changes of a ratio on small, mixed-sign adjustment bases are mathematical, not meaningful</t>
  </si>
  <si>
    <t>Per share: special charges</t>
  </si>
  <si>
    <t>Per share: unrealized (gains) losses</t>
  </si>
  <si>
    <t>Per share: debt extinguishment fees</t>
  </si>
  <si>
    <t>Per share: tax on adjustments</t>
  </si>
  <si>
    <t>Adjusted diluted EPS</t>
  </si>
  <si>
    <t>Non-GAAP; consensus basis (CapIQ normalized)</t>
  </si>
  <si>
    <t>Memo: reported adjusted diluted EPS</t>
  </si>
  <si>
    <t>Memo: CapIQ normalized EPS (3Q26E = consensus mean)</t>
  </si>
  <si>
    <t>History = CapIQ actual (Inputs); 3Q26E = frozen consensus mean $2.59 (19 estimates). 3Q26E column shows frozen CapIQ consensus mean ($2.59, 19 estimates)</t>
  </si>
  <si>
    <t>Check: bridge ties to reported</t>
  </si>
  <si>
    <t>Adjusted NI within $2m and EPS within $0.011 of reported and CapIQ; 3Q26E by construction (identity)</t>
  </si>
  <si>
    <t>Issuer-defined adjusted EBITDA</t>
  </si>
  <si>
    <t>Adjusted EBITDA</t>
  </si>
  <si>
    <t>Issuer definition: NI + D&amp;A + net interest + tax + special + unrealized + debt fees</t>
  </si>
  <si>
    <t>Adjusted EBITDA margin</t>
  </si>
  <si>
    <t>Memo: reported adjusted EBITDA</t>
  </si>
  <si>
    <t>Check: EBITDA ties to reported</t>
  </si>
  <si>
    <t>Within $3m rounding; 3Q26E by construction (identity)</t>
  </si>
  <si>
    <t>Profit-sharing accrual build (Investor Update methodology)</t>
  </si>
  <si>
    <t>Adj. pre-tax before profit sharing</t>
  </si>
  <si>
    <t>Share-based comp add-back</t>
  </si>
  <si>
    <t>Investor Update: ~$40m for 3Q26 profit-sharing calculation</t>
  </si>
  <si>
    <t>Profit-sharing pre-tax base</t>
  </si>
  <si>
    <t>Effective accrual rate</t>
  </si>
  <si>
    <t>3Q26E: 9.6% = S07 3.6% + 6.0% base tiers on source-defined base H144 (adj. PTI excl. profit sharing + ~$40m SBC); 12.0% tier applies above $2.5bn YTD (rows 148-152). C145:G145 are effective ratios of reported PS to pre-PS adj. PTI excl. SBC - not like-for-like with H145</t>
  </si>
  <si>
    <t>n.m.: history C145:G145 are effective ratios (incl. YTD higher-tier accruals, excl. SBC); 3Q26E H145 is the base-tier rate on the SBC-inclusive base - not like-for-like, so bps changes in H146:H147 not shown</t>
  </si>
  <si>
    <t>Prior-quarter profit-sharing base, YTD (implied)</t>
  </si>
  <si>
    <t>3Q26E build only. 1H26 reported accrual (F21+G21 = $149m) / 9.6% sub-threshold rate; implies ~$63m 1H26 SBC (not disclosed - derived, not sourced)</t>
  </si>
  <si>
    <t>Year-to-date profit-sharing base</t>
  </si>
  <si>
    <t>9M26 base = implied 1H26 base + 3Q26E base (H144)</t>
  </si>
  <si>
    <t>Higher-tier threshold, YTD adj. pre-tax ($m)</t>
  </si>
  <si>
    <t>S07: ~6.0% of adj. pre-tax earnings up to $2.5bn, ~12.0% above</t>
  </si>
  <si>
    <t>Incremental rate above threshold</t>
  </si>
  <si>
    <t>S07: 12.0% - 6.0% = 6.0% incremental above $2.5bn</t>
  </si>
  <si>
    <t>Incremental accrual above threshold</t>
  </si>
  <si>
    <t>Added to H145 x H144 in H21. 3.3% prior-year tier not triggered (9M26 YTD base &lt; 9M25 base ~$3.9bn implied by reported 9M25 accrual $459m)</t>
  </si>
  <si>
    <t>Memo: gross profit / gross margin</t>
  </si>
  <si>
    <t>Not applicable: UAL reports operating expenses by nature and discloses no cost of sales or gross profit (metric targets gross_profit / gross_margin recorded n.a., not zero)</t>
  </si>
  <si>
    <t>Balance Sheet</t>
  </si>
  <si>
    <t>FY25A column = 31-Dec-2025 balance sheet (same date as 4Q25A); balances are not summed</t>
  </si>
  <si>
    <t>Assets</t>
  </si>
  <si>
    <t>Cash and cash equivalents</t>
  </si>
  <si>
    <t>Short-term investments</t>
  </si>
  <si>
    <t>Receivables, net</t>
  </si>
  <si>
    <t>Fuel, spare parts and supplies</t>
  </si>
  <si>
    <t>Prepaid expenses and other</t>
  </si>
  <si>
    <t>Total current assets</t>
  </si>
  <si>
    <t>Operating property and equipment, net</t>
  </si>
  <si>
    <t>Operating lease right-of-use assets</t>
  </si>
  <si>
    <t>Goodwill</t>
  </si>
  <si>
    <t>Intangible assets, net</t>
  </si>
  <si>
    <t>Investments in affiliates and other</t>
  </si>
  <si>
    <t>Total noncurrent assets</t>
  </si>
  <si>
    <t>Total assets</t>
  </si>
  <si>
    <t>Liabilities and stockholders' equity</t>
  </si>
  <si>
    <t>Accounts payable</t>
  </si>
  <si>
    <t>Accrued salaries and benefits</t>
  </si>
  <si>
    <t>Advance ticket sales</t>
  </si>
  <si>
    <t>FF deferred revenue (current)</t>
  </si>
  <si>
    <t>Current debt and finance leases</t>
  </si>
  <si>
    <t>Current maturities of operating leases</t>
  </si>
  <si>
    <t>Other current liabilities</t>
  </si>
  <si>
    <t>Total current liabilities</t>
  </si>
  <si>
    <t>Long-term debt and finance leases</t>
  </si>
  <si>
    <t>Long-term operating lease obligations</t>
  </si>
  <si>
    <t>FF deferred revenue (noncurrent)</t>
  </si>
  <si>
    <t>Pension and postretirement</t>
  </si>
  <si>
    <t>Deferred income taxes</t>
  </si>
  <si>
    <t>Other noncurrent liabilities</t>
  </si>
  <si>
    <t>Total noncurrent liabilities</t>
  </si>
  <si>
    <t>Total liabilities</t>
  </si>
  <si>
    <t>Total stockholders' equity</t>
  </si>
  <si>
    <t>Total liabilities and equity</t>
  </si>
  <si>
    <t>Check: assets - liab. - equity</t>
  </si>
  <si>
    <t>Historical line items carry +/- $1m source rounding; 3Q26E adds no new difference</t>
  </si>
  <si>
    <t>Check: balance sheet balances</t>
  </si>
  <si>
    <t>|A - L - E| &lt;= $1m source rounding; 3Q26E equals 2Q26A residual</t>
  </si>
  <si>
    <t>Memo: reported total assets</t>
  </si>
  <si>
    <t>Check: total assets vs reported</t>
  </si>
  <si>
    <t>Within $1m rounding; 3Q26E by construction (other assets held flat)</t>
  </si>
  <si>
    <t>Memo: leverage</t>
  </si>
  <si>
    <t>Total debt and finance leases</t>
  </si>
  <si>
    <t>Cash and short-term investments</t>
  </si>
  <si>
    <t>Net debt</t>
  </si>
  <si>
    <t>Excludes operating leases and pension</t>
  </si>
  <si>
    <t>FF deferred revenue (total)</t>
  </si>
  <si>
    <t>Cash Flow Statement</t>
  </si>
  <si>
    <t>Quarterly flows derived from reported YTD (3Q = 9M - 6M; 4Q = FY - 9M; 2Q26 = 6M - 1Q)</t>
  </si>
  <si>
    <t>Operating activities</t>
  </si>
  <si>
    <t>Net income</t>
  </si>
  <si>
    <t>of which: special charges (credits), non-cash</t>
  </si>
  <si>
    <t>of which: change in advance ticket sales</t>
  </si>
  <si>
    <t>3Q26E -$600m seasonal ATL unwind (3Q25 implied WC/other -$461m); simplification - booked to ATL on BS</t>
  </si>
  <si>
    <t>of which: change in FF deferred revenue</t>
  </si>
  <si>
    <t>Working capital and other, net (3Q26E modeled, partial)</t>
  </si>
  <si>
    <t>History derived = CFO - net income - D&amp;A (all other items; breakdown n.d.). 3Q26E = sum of rows 13-15 only (partial model): no separate deferred-tax, SBC or accrued profit-sharing roll, so tracked 3Q26E CFO/FCF are low confidence (not scored; financial cells unchanged)</t>
  </si>
  <si>
    <t>Cash from operations</t>
  </si>
  <si>
    <t>Net cash provided by operating activities</t>
  </si>
  <si>
    <t>Investing activities</t>
  </si>
  <si>
    <t>Capital expenditures</t>
  </si>
  <si>
    <t>Net of flight equipment purchase deposit returns. 3Q26E -$1,950m: FY26 adj. capex ~$7.5bn (S07) less 1H26 $3,167m adj. = ~$4.3bn for 2H</t>
  </si>
  <si>
    <t>Purchases of investments</t>
  </si>
  <si>
    <t>Short-term and other investments. 3Q26E purchases = proceeds (short-term investments held flat)</t>
  </si>
  <si>
    <t>Proceeds from investments</t>
  </si>
  <si>
    <t>Short-term and other investments</t>
  </si>
  <si>
    <t>Proceeds from asset sales</t>
  </si>
  <si>
    <t>3Q26E = sale-leaseback gain assumed in special credits (simplification: book value nil)</t>
  </si>
  <si>
    <t>Other investing, net</t>
  </si>
  <si>
    <t>Net cash used in investing activities</t>
  </si>
  <si>
    <t>Financing activities</t>
  </si>
  <si>
    <t>Proceeds from issuance of debt</t>
  </si>
  <si>
    <t>Payments of debt and finance leases</t>
  </si>
  <si>
    <t>3Q26E scheduled maturities ~-$600m (current maturities $2.2bn at 6/30/26)</t>
  </si>
  <si>
    <t>Repurchases of common stock</t>
  </si>
  <si>
    <t>3Q26E nil (no 2Q26 repurchases; liquidity priority)</t>
  </si>
  <si>
    <t>Other financing, net</t>
  </si>
  <si>
    <t>3Q26E -$15m (3Q25 -$15m)</t>
  </si>
  <si>
    <t>Cash from financing</t>
  </si>
  <si>
    <t>Net change in cash</t>
  </si>
  <si>
    <t>Cash, cash equivalents and restricted cash</t>
  </si>
  <si>
    <t>Cash and restricted - beginning</t>
  </si>
  <si>
    <t>Beginning = reported prior-period end</t>
  </si>
  <si>
    <t>Cash and restricted - end</t>
  </si>
  <si>
    <t>Memo: reported ending cash</t>
  </si>
  <si>
    <t>Less: restricted cash</t>
  </si>
  <si>
    <t>In prepaid and in investments &amp; other</t>
  </si>
  <si>
    <t>Cash to balance sheet</t>
  </si>
  <si>
    <t>Check: cash ties to BS</t>
  </si>
  <si>
    <t>Change in cash ties to balance sheet cash and reported ending cash (+/- $2m rounding from YTD differencing); 3Q26E by construction (BS cash = CF)</t>
  </si>
  <si>
    <t>Issuer-defined free cash flow and capital expenditures</t>
  </si>
  <si>
    <t>Adjust: change in ST investments</t>
  </si>
  <si>
    <t>Adjust: net change in restricted cash</t>
  </si>
  <si>
    <t>Free cash flow (issuer)</t>
  </si>
  <si>
    <t>Issuer definition: CFO + CFI + net change in ST investments + net change in restricted cash. 3Q26E low confidence (partial working-capital model, see I16)</t>
  </si>
  <si>
    <t>Memo: reported free cash flow</t>
  </si>
  <si>
    <t>Check: FCF ties to reported</t>
  </si>
  <si>
    <t>+/- $2m rounding; 3Q26E by construction (algebraic identity)</t>
  </si>
  <si>
    <t>Capital expenditures (GAAP)</t>
  </si>
  <si>
    <t>Adjusted capex (issuer)</t>
  </si>
  <si>
    <t>3Q26E: non-cash additions (debt-financed, lease conversions) assumed nil</t>
  </si>
  <si>
    <t>Geo</t>
  </si>
  <si>
    <t>A. Passenger revenue build by entity (PRASM x ASMs) - Passenger revenue information and statistics</t>
  </si>
  <si>
    <t>Domestic</t>
  </si>
  <si>
    <t>Domestic revenue ($m)</t>
  </si>
  <si>
    <t>% of total passenger revenue</t>
  </si>
  <si>
    <t>ASMs (m)</t>
  </si>
  <si>
    <t>Domestic ASMs +4.5% (2Q26 +7.2%; capacity moderated, S05/S06); PRASM +16.5% vs weak 3Q25 comp (-3.3%), DAL domestic unit revenue +16% (S17)</t>
  </si>
  <si>
    <t>RPMs (m)</t>
  </si>
  <si>
    <t>Load factor</t>
  </si>
  <si>
    <t>Europe</t>
  </si>
  <si>
    <t>Europe revenue ($m)</t>
  </si>
  <si>
    <t>Europe ASMs -2% (UAL cut summer TATL; DAL now #1 to Europe, S32); PRASM +13% (2Q26 +10.4%; DAL TATL +11%, S17)</t>
  </si>
  <si>
    <t>Middle East/India/Africa</t>
  </si>
  <si>
    <t>MEIA revenue ($m)</t>
  </si>
  <si>
    <t>MEIA ASMs -40% (Middle East flying suspended; 2Q26 -34.4%); PRASM +20% (2Q26 +27.5%)</t>
  </si>
  <si>
    <t>Atlantic (Europe + MEIA)</t>
  </si>
  <si>
    <t>Atlantic revenue ($m)</t>
  </si>
  <si>
    <t>Europe + Middle East/India/Africa</t>
  </si>
  <si>
    <t>Pacific</t>
  </si>
  <si>
    <t>Pacific revenue ($m)</t>
  </si>
  <si>
    <t>Pacific ASMs +4% (2Q26 +4.1%); PRASM +15% (2Q26 +14.0%, call: continued strength, S14)</t>
  </si>
  <si>
    <t>Latin America</t>
  </si>
  <si>
    <t>Latin America revenue ($m)</t>
  </si>
  <si>
    <t>Latin ASMs flat (2Q26 -0.2%); PRASM +22% ("off the charts" vs -13.5% 3Q25 comp, S14; DAL Latin +22%, S17)</t>
  </si>
  <si>
    <t>International</t>
  </si>
  <si>
    <t>International revenue ($m)</t>
  </si>
  <si>
    <t>Consolidated passenger</t>
  </si>
  <si>
    <t>Consolidated pax revenue ($m)</t>
  </si>
  <si>
    <t>Check: entities = passenger rev.</t>
  </si>
  <si>
    <t>|diff| &lt;= $2m rounding; 3Q26E by construction (Revenue summary links to this tab)</t>
  </si>
  <si>
    <t>Check: entity ASMs = system</t>
  </si>
  <si>
    <t>|diff| &lt;= 2m ASMs rounding; 3Q26E by construction (Revenue summary links to this tab)</t>
  </si>
  <si>
    <t>B. Total operating revenue by region (10-Q/10-K Note 2; cargo and other allocated by origin/destination)</t>
  </si>
  <si>
    <t>Domestic (U.S. and Canada) revenue</t>
  </si>
  <si>
    <t>Atlantic revenue</t>
  </si>
  <si>
    <t>Pacific revenue</t>
  </si>
  <si>
    <t>Latin America revenue</t>
  </si>
  <si>
    <t>Check: Geo sums to total revenue</t>
  </si>
  <si>
    <t>|diff| &lt;= $2m rounding; 3Q26E by construction (non-passenger shares re-based to 100%)</t>
  </si>
  <si>
    <t>Non-passenger revenue by region (derived = regional total - regional passenger)</t>
  </si>
  <si>
    <t>Domestic non-passenger</t>
  </si>
  <si>
    <t>Share of non-passenger revenue</t>
  </si>
  <si>
    <t>3Q25A share applied to 3Q26E. 3Q26E = 3Q25A share re-based to 100% (3Q25 shares sum to 99.9% on rounding)</t>
  </si>
  <si>
    <t>Atlantic non-passenger</t>
  </si>
  <si>
    <t>Pacific non-passenger</t>
  </si>
  <si>
    <t>Latin America non-passenger</t>
  </si>
  <si>
    <t>Cargo + other operating revenue</t>
  </si>
  <si>
    <t>Share Count</t>
  </si>
  <si>
    <t>4Q25 derived, day-weighted = (365 x FY25 - 273 x 9M25) / 92 days (E7, E7-D7, D7; quarterly basic not disclosed). Inputs rounded to 0.1m, so derived 4Q25 basic is approximate (about +/-0.35m). 3Q26E 324.7m: no 3Q buybacks assumed (none in 2Q26, S08)</t>
  </si>
  <si>
    <t>Dilutive: warrants (m)</t>
  </si>
  <si>
    <t>Dilutive: employee awards (m)</t>
  </si>
  <si>
    <t>4Q25 (D11) derived plug = diluted - basic - warrants (not separately reported). 3Q26E 1.9m (2Q26 2.0m; lower share price reduces treasury-method dilution)</t>
  </si>
  <si>
    <t>Diluted shares (m) - for EPS</t>
  </si>
  <si>
    <t>Check: basic + dilution = diluted</t>
  </si>
  <si>
    <t>+/- 0.15m rounding. 4Q25 (D15) and 3Q26E (H15) hold by construction (D11 plug; H12 = sum) - not independent checks</t>
  </si>
  <si>
    <t>Shares outstanding and buybacks</t>
  </si>
  <si>
    <t>Shares outstanding, end (m)</t>
  </si>
  <si>
    <t>Share repurchases ($m)</t>
  </si>
  <si>
    <t>From cash flow statement</t>
  </si>
  <si>
    <t>Shares repurchased (m)</t>
  </si>
  <si>
    <t>4Q25/FY25 share counts not disclosed in sources reviewed; $ amounts from cash flow</t>
  </si>
  <si>
    <t>Average repurchase price ($/share)</t>
  </si>
  <si>
    <t>n.a. where no shares were repurchased (price undefined); not referenced by EPS</t>
  </si>
  <si>
    <t>Forecast adjusted EPS</t>
  </si>
  <si>
    <t>Adjusted net income / forecast diluted shares (Income Statement)</t>
  </si>
  <si>
    <t>Guidance</t>
  </si>
  <si>
    <t>Period strip (rows 5-7) is model-wide context only; the guidance table below is not period-columnar (Actual column H = issuer-reported adjusted diluted EPS, Income Statement row 128).</t>
  </si>
  <si>
    <t>Guidance item</t>
  </si>
  <si>
    <t>Date given</t>
  </si>
  <si>
    <t>Low</t>
  </si>
  <si>
    <t>High</t>
  </si>
  <si>
    <t>Midpoint</t>
  </si>
  <si>
    <t>Actual</t>
  </si>
  <si>
    <t>Beat/miss vs mid</t>
  </si>
  <si>
    <t>Actual - mid</t>
  </si>
  <si>
    <t>Source</t>
  </si>
  <si>
    <t>3Q25</t>
  </si>
  <si>
    <t>Beat</t>
  </si>
  <si>
    <t>S13; S03 ("compared to guidance of $2.25 to $2.75")</t>
  </si>
  <si>
    <t>FY25</t>
  </si>
  <si>
    <t>S13 (updated FY25 guidance $9.00 to $11.00)</t>
  </si>
  <si>
    <t>4Q25</t>
  </si>
  <si>
    <t>Miss</t>
  </si>
  <si>
    <t>S03 (4Q adjusted EPS guidance $3.00 to $3.50)</t>
  </si>
  <si>
    <t>1Q26</t>
  </si>
  <si>
    <t>S05 ("within initial guidance of $1.00 to $1.50")</t>
  </si>
  <si>
    <t>FY26</t>
  </si>
  <si>
    <t>pending</t>
  </si>
  <si>
    <t>S29 (CNBC: $12 to $14 at start of year)</t>
  </si>
  <si>
    <t>2Q26</t>
  </si>
  <si>
    <t>S28 (Investor Update Apr 21, 2026)</t>
  </si>
  <si>
    <t>S28</t>
  </si>
  <si>
    <t>3Q26</t>
  </si>
  <si>
    <t>S07</t>
  </si>
  <si>
    <t>S07 (Gulf Coast jet forward curve as of July 14, 2026)</t>
  </si>
  <si>
    <t>Profit-sharing accrual ($m)</t>
  </si>
  <si>
    <t>SBC for profit sharing ($m)</t>
  </si>
  <si>
    <t>TRASM growth Y/Y (floor)</t>
  </si>
  <si>
    <t>Fuel increase recaptured</t>
  </si>
  <si>
    <t>Capacity (ASMs) Y/Y</t>
  </si>
  <si>
    <t>S28 (flat to up ~2%; not updated in July)</t>
  </si>
  <si>
    <t>Adjusted total capex ($bn)</t>
  </si>
  <si>
    <t>S07 (approximately $7.5 billion)</t>
  </si>
  <si>
    <t>Avg. actual less midpoint ($)</t>
  </si>
  <si>
    <t>Quarters above midpoint (of 4)</t>
  </si>
  <si>
    <t>Shortcut 3Q26E vs current guidance</t>
  </si>
  <si>
    <t>Shortcut 3Q26E</t>
  </si>
  <si>
    <t>Est - mid</t>
  </si>
  <si>
    <t>TRASM growth Y/Y (vs floor)</t>
  </si>
  <si>
    <t>Implied adj. NI at midpoint ($m)</t>
  </si>
  <si>
    <t>Inputs</t>
  </si>
  <si>
    <t>Period strip (rows 5-7) is model-wide context only; sections below are not period-columnar (section C per row 102; section D columns C:G = 3Q24A-2Q25A per row 118; section E per row 189).</t>
  </si>
  <si>
    <t>A. S&amp;P Capital IQ consensus file (UAL_consensus.json, captured 2026-10-18, date precision) - top-level fields</t>
  </si>
  <si>
    <t>source</t>
  </si>
  <si>
    <t>S&amp;P Capital IQ</t>
  </si>
  <si>
    <t>ticker</t>
  </si>
  <si>
    <t>company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</si>
  <si>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</si>
  <si>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</si>
  <si>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</si>
  <si>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</si>
  <si>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</si>
  <si>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</si>
  <si>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</si>
  <si>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</si>
  <si>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</si>
  <si>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</si>
  <si>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</si>
  <si>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</si>
  <si>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</si>
  <si>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</si>
  <si>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</si>
  <si>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</si>
  <si>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</si>
  <si>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</si>
  <si>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</si>
  <si>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</si>
  <si>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</si>
  <si>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</si>
  <si>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</si>
  <si>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</si>
  <si>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target_manifest.policy</t>
  </si>
  <si>
    <t>Track applicable disclosed lines; record unavailable/not applicable with a reason. Only normalized EPS is scored.</t>
  </si>
  <si>
    <t>B. CapIQ summary_row - complete raw record (blank source values preserved as blank)</t>
  </si>
  <si>
    <t>company_name</t>
  </si>
  <si>
    <t>exchange_ticker</t>
  </si>
  <si>
    <t>NasdaqGS:UAL</t>
  </si>
  <si>
    <t>capiq_company_id</t>
  </si>
  <si>
    <t>currency_basis</t>
  </si>
  <si>
    <t>fiscal_year_end</t>
  </si>
  <si>
    <t>Dec-31</t>
  </si>
  <si>
    <t>fiscal_quarter</t>
  </si>
  <si>
    <t>quarter_end_date</t>
  </si>
  <si>
    <t>expected_report_date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</si>
  <si>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</si>
  <si>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</si>
  <si>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</si>
  <si>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</si>
  <si>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</si>
  <si>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</si>
  <si>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</si>
  <si>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</si>
  <si>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</si>
  <si>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</si>
  <si>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</si>
  <si>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</si>
  <si>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</si>
  <si>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</si>
  <si>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</si>
  <si>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</si>
  <si>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</si>
  <si>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</si>
  <si>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</si>
  <si>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</si>
  <si>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</si>
  <si>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</si>
  <si>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</si>
  <si>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</si>
  <si>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</si>
  <si>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</si>
  <si>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</si>
  <si>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</si>
  <si>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</si>
  <si>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</si>
  <si>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</si>
  <si>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</si>
  <si>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</si>
  <si>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</si>
  <si>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</si>
  <si>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</si>
  <si>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</si>
  <si>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</si>
  <si>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</si>
  <si>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</si>
  <si>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</si>
  <si>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</si>
  <si>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</si>
  <si>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</si>
  <si>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</si>
  <si>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</si>
  <si>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</si>
  <si>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</si>
  <si>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</si>
  <si>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</si>
  <si>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</si>
  <si>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</si>
  <si>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</si>
  <si>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</si>
  <si>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Buy</t>
  </si>
  <si>
    <t>recommendation_score</t>
  </si>
  <si>
    <t>last_close_price</t>
  </si>
  <si>
    <t>wk52_high_low</t>
  </si>
  <si>
    <t>138.77/84.64</t>
  </si>
  <si>
    <t>estimates_captured_at</t>
  </si>
  <si>
    <t>notes</t>
  </si>
  <si>
    <t>management guidance range 2.50 to 3.50 sits above the 2.59 consensus mean, so the street is below the low end of guidance midpoint; GAAP actuals have run above GAAP consensus in five of six quarters</t>
  </si>
  <si>
    <t>C. CapIQ six-quarter history (UAL_history.csv) - normalized = UAL adjusted diluted EPS basis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</si>
  <si>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</si>
  <si>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</si>
  <si>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</si>
  <si>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</si>
  <si>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</si>
  <si>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</si>
  <si>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</si>
  <si>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Derived from history rows</t>
  </si>
  <si>
    <t>Strict beat (1/0)</t>
  </si>
  <si>
    <t>Surprise $/sh</t>
  </si>
  <si>
    <t>GAAP beat (1/0)</t>
  </si>
  <si>
    <t>Rev. surprise %</t>
  </si>
  <si>
    <t>D. Prior-period comparatives (reported; used for Y/Y and first-column Q/Q)</t>
  </si>
  <si>
    <t>3Q24A</t>
  </si>
  <si>
    <t>4Q24A</t>
  </si>
  <si>
    <t>FY24A</t>
  </si>
  <si>
    <t>1Q25A</t>
  </si>
  <si>
    <t>2Q25A</t>
  </si>
  <si>
    <t>Operating income</t>
  </si>
  <si>
    <t>Unrealized gains (losses)</t>
  </si>
  <si>
    <t>Total nonoperating</t>
  </si>
  <si>
    <t>Income before income taxes</t>
  </si>
  <si>
    <t>Profit sharing</t>
  </si>
  <si>
    <t>Debt extinguishment fees</t>
  </si>
  <si>
    <t>Income tax on adjustments</t>
  </si>
  <si>
    <t>Adjusted net income</t>
  </si>
  <si>
    <t>Adjusted pre-tax income</t>
  </si>
  <si>
    <t>Aircraft in fleet at end of period</t>
  </si>
  <si>
    <t>Ancillary fees in passenger revenue</t>
  </si>
  <si>
    <t>Miles earned</t>
  </si>
  <si>
    <t>Domestic total revenue</t>
  </si>
  <si>
    <t>Atlantic total revenue</t>
  </si>
  <si>
    <t>Pacific total revenue</t>
  </si>
  <si>
    <t>Latin America total revenue</t>
  </si>
  <si>
    <t>Domestic passenger revenue</t>
  </si>
  <si>
    <t>Domestic ASMs</t>
  </si>
  <si>
    <t>Domestic RPMs</t>
  </si>
  <si>
    <t>Europe passenger revenue</t>
  </si>
  <si>
    <t>Europe ASMs</t>
  </si>
  <si>
    <t>Europe RPMs</t>
  </si>
  <si>
    <t>MEIA passenger revenue</t>
  </si>
  <si>
    <t>Middle East/India/Africa ASMs</t>
  </si>
  <si>
    <t>Middle East/India/Africa RPMs</t>
  </si>
  <si>
    <t>Pacific passenger revenue</t>
  </si>
  <si>
    <t>Pacific ASMs</t>
  </si>
  <si>
    <t>Pacific RPMs</t>
  </si>
  <si>
    <t>Latin America passenger revenue</t>
  </si>
  <si>
    <t>Latin America ASMs</t>
  </si>
  <si>
    <t>Latin America RPMs</t>
  </si>
  <si>
    <t>E. Reported year-to-date and supporting figures (for quarterly derivation: 4Q = FY - 9M; 3Q = 9M - 6M; 2Q26 = 6M - 1Q)</t>
  </si>
  <si>
    <t>Item</t>
  </si>
  <si>
    <t>6M25A</t>
  </si>
  <si>
    <t>9M25A</t>
  </si>
  <si>
    <t>6M26A</t>
  </si>
  <si>
    <t>9M24A</t>
  </si>
  <si>
    <t>Net cash from operating activities</t>
  </si>
  <si>
    <t>Net cash from investing activities</t>
  </si>
  <si>
    <t>Net cash from financing activities</t>
  </si>
  <si>
    <t>Cash and restricted cash - beginning</t>
  </si>
  <si>
    <t>Cash and restricted cash - end</t>
  </si>
  <si>
    <t>Domestic total revenue (9M)</t>
  </si>
  <si>
    <t>Atlantic total revenue (9M)</t>
  </si>
  <si>
    <t>Pacific total revenue (9M)</t>
  </si>
  <si>
    <t>Latin America total revenue (9M)</t>
  </si>
  <si>
    <t>Ancillary fees (9M)</t>
  </si>
  <si>
    <t>MileagePlus partner rev. (9M)</t>
  </si>
  <si>
    <t>Miles earned (9M)</t>
  </si>
  <si>
    <t>Travel miles redeemed (9M)</t>
  </si>
  <si>
    <t>Non-travel miles redeemed (9M)</t>
  </si>
  <si>
    <t>Basic wtd. shares (9M, m)</t>
  </si>
  <si>
    <t>Dilutive effect of warrants (9M, m)</t>
  </si>
  <si>
    <t>Dilutive: awards (9M, m)</t>
  </si>
  <si>
    <t>Net income (9M)</t>
  </si>
  <si>
    <t>Total operating revenue (9M)</t>
  </si>
  <si>
    <t>Operating income (9M)</t>
  </si>
  <si>
    <t>Aircraft in fleet at 6/30/2024</t>
  </si>
  <si>
    <t>F. Beat-probability calibration (playbook v2: size and issuer history)</t>
  </si>
  <si>
    <t>Market cap ($bn, 16-Oct-26)</t>
  </si>
  <si>
    <t>Price $96.10 x ~324.6m shares = ~$31.2bn; cross-check S25 (finhacker.cz $31.19B on Oct 16, 2026)</t>
  </si>
  <si>
    <t>Size bucket (small $0.3-2bn / mid $2-10bn / large &gt;$10bn)</t>
  </si>
  <si>
    <t>large</t>
  </si>
  <si>
    <t>S&amp;P 500 member (1 = yes)</t>
  </si>
  <si>
    <t>Cohort prior - large or S&amp;P 500</t>
  </si>
  <si>
    <t>Cohort prior - mid</t>
  </si>
  <si>
    <t>Cohort prior - small</t>
  </si>
  <si>
    <t>Cohort prior applied</t>
  </si>
  <si>
    <t>b = strict beats (of 6)</t>
  </si>
  <si>
    <t>n = valid pairs (none excluded)</t>
  </si>
  <si>
    <t>Pseudo-count k</t>
  </si>
  <si>
    <t>Starting p = (k x prior + b) / (k + n)</t>
  </si>
  <si>
    <t>Mean surprise ($/sh, 6 qtrs)</t>
  </si>
  <si>
    <t>Model est. less consensus ($/sh)</t>
  </si>
  <si>
    <t>Forecast error s.d. ($/sh)</t>
  </si>
  <si>
    <t>Judgment: fuel +/-$0.06/gal ~ +/-$0.16/sh; revenue +/-$140m ~ +/-$0.26/sh; combined ~ $0.30/sh</t>
  </si>
  <si>
    <t>Model-implied P(beat)</t>
  </si>
  <si>
    <t>Evidence update (input)</t>
  </si>
  <si>
    <t>Down-weights the history-based start for (i) Delta 3Q26 EPS miss on fuel (S17), (ii) late-Sept jet fuel spike, partly in consensus, (iii) UBS miss call (S23); model gap supports a beat</t>
  </si>
  <si>
    <t>Final P(beat consensus EPS)</t>
  </si>
  <si>
    <t>G. Newer / other consensus observations (recorded separately; frozen CapIQ snapshot remains the scoring baseline)</t>
  </si>
  <si>
    <t>Date</t>
  </si>
  <si>
    <t>EPS</t>
  </si>
  <si>
    <t>Revenue $m</t>
  </si>
  <si>
    <t>Source ID</t>
  </si>
  <si>
    <t>LSEG (via Reuters) - pre-guidance</t>
  </si>
  <si>
    <t>S27</t>
  </si>
  <si>
    <t>drillr earnings calendar</t>
  </si>
  <si>
    <t>S30</t>
  </si>
  <si>
    <t>MarketWatch current-quarter estimate</t>
  </si>
  <si>
    <t>S31</t>
  </si>
  <si>
    <t>Zacks consensus (via Yahoo Finance)</t>
  </si>
  <si>
    <t>Alphastreet (19 analysts)</t>
  </si>
  <si>
    <t>S24</t>
  </si>
  <si>
    <t>MarketBeat/Transcript Daily</t>
  </si>
  <si>
    <t>Sources</t>
  </si>
  <si>
    <t>Period strip (rows 5-7) is model-wide context only; the source table below is not period-columnar.</t>
  </si>
  <si>
    <t>ID</t>
  </si>
  <si>
    <t>Published</t>
  </si>
  <si>
    <t>Publisher</t>
  </si>
  <si>
    <t>What it feeds</t>
  </si>
  <si>
    <t>Retrieved (UTC)</t>
  </si>
  <si>
    <t>URL or file</t>
  </si>
  <si>
    <t>S01</t>
  </si>
  <si>
    <t>S&amp;P Capital IQ (supplied)</t>
  </si>
  <si>
    <t>Frozen consensus: EPS, revenue, NI, guidance range, contributor counts (Inputs A-B, Cover)</t>
  </si>
  <si>
    <t>UAL_consensus.json (workspace file; sha256 3b75500d...)</t>
  </si>
  <si>
    <t>S02</t>
  </si>
  <si>
    <t>Six-quarter actual vs consensus history; beat-rate prior (Inputs C, F)</t>
  </si>
  <si>
    <t>UAL_history.csv (workspace file; sha256 1ab7e6b3...)</t>
  </si>
  <si>
    <t>S03</t>
  </si>
  <si>
    <t>United Airlines Holdings (SEC 8-K Ex.99.1)</t>
  </si>
  <si>
    <t>3Q25 income statement, stats, non-GAAP, BS 9/30/25, 9M25 cash flow</t>
  </si>
  <si>
    <t>https://www.sec.gov/Archives/edgar/data/100517/000010051725000190/ual_09302025erex991.htm</t>
  </si>
  <si>
    <t>S04</t>
  </si>
  <si>
    <t>4Q25/FY25 income statement, stats, non-GAAP, BS 12/31/25, FY25 cash flow</t>
  </si>
  <si>
    <t>https://www.sec.gov/Archives/edgar/data/100517/000010051726000014/ual_12312025erex991.htm</t>
  </si>
  <si>
    <t>S05</t>
  </si>
  <si>
    <t>1Q26 income statement, stats, non-GAAP, BS 3/31/26, 1Q26 cash flow; 1Q25 comparatives</t>
  </si>
  <si>
    <t>https://www.sec.gov/Archives/edgar/data/100517/000010051726000089/ual_erx03312026xex991.htm</t>
  </si>
  <si>
    <t>S06</t>
  </si>
  <si>
    <t>2Q26 income statement, stats, non-GAAP, BS 6/30/26, 6M cash flow; 2Q25 comparatives</t>
  </si>
  <si>
    <t>https://www.sec.gov/Archives/edgar/data/100517/000010051726000135/ual_erx06302026xex991.htm</t>
  </si>
  <si>
    <t>United Airlines Holdings (SEC 8-K Ex.99.2 Investor Update)</t>
  </si>
  <si>
    <t>3Q26 guidance: EPS $2.50-3.50, fuel $3.69, TRASM, profit sharing, fleet plan, capex</t>
  </si>
  <si>
    <t>https://www.sec.gov/Archives/edgar/data/319687/000010051726000135/ual_erx06302026xex992.htm</t>
  </si>
  <si>
    <t>S08</t>
  </si>
  <si>
    <t>United Airlines Holdings (SEC 10-Q)</t>
  </si>
  <si>
    <t>Single segment (Note 1); revenue by geography, ancillary, MileagePlus roll forward, EPS note (2Q26)</t>
  </si>
  <si>
    <t>https://www.sec.gov/Archives/edgar/data/100517/000010051726000139/ual-20260630.htm</t>
  </si>
  <si>
    <t>S09</t>
  </si>
  <si>
    <t>Revenue by geography, ancillary, MileagePlus roll forward, EPS note, shares outstanding (1Q26)</t>
  </si>
  <si>
    <t>https://www.sec.gov/Archives/edgar/data/100517/000010051726000091/ual-20260331.htm</t>
  </si>
  <si>
    <t>S10</t>
  </si>
  <si>
    <t>Revenue by geography (3Q25, 9M25/24), ancillary, roll forward, EPS note, buybacks (3Q25)</t>
  </si>
  <si>
    <t>https://www.sec.gov/Archives/edgar/data/100517/000010051725000193/ual-20250930.htm</t>
  </si>
  <si>
    <t>S11</t>
  </si>
  <si>
    <t>United Airlines Holdings (SEC 10-K XBRL)</t>
  </si>
  <si>
    <t>FY25/FY24 revenue by geography, ancillary, partner revenue, MileagePlus roll forward, FY EPS shares</t>
  </si>
  <si>
    <t>https://www.sec.gov/Archives/edgar/data/100517/000010051726000023/R16.htm ; R48.htm ; R52.htm</t>
  </si>
  <si>
    <t>S12</t>
  </si>
  <si>
    <t>1Q25 passenger revenue by entity (Inputs D; Geo FY25 build)</t>
  </si>
  <si>
    <t>https://www.sec.gov/Archives/edgar/data/100517/000010051725000087/ual_03312025erex991.htm</t>
  </si>
  <si>
    <t>S13</t>
  </si>
  <si>
    <t>2Q25 passenger revenue by entity; 3Q25 and FY25 guidance</t>
  </si>
  <si>
    <t>https://www.sec.gov/Archives/edgar/data/100517/000010051725000143/ual_06302025erex991.htm</t>
  </si>
  <si>
    <t>S14</t>
  </si>
  <si>
    <t>StockAnalysis (UAL 2Q26 earnings call transcript)</t>
  </si>
  <si>
    <t>Q3 booking/yield commentary, CASM-ex peak, no capacity guidance, Latin PRASM, loyalty</t>
  </si>
  <si>
    <t>https://stockanalysis.com/stocks/ual/transcripts/652978-q2-2026/</t>
  </si>
  <si>
    <t>S15</t>
  </si>
  <si>
    <t>Investing.com (Morgan Stanley Laguna conference transcript)</t>
  </si>
  <si>
    <t>Intra-quarter commentary: demand strong, costs tracking plan, Q3 calendar effects</t>
  </si>
  <si>
    <t>https://www.investing.com/news/transcripts/united-airlines-at-morgan-stanley-laguna-conference-margin-push-93CH-4904157</t>
  </si>
  <si>
    <t>S16</t>
  </si>
  <si>
    <t>United Airlines newsroom</t>
  </si>
  <si>
    <t>Issuer calendar: 3Q26 results after close Oct 20, 2026; call Oct 21 (target results not yet released)</t>
  </si>
  <si>
    <t>https://united.mediaroom.com/2026-09-30-United-to-Hold-Webcast-of-Third-Quarter-2026-Financial-Results</t>
  </si>
  <si>
    <t>S17</t>
  </si>
  <si>
    <t>Delta Air Lines (press release)</t>
  </si>
  <si>
    <t>Peer 3Q26: adj. fuel $3.61 (13c refinery), TRASM +15%, CASM-ex +7.3%, &gt;$500m fuel vs July guide</t>
  </si>
  <si>
    <t>https://ir.delta.com/news/news-details/2026/Delta-Air-Lines-Announces-September-Quarter-2026-Financial-Results/default.aspx</t>
  </si>
  <si>
    <t>S18</t>
  </si>
  <si>
    <t>Peer 2Q26 adj. fuel $3.93 (11c refinery); July 2 curve 3Q guide $3.15</t>
  </si>
  <si>
    <t>https://ir.delta.com/news/news-details/2026/Delta-Air-Lines-Announces-June-Quarter-2026-Financial-Results/default.aspx</t>
  </si>
  <si>
    <t>S19</t>
  </si>
  <si>
    <t>FRED / EIA via centreforenergy.org</t>
  </si>
  <si>
    <t>Gulf Coast jet fuel spot: Jul $3.403, Aug $3.724, Sep $4.388 per gallon</t>
  </si>
  <si>
    <t>https://fred.stlouisfed.org/series/MJFUELUSGULF/ ; https://centreforenergy.org/prices/jet-fuel</t>
  </si>
  <si>
    <t>S20</t>
  </si>
  <si>
    <t>U.S. EIA Today in Energy</t>
  </si>
  <si>
    <t>3Q26 crude: Brent $72 on Jul 1 rising to $109 peak Sep 15</t>
  </si>
  <si>
    <t>https://www.eia.gov/todayinenergy/detail.php?id=68245</t>
  </si>
  <si>
    <t>S21</t>
  </si>
  <si>
    <t>Reuters via Investing.com (JetBlue 8-K)</t>
  </si>
  <si>
    <t>Peer: JetBlue 3Q fuel raised to $3.96 from $3.49; RASM +17-20%</t>
  </si>
  <si>
    <t>https://www.investing.com/news/stock-market-news/jetblue-raises-thirdquarter-fuel-price-forecast-4895733</t>
  </si>
  <si>
    <t>S22</t>
  </si>
  <si>
    <t>American Airlines (via StockTitan 8-K summary)</t>
  </si>
  <si>
    <t>Peer: AAL 3Q revenue +16-19%, fuel ~$3.75 on July 21 curve</t>
  </si>
  <si>
    <t>https://www.stocktitan.net/sec-filings/AAL/8-k-american-airlines-group-inc-reports-material-event-e3c7fbed9719.html</t>
  </si>
  <si>
    <t>S23</t>
  </si>
  <si>
    <t>FINWIRES (UBS note)</t>
  </si>
  <si>
    <t>Downside case: UBS sees UAL 3Q EPS below views on fuel and July/Aug weather</t>
  </si>
  <si>
    <t>https://finwires.com/en/article/certain-major-us-airlines-could-miss-third-quarter-bottom-7240153</t>
  </si>
  <si>
    <t>AlphaStreet / Transcript Daily</t>
  </si>
  <si>
    <t>Consensus cross-check $2.59 (19 analysts), revenue $17.90bn; $2.58 on Oct 18</t>
  </si>
  <si>
    <t>https://news.alphastreet.com/united-airlines-holdings-ual-q3-2026-preview-eps-est-2-59-reports-october-21/</t>
  </si>
  <si>
    <t>S25</t>
  </si>
  <si>
    <t>companiesmarketcap.com / finhacker.cz</t>
  </si>
  <si>
    <t>Market cap $31.19bn (Oct 16, 2026 close $96.10)</t>
  </si>
  <si>
    <t>https://companiesmarketcap.com/united-airlines/marketcap/</t>
  </si>
  <si>
    <t>S26</t>
  </si>
  <si>
    <t>Markets Insider (S&amp;P 500 components) / etfwatch</t>
  </si>
  <si>
    <t>S&amp;P 500 membership (UAL listed among components)</t>
  </si>
  <si>
    <t>https://markets.businessinsider.com/index/components/s&amp;p_500/u</t>
  </si>
  <si>
    <t>Reuters via MarketScreener</t>
  </si>
  <si>
    <t>3Q26 guide vs LSEG $3.60; $575m / $1.12 fuel move since early July</t>
  </si>
  <si>
    <t>https://www.marketscreener.com/news/united-sees-2026-profit-at-high-end-of-forecast-despite-renewed-fuel-surge-ce7f5ed2dd8aff24</t>
  </si>
  <si>
    <t>United Airlines Holdings (Investor Update Ex.99.2)</t>
  </si>
  <si>
    <t>2Q26 guide $1-2, FY26 $7-11, 3Q/4Q capacity flat to +2%</t>
  </si>
  <si>
    <t>https://ir.united.com/static-files/f5f6675c-8684-4d07-88cd-b68d548b5af4</t>
  </si>
  <si>
    <t>S29</t>
  </si>
  <si>
    <t>CNBC</t>
  </si>
  <si>
    <t>FY26 guide cut from $12-14 (January) to $7-11</t>
  </si>
  <si>
    <t>https://www.cnbc.com/2026/04/21/united-airlines-ual-q1-2026-earnings.html</t>
  </si>
  <si>
    <t>drillr.ai</t>
  </si>
  <si>
    <t>Older consensus observation ($2.837 at Sep 24) - shows Sept downward revision</t>
  </si>
  <si>
    <t>https://drillr.ai/article/ual-united-airlines-q3-2026-earnings-preview-jet-fuel-fare-recapture</t>
  </si>
  <si>
    <t>MarketWatch / Zacks via Yahoo Finance</t>
  </si>
  <si>
    <t>Newer consensus observations ($2.61 Oct 9; revenue $17.84bn)</t>
  </si>
  <si>
    <t>https://www.marketwatch.com/investing/stock/ual/analystestimates</t>
  </si>
  <si>
    <t>S32</t>
  </si>
  <si>
    <t>Simple Flying (Cirium schedules)</t>
  </si>
  <si>
    <t>UAL 3Q26 transatlantic seats cut; Delta #1 to Europe</t>
  </si>
  <si>
    <t>https://simpleflying.com/delta-dethrones-united-top-carrier-europe-summer-2026/</t>
  </si>
  <si>
    <t>Omitted tabs: "Segment - &lt;name&gt;" not built - UAL reports one segment (10-Q for quarter ended June 30, 2026, Note 1, S08). Geo tab included (four regions disclosed).</t>
  </si>
  <si>
    <t>No Dates, Consensus or Checks tabs by design: period headers on each tab; consensus on Cover; check summary in artifacts/checks.md.</t>
  </si>
  <si>
    <t>Target-quarter actuals: not encountered; issuer release scheduled after market close Oct 20, 2026 (S16), after the 2026-10-18 21:34 UTC cutoff.</t>
  </si>
  <si>
    <t>Retrieval-date limitation (unresolved): Retrieved (UTC) F10:F41 = 2026-10-19 access date (date precision), after the 2026-10-18 21:34:46 UTC cutoff. All publication dates C10:C41 are on/before 2026-10-18; no target-quarter actuals used. No frozen page snapshots or capture timestamps exist, so pre-cutoff content immutability cannot be proven from the workbook.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</si>
</sst>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039" formatCode="0.0%_);(0.0%);–_)"/>
    <numFmt numFmtId="8040" formatCode="$0.00_);($0.00);–_)"/>
    <numFmt numFmtId="8041" formatCode="#,##0.00_);(#,##0.00);–_)"/>
    <numFmt numFmtId="8042" formatCode="yyyy-mm-dd"/>
    <numFmt numFmtId="8046" formatCode="#,##0.0_);(#,##0.0);–_)"/>
    <numFmt numFmtId="8048" formatCode="mm/dd/yyyy"/>
    <numFmt numFmtId="8060" formatCode="#,##0_);(#,##0);–_)"/>
    <numFmt numFmtId="8072" formatCode="0.0x"/>
  </numFmts>
  <fonts count="16">
    <font>
      <b val="0"/>
      <i val="0"/>
      <sz val="11"/>
      <color auto="1"/>
      <name val="Calibri"/>
    </font>
    <font>
      <b val="0"/>
      <i val="0"/>
      <sz val="10"/>
      <color rgb="FF000000"/>
      <name val="Arial"/>
    </font>
    <font>
      <b val="0"/>
      <i/>
      <sz val="10"/>
      <color rgb="FF000000"/>
      <name val="Arial"/>
    </font>
    <font>
      <b/>
      <i val="0"/>
      <sz val="10"/>
      <color rgb="FF000000"/>
      <name val="Arial"/>
    </font>
    <font>
      <b val="0"/>
      <i val="0"/>
      <sz val="10"/>
      <color rgb="FF0000FF"/>
      <name val="Arial"/>
    </font>
    <font>
      <b val="0"/>
      <i/>
      <sz val="10"/>
      <color rgb="FF0000FF"/>
      <name val="Arial"/>
    </font>
    <font>
      <b val="0"/>
      <i val="0"/>
      <sz val="10"/>
      <color rgb="FF006100"/>
      <name val="Arial"/>
    </font>
    <font>
      <b val="0"/>
      <i/>
      <sz val="10"/>
      <color rgb="FF006100"/>
      <name val="Arial"/>
    </font>
    <font>
      <b/>
      <i val="0"/>
      <sz val="12"/>
      <color rgb="FF000000"/>
      <name val="Arial"/>
    </font>
    <font>
      <b/>
      <i val="0"/>
      <sz val="10"/>
      <color rgb="FF006100"/>
      <name val="Arial"/>
    </font>
    <font>
      <b/>
      <i val="0"/>
      <sz val="10"/>
      <color rgb="FF0000FF"/>
      <name val="Arial"/>
    </font>
    <font>
      <b val="0"/>
      <i/>
      <sz val="10"/>
      <color rgb="FF404040"/>
      <name val="Arial"/>
    </font>
    <font>
      <b/>
      <i val="0"/>
      <sz val="14"/>
      <color rgb="FF000000"/>
      <name val="Arial"/>
    </font>
    <font>
      <b val="0"/>
      <i val="0"/>
      <sz val="11"/>
      <color rgb="FF000000"/>
      <name val="Calibri"/>
    </font>
    <font>
      <b val="0"/>
      <i/>
      <sz val="11"/>
      <color rgb="FF404040"/>
      <name val="Calibri"/>
    </font>
    <font>
      <b val="0"/>
      <i val="0"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10">
    <border>
      <left/>
      <right/>
      <top/>
      <bottom/>
    </border>
    <border>
      <left/>
      <right/>
      <top/>
      <bottom/>
      <diagonal/>
    </border>
    <border>
      <top style="thin">
        <color rgb="FF808080"/>
      </top>
    </border>
    <border>
      <bottom style="thin">
        <color rgb="FF808080"/>
      </bottom>
    </border>
    <border>
      <top style="thin">
        <color rgb="FF808080"/>
      </top>
      <bottom style="thin">
        <color rgb="FF808080"/>
      </bottom>
    </border>
    <border>
      <top style="thin">
        <color rgb="FF000000"/>
      </top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1"/>
  </cellStyleXfs>
  <cellXfs count="111">
    <xf numFmtId="0" fontId="0" fillId="0" borderId="1" xfId="0"/>
    <xf numFmtId="0" fontId="1" fillId="0" borderId="1" xfId="0"/>
    <xf numFmtId="0" fontId="8" fillId="0" borderId="1" xfId="0"/>
    <xf numFmtId="0" fontId="3" fillId="0" borderId="1" xfId="0"/>
    <xf numFmtId="0" fontId="2" fillId="0" borderId="1" xfId="0"/>
    <xf numFmtId="0" fontId="3" fillId="2" borderId="6" xfId="0"/>
    <xf numFmtId="0" fontId="3" fillId="2" borderId="6" xfId="0">
      <alignment horizontal="right" vertical="bottom"/>
    </xf>
    <xf numFmtId="0" fontId="1" fillId="2" borderId="1" xfId="0"/>
    <xf numFmtId="8048" fontId="1" fillId="2" borderId="1" xfId="0">
      <alignment horizontal="right" vertical="bottom"/>
    </xf>
    <xf numFmtId="0" fontId="1" fillId="2" borderId="7" xfId="0"/>
    <xf numFmtId="1" fontId="1" fillId="2" borderId="7" xfId="0">
      <alignment horizontal="right" vertical="bottom"/>
    </xf>
    <xf numFmtId="0" fontId="12" fillId="0" borderId="1" xfId="0"/>
    <xf numFmtId="0" fontId="1" fillId="0" borderId="1" xfId="0">
      <alignment horizontal="left" vertical="bottom"/>
    </xf>
    <xf numFmtId="0" fontId="3" fillId="2" borderId="8" xfId="0">
      <alignment vertical="bottom" wrapText="1"/>
    </xf>
    <xf numFmtId="0" fontId="3" fillId="2" borderId="8" xfId="0">
      <alignment horizontal="right" vertical="bottom" wrapText="1"/>
    </xf>
    <xf numFmtId="8046" fontId="6" fillId="0" borderId="1" xfId="0">
      <alignment horizontal="right" vertical="bottom"/>
    </xf>
    <xf numFmtId="8046" fontId="1" fillId="0" borderId="1" xfId="0">
      <alignment horizontal="right" vertical="bottom"/>
    </xf>
    <xf numFmtId="8039" fontId="1" fillId="0" borderId="1" xfId="0">
      <alignment horizontal="right" vertical="bottom"/>
    </xf>
    <xf numFmtId="0" fontId="11" fillId="0" borderId="1" xfId="0">
      <alignment horizontal="left" vertical="top" wrapText="1"/>
    </xf>
    <xf numFmtId="8040" fontId="9" fillId="0" borderId="1" xfId="0">
      <alignment horizontal="right" vertical="bottom"/>
    </xf>
    <xf numFmtId="8040" fontId="3" fillId="0" borderId="1" xfId="0">
      <alignment horizontal="right" vertical="bottom"/>
    </xf>
    <xf numFmtId="8039" fontId="3" fillId="0" borderId="1" xfId="0">
      <alignment horizontal="right" vertical="bottom"/>
    </xf>
    <xf numFmtId="0" fontId="11" fillId="0" borderId="1" xfId="0">
      <alignment horizontal="left" vertical="bottom"/>
    </xf>
    <xf numFmtId="8040" fontId="6" fillId="0" borderId="1" xfId="0">
      <alignment horizontal="right" vertical="bottom"/>
    </xf>
    <xf numFmtId="8040" fontId="1" fillId="0" borderId="1" xfId="0">
      <alignment horizontal="right" vertical="bottom"/>
    </xf>
    <xf numFmtId="0" fontId="6" fillId="0" borderId="1" xfId="0">
      <alignment horizontal="right" vertical="bottom"/>
    </xf>
    <xf numFmtId="8039" fontId="9" fillId="0" borderId="1" xfId="0">
      <alignment horizontal="right" vertical="bottom"/>
    </xf>
    <xf numFmtId="0" fontId="9" fillId="0" borderId="1" xfId="0">
      <alignment horizontal="right" vertical="bottom"/>
    </xf>
    <xf numFmtId="0" fontId="2" fillId="0" borderId="1" xfId="0">
      <alignment horizontal="left" vertical="bottom" indent="1"/>
    </xf>
    <xf numFmtId="8039" fontId="7" fillId="0" borderId="1" xfId="0">
      <alignment horizontal="right" vertical="bottom"/>
    </xf>
    <xf numFmtId="0" fontId="1" fillId="0" borderId="1" xfId="0">
      <alignment horizontal="left" vertical="bottom" indent="1"/>
    </xf>
    <xf numFmtId="8041" fontId="6" fillId="0" borderId="1" xfId="0">
      <alignment horizontal="right" vertical="bottom"/>
    </xf>
    <xf numFmtId="0" fontId="1" fillId="3" borderId="1" xfId="0"/>
    <xf numFmtId="8060" fontId="4" fillId="0" borderId="1" xfId="0">
      <alignment horizontal="right" vertical="bottom"/>
    </xf>
    <xf numFmtId="8060" fontId="6" fillId="3" borderId="1" xfId="0">
      <alignment horizontal="right" vertical="bottom"/>
    </xf>
    <xf numFmtId="0" fontId="2" fillId="0" borderId="1" xfId="0">
      <alignment horizontal="left" vertical="bottom" indent="2"/>
    </xf>
    <xf numFmtId="8039" fontId="2" fillId="3" borderId="1" xfId="0">
      <alignment horizontal="right" vertical="bottom"/>
    </xf>
    <xf numFmtId="0" fontId="1" fillId="0" borderId="1" xfId="0">
      <alignment horizontal="left" vertical="bottom" indent="2"/>
    </xf>
    <xf numFmtId="8060" fontId="6" fillId="0" borderId="1" xfId="0">
      <alignment horizontal="right" vertical="bottom"/>
    </xf>
    <xf numFmtId="8060" fontId="1" fillId="0" borderId="1" xfId="0">
      <alignment horizontal="right" vertical="bottom"/>
    </xf>
    <xf numFmtId="8060" fontId="1" fillId="3" borderId="1" xfId="0">
      <alignment horizontal="right" vertical="bottom"/>
    </xf>
    <xf numFmtId="8039" fontId="2" fillId="0" borderId="1" xfId="0">
      <alignment horizontal="right" vertical="bottom"/>
    </xf>
    <xf numFmtId="8060" fontId="7" fillId="0" borderId="1" xfId="0">
      <alignment horizontal="right" vertical="bottom"/>
    </xf>
    <xf numFmtId="8060" fontId="2" fillId="3" borderId="1" xfId="0">
      <alignment horizontal="right" vertical="bottom"/>
    </xf>
    <xf numFmtId="8060" fontId="2" fillId="0" borderId="1" xfId="0">
      <alignment horizontal="right" vertical="bottom"/>
    </xf>
    <xf numFmtId="8060" fontId="4" fillId="3" borderId="1" xfId="0">
      <alignment horizontal="right" vertical="bottom"/>
    </xf>
    <xf numFmtId="8041" fontId="1" fillId="0" borderId="1" xfId="0">
      <alignment horizontal="right" vertical="bottom"/>
    </xf>
    <xf numFmtId="8041" fontId="1" fillId="3" borderId="1" xfId="0">
      <alignment horizontal="right" vertical="bottom"/>
    </xf>
    <xf numFmtId="8039" fontId="5" fillId="3" borderId="1" xfId="0">
      <alignment horizontal="right" vertical="bottom"/>
    </xf>
    <xf numFmtId="0" fontId="3" fillId="0" borderId="1" xfId="0">
      <alignment horizontal="left" vertical="bottom" indent="1"/>
    </xf>
    <xf numFmtId="8060" fontId="10" fillId="0" borderId="9" xfId="0">
      <alignment horizontal="right" vertical="bottom"/>
    </xf>
    <xf numFmtId="8060" fontId="3" fillId="0" borderId="9" xfId="0">
      <alignment horizontal="right" vertical="bottom"/>
    </xf>
    <xf numFmtId="8060" fontId="3" fillId="3" borderId="9" xfId="0">
      <alignment horizontal="right" vertical="bottom"/>
    </xf>
    <xf numFmtId="8046" fontId="1" fillId="3" borderId="1" xfId="0">
      <alignment horizontal="right" vertical="bottom"/>
    </xf>
    <xf numFmtId="8046" fontId="4" fillId="0" borderId="1" xfId="0">
      <alignment horizontal="right" vertical="bottom"/>
    </xf>
    <xf numFmtId="8046" fontId="4" fillId="3" borderId="1" xfId="0">
      <alignment horizontal="right" vertical="bottom"/>
    </xf>
    <xf numFmtId="8046" fontId="3" fillId="0" borderId="9" xfId="0">
      <alignment horizontal="right" vertical="bottom"/>
    </xf>
    <xf numFmtId="8046" fontId="3" fillId="3" borderId="9" xfId="0">
      <alignment horizontal="right" vertical="bottom"/>
    </xf>
    <xf numFmtId="8072" fontId="1" fillId="0" borderId="1" xfId="0">
      <alignment horizontal="right" vertical="bottom"/>
    </xf>
    <xf numFmtId="8072" fontId="1" fillId="3" borderId="1" xfId="0">
      <alignment horizontal="right" vertical="bottom"/>
    </xf>
    <xf numFmtId="8072" fontId="6" fillId="0" borderId="1" xfId="0">
      <alignment horizontal="right" vertical="bottom"/>
    </xf>
    <xf numFmtId="0" fontId="6" fillId="3" borderId="1" xfId="0">
      <alignment horizontal="right" vertical="bottom"/>
    </xf>
    <xf numFmtId="0" fontId="1" fillId="0" borderId="1" xfId="0">
      <alignment horizontal="right" vertical="bottom"/>
    </xf>
    <xf numFmtId="0" fontId="1" fillId="3" borderId="1" xfId="0">
      <alignment horizontal="right" vertical="bottom"/>
    </xf>
    <xf numFmtId="0" fontId="2" fillId="0" borderId="1" xfId="0">
      <alignment horizontal="left" vertical="bottom" indent="3"/>
    </xf>
    <xf numFmtId="8046" fontId="10" fillId="0" borderId="9" xfId="0">
      <alignment horizontal="right" vertical="bottom"/>
    </xf>
    <xf numFmtId="8046" fontId="9" fillId="3" borderId="9" xfId="0">
      <alignment horizontal="right" vertical="bottom"/>
    </xf>
    <xf numFmtId="8046" fontId="6" fillId="3" borderId="1" xfId="0">
      <alignment horizontal="right" vertical="bottom"/>
    </xf>
    <xf numFmtId="0" fontId="1" fillId="0" borderId="1" xfId="0">
      <alignment horizontal="left" vertical="bottom" indent="3"/>
    </xf>
    <xf numFmtId="8041" fontId="4" fillId="0" borderId="1" xfId="0">
      <alignment horizontal="right" vertical="bottom"/>
    </xf>
    <xf numFmtId="8041" fontId="4" fillId="3" borderId="1" xfId="0">
      <alignment horizontal="right" vertical="bottom"/>
    </xf>
    <xf numFmtId="0" fontId="1" fillId="0" borderId="1" xfId="0">
      <alignment vertical="top" wrapText="1"/>
    </xf>
    <xf numFmtId="8041" fontId="6" fillId="3" borderId="1" xfId="0">
      <alignment horizontal="right" vertical="bottom"/>
    </xf>
    <xf numFmtId="8040" fontId="1" fillId="3" borderId="1" xfId="0">
      <alignment horizontal="right" vertical="bottom"/>
    </xf>
    <xf numFmtId="8040" fontId="3" fillId="0" borderId="9" xfId="0">
      <alignment horizontal="right" vertical="bottom"/>
    </xf>
    <xf numFmtId="8040" fontId="3" fillId="3" borderId="9" xfId="0">
      <alignment horizontal="right" vertical="bottom"/>
    </xf>
    <xf numFmtId="8040" fontId="4" fillId="0" borderId="1" xfId="0">
      <alignment horizontal="right" vertical="bottom"/>
    </xf>
    <xf numFmtId="0" fontId="1" fillId="0" borderId="1" xfId="0">
      <alignment horizontal="left" vertical="bottom" wrapText="1" indent="1"/>
    </xf>
    <xf numFmtId="8040" fontId="6" fillId="3" borderId="1" xfId="0">
      <alignment horizontal="right" vertical="bottom"/>
    </xf>
    <xf numFmtId="8046" fontId="3" fillId="0" borderId="1" xfId="0">
      <alignment horizontal="right" vertical="bottom"/>
    </xf>
    <xf numFmtId="0" fontId="13" fillId="0" borderId="1" xfId="0">
      <alignment horizontal="left" vertical="bottom" indent="1"/>
    </xf>
    <xf numFmtId="8046" fontId="15" fillId="3" borderId="1" xfId="0">
      <alignment horizontal="right" vertical="bottom"/>
    </xf>
    <xf numFmtId="0" fontId="14" fillId="0" borderId="1" xfId="0">
      <alignment horizontal="left" vertical="bottom"/>
    </xf>
    <xf numFmtId="8039" fontId="15" fillId="3" borderId="1" xfId="0">
      <alignment horizontal="right" vertical="bottom"/>
    </xf>
    <xf numFmtId="8046" fontId="13" fillId="3" borderId="1" xfId="0">
      <alignment horizontal="right" vertical="bottom"/>
    </xf>
    <xf numFmtId="0" fontId="14" fillId="0" borderId="1" xfId="0">
      <alignment horizontal="left" vertical="top" wrapText="1"/>
    </xf>
    <xf numFmtId="0" fontId="13" fillId="0" borderId="1" xfId="0">
      <alignment horizontal="right" vertical="bottom"/>
    </xf>
    <xf numFmtId="0" fontId="13" fillId="3" borderId="1" xfId="0">
      <alignment horizontal="right" vertical="bottom"/>
    </xf>
    <xf numFmtId="8046" fontId="3" fillId="3" borderId="1" xfId="0">
      <alignment horizontal="right" vertical="bottom"/>
    </xf>
    <xf numFmtId="8046" fontId="9" fillId="0" borderId="9" xfId="0">
      <alignment horizontal="right" vertical="bottom"/>
    </xf>
    <xf numFmtId="8039" fontId="5" fillId="0" borderId="1" xfId="0">
      <alignment horizontal="right" vertical="bottom"/>
    </xf>
    <xf numFmtId="8060" fontId="5" fillId="0" borderId="1" xfId="0">
      <alignment horizontal="right" vertical="bottom"/>
    </xf>
    <xf numFmtId="8060" fontId="5" fillId="3" borderId="1" xfId="0">
      <alignment horizontal="right" vertical="bottom"/>
    </xf>
    <xf numFmtId="8039" fontId="7" fillId="3" borderId="1" xfId="0">
      <alignment horizontal="right" vertical="bottom"/>
    </xf>
    <xf numFmtId="8060" fontId="7" fillId="3" borderId="1" xfId="0">
      <alignment horizontal="right" vertical="bottom"/>
    </xf>
    <xf numFmtId="0" fontId="11" fillId="0" borderId="1" xfId="0"/>
    <xf numFmtId="0" fontId="3" fillId="2" borderId="8" xfId="0">
      <alignment horizontal="left" vertical="bottom" wrapText="1"/>
    </xf>
    <xf numFmtId="8042" fontId="4" fillId="0" borderId="1" xfId="0">
      <alignment horizontal="right" vertical="bottom"/>
    </xf>
    <xf numFmtId="8040" fontId="1" fillId="0" borderId="1" xfId="0">
      <alignment horizontal="left" vertical="bottom"/>
    </xf>
    <xf numFmtId="8041" fontId="1" fillId="0" borderId="1" xfId="0">
      <alignment horizontal="left" vertical="bottom"/>
    </xf>
    <xf numFmtId="8046" fontId="1" fillId="0" borderId="1" xfId="0">
      <alignment horizontal="left" vertical="bottom"/>
    </xf>
    <xf numFmtId="8042" fontId="5" fillId="0" borderId="1" xfId="0">
      <alignment horizontal="right" vertical="bottom"/>
    </xf>
    <xf numFmtId="8039" fontId="2" fillId="0" borderId="1" xfId="0">
      <alignment horizontal="left" vertical="bottom"/>
    </xf>
    <xf numFmtId="0" fontId="4" fillId="0" borderId="1" xfId="0">
      <alignment horizontal="right" vertical="bottom"/>
    </xf>
    <xf numFmtId="8042" fontId="4" fillId="0" borderId="1" xfId="0">
      <alignment horizontal="left" vertical="bottom"/>
    </xf>
    <xf numFmtId="8042" fontId="1" fillId="0" borderId="1" xfId="0">
      <alignment horizontal="left" vertical="bottom"/>
    </xf>
    <xf numFmtId="0" fontId="1" fillId="2" borderId="8" xfId="0">
      <alignment horizontal="right" vertical="bottom" wrapText="1"/>
    </xf>
    <xf numFmtId="0" fontId="3" fillId="0" borderId="8" xfId="0">
      <alignment horizontal="right" vertical="bottom" wrapText="1"/>
    </xf>
    <xf numFmtId="0" fontId="1" fillId="0" borderId="1" xfId="0">
      <alignment vertical="bottom" wrapText="1"/>
    </xf>
    <xf numFmtId="8039" fontId="4" fillId="0" borderId="1" xfId="0">
      <alignment horizontal="right" vertical="bottom"/>
    </xf>
    <xf numFmtId="0" fontId="1" fillId="0" borderId="1" xfId="0">
      <alignment horizontal="left" vertical="bottom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Relationship Id="rId12" Type="http://schemas.openxmlformats.org/officeDocument/2006/relationships/theme" Target="theme/theme1.xml"/><Relationship Id="rId1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628650</xdr:colOff>
      <xdr:row>3</xdr:row>
      <xdr:rowOff>57150</xdr:rowOff>
    </xdr:to>
    <xdr:pic>
      <xdr:nvPicPr>
        <xdr:cNvPr id="2" name="Shortcut 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57150" y="57150"/>
          <a:ext cx="571500" cy="571500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B6AD155-C8DA-1AB8-E0E8-39B40229B428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9.140625" customHeight="1"/>
  <cols>
    <col min="1" max="1" width="10.00390625" customWidth="1"/>
    <col min="2" max="2" width="32.00390625" customWidth="1"/>
    <col min="3" max="8" width="12.00390625" customWidth="1"/>
    <col min="9" max="9" width="60.00390625" customWidth="1"/>
    <col min="10" max="11" width="12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1"/>
      <c r="J5" s="1"/>
      <c r="K5" s="1"/>
      <c r="L5" s="1"/>
    </row>
    <row r="6" ht="15" customHeight="1">
      <c r="A6" s="1"/>
      <c r="B6" s="7" t="s">
        <v>10</v>
      </c>
      <c r="C6" s="8">
        <f>DATE(2025,9,30)</f>
        <v>45930</v>
      </c>
      <c r="D6" s="8">
        <f t="shared" si="0" ref="D6:E6">DATE(2025,12,31)</f>
        <v>46022</v>
      </c>
      <c r="E6" s="8">
        <f t="shared" si="0"/>
        <v>46022</v>
      </c>
      <c r="F6" s="8">
        <f>DATE(2026,3,31)</f>
        <v>46112</v>
      </c>
      <c r="G6" s="8">
        <f>DATE(2026,6,30)</f>
        <v>46203</v>
      </c>
      <c r="H6" s="8">
        <f>DATE(2026,9,30)</f>
        <v>46295</v>
      </c>
      <c r="I6" s="1"/>
      <c r="J6" s="1"/>
      <c r="K6" s="1"/>
      <c r="L6" s="1"/>
    </row>
    <row r="7" ht="15" customHeight="1">
      <c r="A7" s="1"/>
      <c r="B7" s="9" t="s">
        <v>11</v>
      </c>
      <c r="C7" s="10">
        <f t="shared" si="1" ref="C7:H7">C6-EOMONTH(C6,-3)</f>
        <v>92</v>
      </c>
      <c r="D7" s="10">
        <f t="shared" si="1"/>
        <v>92</v>
      </c>
      <c r="E7" s="10">
        <f>E6-EOMONTH(E6,-12)</f>
        <v>365</v>
      </c>
      <c r="F7" s="10">
        <f t="shared" si="1"/>
        <v>90</v>
      </c>
      <c r="G7" s="10">
        <f t="shared" si="1"/>
        <v>91</v>
      </c>
      <c r="H7" s="10">
        <f t="shared" si="1"/>
        <v>92</v>
      </c>
      <c r="I7" s="1"/>
      <c r="J7" s="1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5" customHeight="1">
      <c r="A9" s="1"/>
      <c r="B9" s="11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ht="15" customHeight="1">
      <c r="A10" s="1"/>
      <c r="B10" s="1" t="s">
        <v>13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ht="1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ht="15" customHeight="1">
      <c r="A12" s="1"/>
      <c r="B12" s="1" t="s">
        <v>14</v>
      </c>
      <c r="C12" s="12" t="s">
        <v>15</v>
      </c>
      <c r="D12" s="1"/>
      <c r="E12" s="1"/>
      <c r="F12" s="1"/>
      <c r="G12" s="1"/>
      <c r="H12" s="1"/>
      <c r="I12" s="1"/>
      <c r="J12" s="1"/>
      <c r="K12" s="1"/>
      <c r="L12" s="1"/>
    </row>
    <row r="13" ht="15" customHeight="1">
      <c r="A13" s="1"/>
      <c r="B13" s="1" t="s">
        <v>16</v>
      </c>
      <c r="C13" s="12" t="s">
        <v>17</v>
      </c>
      <c r="D13" s="1"/>
      <c r="E13" s="1"/>
      <c r="F13" s="1"/>
      <c r="G13" s="1"/>
      <c r="H13" s="1"/>
      <c r="I13" s="1"/>
      <c r="J13" s="1"/>
      <c r="K13" s="1"/>
      <c r="L13" s="1"/>
    </row>
    <row r="14" ht="15" customHeight="1">
      <c r="A14" s="1"/>
      <c r="B14" s="1" t="s">
        <v>18</v>
      </c>
      <c r="C14" s="12" t="s">
        <v>19</v>
      </c>
      <c r="D14" s="1"/>
      <c r="E14" s="1"/>
      <c r="F14" s="1"/>
      <c r="G14" s="1"/>
      <c r="H14" s="1"/>
      <c r="I14" s="1"/>
      <c r="J14" s="1"/>
      <c r="K14" s="1"/>
      <c r="L14" s="1"/>
    </row>
    <row r="15" ht="15" customHeight="1">
      <c r="A15" s="1"/>
      <c r="B15" s="1" t="s">
        <v>20</v>
      </c>
      <c r="C15" s="12" t="s">
        <v>21</v>
      </c>
      <c r="D15" s="1"/>
      <c r="E15" s="1"/>
      <c r="F15" s="1"/>
      <c r="G15" s="1"/>
      <c r="H15" s="1"/>
      <c r="I15" s="1"/>
      <c r="J15" s="1"/>
      <c r="K15" s="1"/>
      <c r="L15" s="1"/>
    </row>
    <row r="16" ht="15" customHeight="1">
      <c r="A16" s="1"/>
      <c r="B16" s="1" t="s">
        <v>22</v>
      </c>
      <c r="C16" s="12" t="s">
        <v>23</v>
      </c>
      <c r="D16" s="1"/>
      <c r="E16" s="1"/>
      <c r="F16" s="1"/>
      <c r="G16" s="1"/>
      <c r="H16" s="1"/>
      <c r="I16" s="1"/>
      <c r="J16" s="1"/>
      <c r="K16" s="1"/>
      <c r="L16" s="1"/>
    </row>
    <row r="17" ht="15" customHeight="1">
      <c r="A17" s="1"/>
      <c r="B17" s="1" t="s">
        <v>24</v>
      </c>
      <c r="C17" s="12" t="s">
        <v>25</v>
      </c>
      <c r="D17" s="1"/>
      <c r="E17" s="1"/>
      <c r="F17" s="1"/>
      <c r="G17" s="1"/>
      <c r="H17" s="1"/>
      <c r="I17" s="1"/>
      <c r="J17" s="1"/>
      <c r="K17" s="1"/>
      <c r="L17" s="1"/>
    </row>
    <row r="18" ht="15" customHeight="1">
      <c r="A18" s="1"/>
      <c r="B18" s="1" t="s">
        <v>26</v>
      </c>
      <c r="C18" s="12" t="s">
        <v>27</v>
      </c>
      <c r="D18" s="1"/>
      <c r="E18" s="1"/>
      <c r="F18" s="1"/>
      <c r="G18" s="1"/>
      <c r="H18" s="1"/>
      <c r="I18" s="1"/>
      <c r="J18" s="1"/>
      <c r="K18" s="1"/>
      <c r="L18" s="1"/>
    </row>
    <row r="19" ht="15" customHeight="1">
      <c r="A19" s="1"/>
      <c r="B19" s="1" t="s">
        <v>28</v>
      </c>
      <c r="C19" s="12" t="s">
        <v>29</v>
      </c>
      <c r="D19" s="1"/>
      <c r="E19" s="1"/>
      <c r="F19" s="1"/>
      <c r="G19" s="1"/>
      <c r="H19" s="1"/>
      <c r="I19" s="1"/>
      <c r="J19" s="1"/>
      <c r="K19" s="1"/>
      <c r="L19" s="1"/>
    </row>
    <row r="20" ht="15" customHeight="1">
      <c r="A20" s="1"/>
      <c r="B20" s="1" t="s">
        <v>30</v>
      </c>
      <c r="C20" s="12" t="s">
        <v>31</v>
      </c>
      <c r="D20" s="1"/>
      <c r="E20" s="1"/>
      <c r="F20" s="1"/>
      <c r="G20" s="1"/>
      <c r="H20" s="1"/>
      <c r="I20" s="1"/>
      <c r="J20" s="1"/>
      <c r="K20" s="1"/>
      <c r="L20" s="1"/>
    </row>
    <row r="21" ht="1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38.25" customHeight="1">
      <c r="A22" s="1"/>
      <c r="B22" s="13" t="s">
        <v>32</v>
      </c>
      <c r="C22" s="14" t="s">
        <v>33</v>
      </c>
      <c r="D22" s="14" t="s">
        <v>34</v>
      </c>
      <c r="E22" s="14" t="s">
        <v>35</v>
      </c>
      <c r="F22" s="14" t="s">
        <v>36</v>
      </c>
      <c r="G22" s="14" t="s">
        <v>37</v>
      </c>
      <c r="H22" s="14" t="s">
        <v>38</v>
      </c>
      <c r="I22" s="1"/>
      <c r="J22" s="1"/>
      <c r="K22" s="1"/>
      <c r="L22" s="1"/>
    </row>
    <row r="23" ht="22.5" customHeight="1">
      <c r="A23" s="1"/>
      <c r="B23" s="1" t="s">
        <v>39</v>
      </c>
      <c r="C23" s="15">
        <f>'Income Statement'!H13</f>
        <v>17906.080675</v>
      </c>
      <c r="D23" s="15">
        <f>Inputs!C63</f>
        <v>17899.19</v>
      </c>
      <c r="E23" s="16">
        <f t="shared" si="2" ref="E23:E27">C23-D23</f>
        <v>6.890675000002375</v>
      </c>
      <c r="F23" s="17">
        <f t="shared" si="3" ref="F23:F27">C23/D23-1</f>
        <v>0.000384971331105044</v>
      </c>
      <c r="G23" s="16" t="s">
        <v>40</v>
      </c>
      <c r="H23" s="16" t="s">
        <v>41</v>
      </c>
      <c r="I23" s="1"/>
      <c r="J23" s="1"/>
      <c r="K23" s="1"/>
      <c r="L23" s="1"/>
    </row>
    <row r="24" ht="63.75" customHeight="1">
      <c r="A24" s="1"/>
      <c r="B24" s="1" t="s">
        <v>42</v>
      </c>
      <c r="C24" s="15">
        <f>'Income Statement'!H109</f>
        <v>879.6227137974588</v>
      </c>
      <c r="D24" s="15">
        <f>Inputs!C76</f>
        <v>859.78</v>
      </c>
      <c r="E24" s="16">
        <f t="shared" si="2"/>
        <v>19.842713797458828</v>
      </c>
      <c r="F24" s="17">
        <f t="shared" si="3"/>
        <v>0.023078826906253624</v>
      </c>
      <c r="G24" s="15">
        <f>Guidance!G36</f>
        <v>979.8</v>
      </c>
      <c r="H24" s="16">
        <f t="shared" si="4" ref="H24:H26">C24-G24</f>
        <v>-100.17728620254115</v>
      </c>
      <c r="I24" s="18" t="s">
        <v>43</v>
      </c>
      <c r="J24" s="1"/>
      <c r="K24" s="1"/>
      <c r="L24" s="1"/>
    </row>
    <row r="25" ht="25.5" customHeight="1">
      <c r="A25" s="1"/>
      <c r="B25" s="1" t="s">
        <v>44</v>
      </c>
      <c r="C25" s="15">
        <f>'Income Statement'!H88</f>
        <v>964.6227137974588</v>
      </c>
      <c r="D25" s="15">
        <f>Inputs!C77</f>
        <v>909.74</v>
      </c>
      <c r="E25" s="16">
        <f t="shared" si="2"/>
        <v>54.88271379745879</v>
      </c>
      <c r="F25" s="17">
        <f t="shared" si="3"/>
        <v>0.06032791104871582</v>
      </c>
      <c r="G25" s="16" t="s">
        <v>40</v>
      </c>
      <c r="H25" s="16" t="s">
        <v>41</v>
      </c>
      <c r="I25" s="18" t="s">
        <v>45</v>
      </c>
      <c r="J25" s="1"/>
      <c r="K25" s="1"/>
      <c r="L25" s="1"/>
    </row>
    <row r="26" ht="15" customHeight="1">
      <c r="A26" s="1"/>
      <c r="B26" s="3" t="s">
        <v>46</v>
      </c>
      <c r="C26" s="19">
        <f>'Income Statement'!H126</f>
        <v>2.693272240653579</v>
      </c>
      <c r="D26" s="19">
        <f>Inputs!C45</f>
        <v>2.59</v>
      </c>
      <c r="E26" s="20">
        <f t="shared" si="2"/>
        <v>0.10327224065357932</v>
      </c>
      <c r="F26" s="21">
        <f t="shared" si="3"/>
        <v>0.03987345198979897</v>
      </c>
      <c r="G26" s="19">
        <f>Guidance!G17</f>
        <v>3</v>
      </c>
      <c r="H26" s="20">
        <f t="shared" si="4"/>
        <v>-0.3067277593464208</v>
      </c>
      <c r="I26" s="22" t="s">
        <v>47</v>
      </c>
      <c r="J26" s="1"/>
      <c r="K26" s="1"/>
      <c r="L26" s="1"/>
    </row>
    <row r="27" ht="15" customHeight="1">
      <c r="A27" s="1"/>
      <c r="B27" s="1" t="s">
        <v>48</v>
      </c>
      <c r="C27" s="23">
        <f>'Income Statement'!H98</f>
        <v>2.953529435999568</v>
      </c>
      <c r="D27" s="23">
        <f>Inputs!C54</f>
        <v>2.79</v>
      </c>
      <c r="E27" s="24">
        <f t="shared" si="2"/>
        <v>0.16352943599956804</v>
      </c>
      <c r="F27" s="17">
        <f t="shared" si="3"/>
        <v>0.05861270107511407</v>
      </c>
      <c r="G27" s="24" t="s">
        <v>40</v>
      </c>
      <c r="H27" s="24" t="s">
        <v>41</v>
      </c>
      <c r="I27" s="1"/>
      <c r="J27" s="1"/>
      <c r="K27" s="1"/>
      <c r="L27" s="1"/>
    </row>
    <row r="28" ht="15" customHeight="1">
      <c r="A28" s="1"/>
      <c r="B28" s="1" t="s">
        <v>49</v>
      </c>
      <c r="C28" s="1"/>
      <c r="D28" s="25" t="str">
        <f>TEXT(Inputs!C50,"0")&amp;" / "&amp;TEXT(Inputs!C68,"0")</f>
        <v>19 / 16</v>
      </c>
      <c r="E28" s="1"/>
      <c r="F28" s="1"/>
      <c r="G28" s="1"/>
      <c r="H28" s="1"/>
      <c r="I28" s="1"/>
      <c r="J28" s="1"/>
      <c r="K28" s="1"/>
      <c r="L28" s="1"/>
    </row>
    <row r="29" ht="15" customHeight="1">
      <c r="A29" s="1"/>
      <c r="B29" s="3" t="s">
        <v>51</v>
      </c>
      <c r="C29" s="26">
        <f>Inputs!C239</f>
        <v>0.75</v>
      </c>
      <c r="D29" s="1"/>
      <c r="E29" s="1"/>
      <c r="F29" s="1"/>
      <c r="G29" s="1"/>
      <c r="H29" s="1"/>
      <c r="I29" s="1"/>
      <c r="J29" s="1"/>
      <c r="K29" s="1"/>
      <c r="L29" s="1"/>
    </row>
    <row r="30" ht="15" customHeight="1">
      <c r="A30" s="1"/>
      <c r="B30" s="3" t="s">
        <v>52</v>
      </c>
      <c r="C30" s="27" t="str">
        <f>Inputs!C240</f>
        <v>medium</v>
      </c>
      <c r="D30" s="1"/>
      <c r="E30" s="1"/>
      <c r="F30" s="1"/>
      <c r="G30" s="1"/>
      <c r="H30" s="1"/>
      <c r="I30" s="1"/>
      <c r="J30" s="1"/>
      <c r="K30" s="1"/>
      <c r="L30" s="1"/>
    </row>
    <row r="31" ht="15" customHeight="1">
      <c r="A31" s="1"/>
      <c r="B31" s="1" t="s">
        <v>54</v>
      </c>
      <c r="C31" s="25" t="b">
        <f>AND(C23='Income Statement'!H13,C24='Income Statement'!H109,C25='Income Statement'!H88,C26='Income Statement'!H126,C27='Income Statement'!H98)</f>
        <v>1</v>
      </c>
      <c r="D31" s="1"/>
      <c r="E31" s="1"/>
      <c r="F31" s="1"/>
      <c r="G31" s="1"/>
      <c r="H31" s="1"/>
      <c r="I31" s="22" t="s">
        <v>55</v>
      </c>
      <c r="J31" s="1"/>
      <c r="K31" s="1"/>
      <c r="L31" s="1"/>
    </row>
    <row r="32" ht="38.25" customHeight="1">
      <c r="A32" s="1"/>
      <c r="B32" s="3" t="s">
        <v>56</v>
      </c>
      <c r="C32" s="27" t="str">
        <f>IF(AND('Revenue summary'!C144:H144,'Revenue summary'!C145:H145,'Revenue summary'!C81:H81,Geo!C194:H194,Geo!C195:H195,Geo!C227:H227,'Income Statement'!C101:H101,'Income Statement'!C130:H130,'Income Statement'!C139:H139,'Balance Sheet'!C44:H44,'Balance Sheet'!C46:H46,'Cash Flow Statement'!C37:H37,'Cash Flow Statement'!C43:H43,'Share Count'!C15:H15,C31),"PASS","FAIL")</f>
        <v>PASS</v>
      </c>
      <c r="D32" s="1"/>
      <c r="E32" s="1"/>
      <c r="F32" s="1"/>
      <c r="G32" s="1"/>
      <c r="H32" s="1"/>
      <c r="I32" s="18" t="s">
        <v>58</v>
      </c>
      <c r="J32" s="1"/>
      <c r="K32" s="1"/>
      <c r="L32" s="1"/>
    </row>
    <row r="33" ht="1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ht="15" customHeight="1">
      <c r="A34" s="1"/>
      <c r="B34" s="13" t="s">
        <v>59</v>
      </c>
      <c r="C34" s="14" t="s">
        <v>9</v>
      </c>
      <c r="D34" s="14" t="s">
        <v>4</v>
      </c>
      <c r="E34" s="14"/>
      <c r="F34" s="14"/>
      <c r="G34" s="14"/>
      <c r="H34" s="14"/>
      <c r="I34" s="1"/>
      <c r="J34" s="1"/>
      <c r="K34" s="1"/>
      <c r="L34" s="1"/>
    </row>
    <row r="35" ht="15" customHeight="1">
      <c r="A35" s="1"/>
      <c r="B35" s="28" t="s">
        <v>60</v>
      </c>
      <c r="C35" s="29">
        <f>'Revenue summary'!H12</f>
        <v>0.014265646270176235</v>
      </c>
      <c r="D35" s="29">
        <f>'Revenue summary'!C12</f>
        <v>0.07206190750665309</v>
      </c>
      <c r="E35" s="1"/>
      <c r="F35" s="1"/>
      <c r="G35" s="1"/>
      <c r="H35" s="1"/>
      <c r="I35" s="1"/>
      <c r="J35" s="1"/>
      <c r="K35" s="1"/>
      <c r="L35" s="1"/>
    </row>
    <row r="36" ht="15" customHeight="1">
      <c r="A36" s="1"/>
      <c r="B36" s="28" t="s">
        <v>61</v>
      </c>
      <c r="C36" s="29">
        <f>'Revenue summary'!H33</f>
        <v>0.15955544506362873</v>
      </c>
      <c r="D36" s="29">
        <f>'Revenue summary'!C33</f>
        <v>-0.043211935796830914</v>
      </c>
      <c r="E36" s="1"/>
      <c r="F36" s="1"/>
      <c r="G36" s="1"/>
      <c r="H36" s="1"/>
      <c r="I36" s="1"/>
      <c r="J36" s="1"/>
      <c r="K36" s="1"/>
      <c r="L36" s="1"/>
    </row>
    <row r="37" ht="15" customHeight="1">
      <c r="A37" s="1"/>
      <c r="B37" s="30" t="s">
        <v>62</v>
      </c>
      <c r="C37" s="31">
        <f>'Income Statement'!H30</f>
        <v>3.86</v>
      </c>
      <c r="D37" s="31">
        <f>'Income Statement'!C30</f>
        <v>2.43</v>
      </c>
      <c r="E37" s="1"/>
      <c r="F37" s="1"/>
      <c r="G37" s="1"/>
      <c r="H37" s="1"/>
      <c r="I37" s="1"/>
      <c r="J37" s="1"/>
      <c r="K37" s="1"/>
      <c r="L37" s="1"/>
    </row>
    <row r="38" ht="15" customHeight="1">
      <c r="A38" s="1"/>
      <c r="B38" s="28" t="s">
        <v>63</v>
      </c>
      <c r="C38" s="29">
        <f>'Income Statement'!H72</f>
        <v>0.08117722445063502</v>
      </c>
      <c r="D38" s="29">
        <f>'Income Statement'!C72</f>
        <v>-0.009081016696313005</v>
      </c>
      <c r="E38" s="1"/>
      <c r="F38" s="1"/>
      <c r="G38" s="1"/>
      <c r="H38" s="1"/>
      <c r="I38" s="1"/>
      <c r="J38" s="1"/>
      <c r="K38" s="1"/>
      <c r="L38" s="1"/>
    </row>
    <row r="39" ht="15" customHeight="1">
      <c r="A39" s="1"/>
      <c r="B39" s="28" t="s">
        <v>64</v>
      </c>
      <c r="C39" s="29">
        <f>'Income Statement'!H113</f>
        <v>0.06379772221013522</v>
      </c>
      <c r="D39" s="29">
        <f>'Income Statement'!C113</f>
        <v>0.07973727422003284</v>
      </c>
      <c r="E39" s="1"/>
      <c r="F39" s="1"/>
      <c r="G39" s="1"/>
      <c r="H39" s="1"/>
      <c r="I39" s="1"/>
      <c r="J39" s="1"/>
      <c r="K39" s="1"/>
      <c r="L39" s="1"/>
    </row>
    <row r="40" ht="15" customHeight="1">
      <c r="A40" s="1"/>
      <c r="B40" s="30" t="s">
        <v>65</v>
      </c>
      <c r="C40" s="15">
        <f>'Share Count'!H12</f>
        <v>326.59999999999997</v>
      </c>
      <c r="D40" s="15">
        <f>'Share Count'!C12</f>
        <v>326.9</v>
      </c>
      <c r="E40" s="1"/>
      <c r="F40" s="1"/>
      <c r="G40" s="1"/>
      <c r="H40" s="1"/>
      <c r="I40" s="1"/>
      <c r="J40" s="1"/>
      <c r="K40" s="1"/>
      <c r="L40" s="1"/>
    </row>
    <row r="41" ht="15" customHeight="1">
      <c r="A41" s="1"/>
      <c r="B41" s="1" t="s">
        <v>66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1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1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CA4646F-EB03-B456-D678-7918B0CE6CD4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  <col min="10" max="11" width="12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3" t="s">
        <v>67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1"/>
      <c r="J5" s="1"/>
      <c r="K5" s="1"/>
      <c r="L5" s="1"/>
    </row>
    <row r="6" ht="15" customHeight="1">
      <c r="A6" s="1"/>
      <c r="B6" s="7" t="s">
        <v>10</v>
      </c>
      <c r="C6" s="8">
        <f>DATE(2025,9,30)</f>
        <v>45930</v>
      </c>
      <c r="D6" s="8">
        <f t="shared" si="0" ref="D6:E6">DATE(2025,12,31)</f>
        <v>46022</v>
      </c>
      <c r="E6" s="8">
        <f t="shared" si="0"/>
        <v>46022</v>
      </c>
      <c r="F6" s="8">
        <f>DATE(2026,3,31)</f>
        <v>46112</v>
      </c>
      <c r="G6" s="8">
        <f>DATE(2026,6,30)</f>
        <v>46203</v>
      </c>
      <c r="H6" s="8">
        <f>DATE(2026,9,30)</f>
        <v>46295</v>
      </c>
      <c r="I6" s="1"/>
      <c r="J6" s="1"/>
      <c r="K6" s="1"/>
      <c r="L6" s="1"/>
    </row>
    <row r="7" ht="15" customHeight="1">
      <c r="A7" s="1"/>
      <c r="B7" s="9" t="s">
        <v>11</v>
      </c>
      <c r="C7" s="10">
        <f t="shared" si="1" ref="C7:H7">C6-EOMONTH(C6,-3)</f>
        <v>92</v>
      </c>
      <c r="D7" s="10">
        <f t="shared" si="1"/>
        <v>92</v>
      </c>
      <c r="E7" s="10">
        <f>E6-EOMONTH(E6,-12)</f>
        <v>365</v>
      </c>
      <c r="F7" s="10">
        <f t="shared" si="1"/>
        <v>90</v>
      </c>
      <c r="G7" s="10">
        <f t="shared" si="1"/>
        <v>91</v>
      </c>
      <c r="H7" s="10">
        <f t="shared" si="1"/>
        <v>92</v>
      </c>
      <c r="I7" s="1"/>
      <c r="J7" s="1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5" customHeight="1">
      <c r="A9" s="1"/>
      <c r="B9" s="1" t="s">
        <v>68</v>
      </c>
      <c r="C9" s="1"/>
      <c r="D9" s="1"/>
      <c r="E9" s="1"/>
      <c r="F9" s="1"/>
      <c r="G9" s="1"/>
      <c r="H9" s="32"/>
      <c r="I9" s="22" t="s">
        <v>69</v>
      </c>
      <c r="J9" s="1"/>
      <c r="K9" s="1"/>
      <c r="L9" s="1"/>
    </row>
    <row r="10" ht="15" customHeight="1">
      <c r="A10" s="1"/>
      <c r="B10" s="3" t="s">
        <v>70</v>
      </c>
      <c r="C10" s="1"/>
      <c r="D10" s="1"/>
      <c r="E10" s="1"/>
      <c r="F10" s="1"/>
      <c r="G10" s="1"/>
      <c r="H10" s="32"/>
      <c r="I10" s="1"/>
      <c r="J10" s="1"/>
      <c r="K10" s="1"/>
      <c r="L10" s="1"/>
    </row>
    <row r="11" ht="15" customHeight="1">
      <c r="A11" s="1"/>
      <c r="B11" s="30" t="s">
        <v>71</v>
      </c>
      <c r="C11" s="33">
        <v>87417</v>
      </c>
      <c r="D11" s="33">
        <v>83365</v>
      </c>
      <c r="E11" s="33">
        <v>330284</v>
      </c>
      <c r="F11" s="33">
        <v>77698</v>
      </c>
      <c r="G11" s="33">
        <v>87279</v>
      </c>
      <c r="H11" s="34">
        <f>Geo!H179</f>
        <v>88664.06</v>
      </c>
      <c r="I11" s="1"/>
      <c r="J11" s="1"/>
      <c r="K11" s="1"/>
      <c r="L11" s="1"/>
    </row>
    <row r="12" ht="15" customHeight="1">
      <c r="A12" s="1"/>
      <c r="B12" s="35" t="s">
        <v>72</v>
      </c>
      <c r="C12" s="29">
        <f>C11/Inputs!C156-1</f>
        <v>0.07206190750665309</v>
      </c>
      <c r="D12" s="29">
        <f>D11/Inputs!D156-1</f>
        <v>0.06471429666147288</v>
      </c>
      <c r="E12" s="29">
        <f>E11/Inputs!E156-1</f>
        <v>0.06137506627890166</v>
      </c>
      <c r="F12" s="29">
        <f>F11/Inputs!F156-1</f>
        <v>0.033836737409354</v>
      </c>
      <c r="G12" s="29">
        <f>G11/Inputs!G156-1</f>
        <v>0.034761165186669274</v>
      </c>
      <c r="H12" s="36">
        <f t="shared" si="3" ref="H12:H137">H11/C11-1</f>
        <v>0.014265646270176235</v>
      </c>
      <c r="I12" s="1"/>
      <c r="J12" s="1"/>
      <c r="K12" s="1"/>
      <c r="L12" s="1"/>
    </row>
    <row r="13" ht="15" customHeight="1">
      <c r="A13" s="1"/>
      <c r="B13" s="37" t="s">
        <v>73</v>
      </c>
      <c r="C13" s="38">
        <f>C11-Inputs!G156</f>
        <v>3070</v>
      </c>
      <c r="D13" s="39">
        <f t="shared" si="2" ref="D13:H80">D11-C11</f>
        <v>-4052</v>
      </c>
      <c r="E13" s="39" t="s">
        <v>74</v>
      </c>
      <c r="F13" s="39">
        <f t="shared" si="4" ref="F13:F80">F11-D11</f>
        <v>-5667</v>
      </c>
      <c r="G13" s="39">
        <f t="shared" si="2"/>
        <v>9581</v>
      </c>
      <c r="H13" s="40">
        <f t="shared" si="2"/>
        <v>1385.0599999999977</v>
      </c>
      <c r="I13" s="1"/>
      <c r="J13" s="1"/>
      <c r="K13" s="1"/>
      <c r="L13" s="1"/>
    </row>
    <row r="14" ht="15" customHeight="1">
      <c r="A14" s="1"/>
      <c r="B14" s="30" t="s">
        <v>75</v>
      </c>
      <c r="C14" s="33">
        <v>73769</v>
      </c>
      <c r="D14" s="33">
        <v>68246</v>
      </c>
      <c r="E14" s="33">
        <v>271619</v>
      </c>
      <c r="F14" s="33">
        <v>63385</v>
      </c>
      <c r="G14" s="33">
        <v>72765</v>
      </c>
      <c r="H14" s="34">
        <f>Geo!H182</f>
        <v>74965.79369999998</v>
      </c>
      <c r="I14" s="1"/>
      <c r="J14" s="1"/>
      <c r="K14" s="1"/>
      <c r="L14" s="1"/>
    </row>
    <row r="15" ht="15" customHeight="1">
      <c r="A15" s="1"/>
      <c r="B15" s="35" t="s">
        <v>72</v>
      </c>
      <c r="C15" s="29">
        <f>C14/Inputs!C157-1</f>
        <v>0.060676645242922156</v>
      </c>
      <c r="D15" s="29">
        <f>D14/Inputs!D157-1</f>
        <v>0.05868482695499755</v>
      </c>
      <c r="E15" s="29">
        <f>E14/Inputs!E157-1</f>
        <v>0.05073828930418611</v>
      </c>
      <c r="F15" s="29">
        <f>F14/Inputs!F157-1</f>
        <v>0.06498983483710541</v>
      </c>
      <c r="G15" s="29">
        <f>G14/Inputs!G157-1</f>
        <v>0.03819484077160151</v>
      </c>
      <c r="H15" s="36">
        <f t="shared" si="3"/>
        <v>0.016223531564749205</v>
      </c>
      <c r="I15" s="1"/>
      <c r="J15" s="1"/>
      <c r="K15" s="1"/>
      <c r="L15" s="1"/>
    </row>
    <row r="16" ht="15" customHeight="1">
      <c r="A16" s="1"/>
      <c r="B16" s="37" t="s">
        <v>73</v>
      </c>
      <c r="C16" s="38">
        <f>C14-Inputs!G157</f>
        <v>3681</v>
      </c>
      <c r="D16" s="39">
        <f t="shared" si="2"/>
        <v>-5523</v>
      </c>
      <c r="E16" s="39" t="s">
        <v>74</v>
      </c>
      <c r="F16" s="39">
        <f t="shared" si="4"/>
        <v>-4861</v>
      </c>
      <c r="G16" s="39">
        <f t="shared" si="2"/>
        <v>9380</v>
      </c>
      <c r="H16" s="40">
        <f t="shared" si="2"/>
        <v>2200.79369999998</v>
      </c>
      <c r="I16" s="1"/>
      <c r="J16" s="1"/>
      <c r="K16" s="1"/>
      <c r="L16" s="1"/>
    </row>
    <row r="17" ht="15" customHeight="1">
      <c r="A17" s="1"/>
      <c r="B17" s="28" t="s">
        <v>76</v>
      </c>
      <c r="C17" s="41">
        <f t="shared" si="5" ref="C17:H17">C14/C11</f>
        <v>0.8438747612020545</v>
      </c>
      <c r="D17" s="41">
        <f t="shared" si="5"/>
        <v>0.8186409164517483</v>
      </c>
      <c r="E17" s="41">
        <f t="shared" si="5"/>
        <v>0.8223801334609003</v>
      </c>
      <c r="F17" s="41">
        <f t="shared" si="5"/>
        <v>0.815786764138073</v>
      </c>
      <c r="G17" s="41">
        <f t="shared" si="5"/>
        <v>0.8337057024026399</v>
      </c>
      <c r="H17" s="36">
        <f t="shared" si="5"/>
        <v>0.845503732854101</v>
      </c>
      <c r="I17" s="1"/>
      <c r="J17" s="1"/>
      <c r="K17" s="1"/>
      <c r="L17" s="1"/>
    </row>
    <row r="18" ht="15" customHeight="1">
      <c r="A18" s="1"/>
      <c r="B18" s="35" t="s">
        <v>77</v>
      </c>
      <c r="C18" s="42">
        <f>(C17-Inputs!C157/Inputs!C156)*10000</f>
        <v>-90.58119189405022</v>
      </c>
      <c r="D18" s="42">
        <f>(D17-Inputs!D157/Inputs!D156)*10000</f>
        <v>-46.62360771169216</v>
      </c>
      <c r="E18" s="42">
        <f>(E17-Inputs!E157/Inputs!E156)*10000</f>
        <v>-83.25074052315307</v>
      </c>
      <c r="F18" s="42">
        <f>(F17-Inputs!F157/Inputs!F156)*10000</f>
        <v>238.634057454179</v>
      </c>
      <c r="G18" s="42">
        <f>(G17-Inputs!G157/Inputs!G156)*10000</f>
        <v>27.573580631850003</v>
      </c>
      <c r="H18" s="43">
        <f t="shared" si="24" ref="H18:H99">(H17-C17)*10000</f>
        <v>16.289716520464516</v>
      </c>
      <c r="I18" s="1"/>
      <c r="J18" s="1"/>
      <c r="K18" s="1"/>
      <c r="L18" s="1"/>
    </row>
    <row r="19" ht="15" customHeight="1">
      <c r="A19" s="1"/>
      <c r="B19" s="35" t="s">
        <v>78</v>
      </c>
      <c r="C19" s="42">
        <f>(C17-Inputs!G157/Inputs!G156)*10000</f>
        <v>129.26416862599655</v>
      </c>
      <c r="D19" s="44">
        <f t="shared" si="6" ref="D19:H100">(D17-C17)*10000</f>
        <v>-252.33844750306213</v>
      </c>
      <c r="E19" s="44" t="s">
        <v>41</v>
      </c>
      <c r="F19" s="44">
        <f t="shared" si="25" ref="F19:F100">(F17-D17)*10000</f>
        <v>-28.54152313675251</v>
      </c>
      <c r="G19" s="44">
        <f t="shared" si="6"/>
        <v>179.18938264566808</v>
      </c>
      <c r="H19" s="43">
        <f t="shared" si="6"/>
        <v>117.98030451461105</v>
      </c>
      <c r="I19" s="1"/>
      <c r="J19" s="1"/>
      <c r="K19" s="1"/>
      <c r="L19" s="1"/>
    </row>
    <row r="20" ht="15" customHeight="1">
      <c r="A20" s="1"/>
      <c r="B20" s="30" t="s">
        <v>79</v>
      </c>
      <c r="C20" s="33">
        <v>1509</v>
      </c>
      <c r="D20" s="33">
        <v>1477</v>
      </c>
      <c r="E20" s="33">
        <v>1488</v>
      </c>
      <c r="F20" s="33">
        <v>1465</v>
      </c>
      <c r="G20" s="33">
        <v>1460</v>
      </c>
      <c r="H20" s="45">
        <v>1480</v>
      </c>
      <c r="I20" s="22" t="s">
        <v>80</v>
      </c>
      <c r="J20" s="1"/>
      <c r="K20" s="1"/>
      <c r="L20" s="1"/>
    </row>
    <row r="21" ht="15" customHeight="1">
      <c r="A21" s="1"/>
      <c r="B21" s="35" t="s">
        <v>72</v>
      </c>
      <c r="C21" s="29">
        <f>C20/Inputs!C159-1</f>
        <v>-0.0006622516556291647</v>
      </c>
      <c r="D21" s="29">
        <f>D20/Inputs!D159-1</f>
        <v>0.018620689655172384</v>
      </c>
      <c r="E21" s="29">
        <f>E20/Inputs!E159-1</f>
        <v>-0.0013422818791946067</v>
      </c>
      <c r="F21" s="29">
        <f>F20/Inputs!F159-1</f>
        <v>0.007565337001375516</v>
      </c>
      <c r="G21" s="29">
        <f>G20/Inputs!G159-1</f>
        <v>-0.03183023872679047</v>
      </c>
      <c r="H21" s="36">
        <f t="shared" si="3"/>
        <v>-0.019218025182239917</v>
      </c>
      <c r="I21" s="1"/>
      <c r="J21" s="1"/>
      <c r="K21" s="1"/>
      <c r="L21" s="1"/>
    </row>
    <row r="22" ht="15" customHeight="1">
      <c r="A22" s="1"/>
      <c r="B22" s="37" t="s">
        <v>81</v>
      </c>
      <c r="C22" s="38">
        <f>C20-Inputs!G159</f>
        <v>1</v>
      </c>
      <c r="D22" s="39">
        <f t="shared" si="2"/>
        <v>-32</v>
      </c>
      <c r="E22" s="39" t="s">
        <v>74</v>
      </c>
      <c r="F22" s="39">
        <f t="shared" si="4"/>
        <v>-12</v>
      </c>
      <c r="G22" s="39">
        <f t="shared" si="2"/>
        <v>-5</v>
      </c>
      <c r="H22" s="40">
        <f t="shared" si="2"/>
        <v>20</v>
      </c>
      <c r="I22" s="1"/>
      <c r="J22" s="1"/>
      <c r="K22" s="1"/>
      <c r="L22" s="1"/>
    </row>
    <row r="23" ht="15" customHeight="1">
      <c r="A23" s="1"/>
      <c r="B23" s="30" t="s">
        <v>82</v>
      </c>
      <c r="C23" s="33">
        <v>48382</v>
      </c>
      <c r="D23" s="33">
        <v>45679</v>
      </c>
      <c r="E23" s="33">
        <v>181053</v>
      </c>
      <c r="F23" s="33">
        <v>42486</v>
      </c>
      <c r="G23" s="33">
        <v>48692</v>
      </c>
      <c r="H23" s="40">
        <f>C23*(H14/C14)/(H20/C20)</f>
        <v>50130.33290431489</v>
      </c>
      <c r="I23" s="1"/>
      <c r="J23" s="1"/>
      <c r="K23" s="1"/>
      <c r="L23" s="1"/>
    </row>
    <row r="24" ht="15" customHeight="1">
      <c r="A24" s="1"/>
      <c r="B24" s="35" t="s">
        <v>72</v>
      </c>
      <c r="C24" s="29">
        <f>C23/Inputs!C158-1</f>
        <v>0.06196360762966702</v>
      </c>
      <c r="D24" s="29">
        <f>D23/Inputs!D158-1</f>
        <v>0.030105538517048558</v>
      </c>
      <c r="E24" s="29">
        <f>E23/Inputs!E158-1</f>
        <v>0.0429140049423109</v>
      </c>
      <c r="F24" s="29">
        <f>F23/Inputs!F158-1</f>
        <v>0.041170416115277275</v>
      </c>
      <c r="G24" s="29">
        <f>G23/Inputs!G158-1</f>
        <v>0.05425886632312826</v>
      </c>
      <c r="H24" s="36">
        <f t="shared" si="3"/>
        <v>0.036136019683247644</v>
      </c>
      <c r="I24" s="1"/>
      <c r="J24" s="1"/>
      <c r="K24" s="1"/>
      <c r="L24" s="1"/>
    </row>
    <row r="25" ht="15" customHeight="1">
      <c r="A25" s="1"/>
      <c r="B25" s="37" t="s">
        <v>83</v>
      </c>
      <c r="C25" s="38">
        <f>C23-Inputs!G158</f>
        <v>2196</v>
      </c>
      <c r="D25" s="39">
        <f t="shared" si="2"/>
        <v>-2703</v>
      </c>
      <c r="E25" s="39" t="s">
        <v>74</v>
      </c>
      <c r="F25" s="39">
        <f t="shared" si="4"/>
        <v>-3193</v>
      </c>
      <c r="G25" s="39">
        <f t="shared" si="2"/>
        <v>6206</v>
      </c>
      <c r="H25" s="40">
        <f t="shared" si="2"/>
        <v>1438.3329043148915</v>
      </c>
      <c r="I25" s="1"/>
      <c r="J25" s="1"/>
      <c r="K25" s="1"/>
      <c r="L25" s="1"/>
    </row>
    <row r="26" ht="15" customHeight="1">
      <c r="A26" s="1"/>
      <c r="B26" s="30" t="s">
        <v>84</v>
      </c>
      <c r="C26" s="46">
        <f t="shared" si="7" ref="C26:H26">C101/C14*100</f>
        <v>18.727378709213898</v>
      </c>
      <c r="D26" s="46">
        <f t="shared" si="7"/>
        <v>20.40559153650031</v>
      </c>
      <c r="E26" s="46">
        <f t="shared" si="7"/>
        <v>19.673881429502355</v>
      </c>
      <c r="F26" s="46">
        <f t="shared" si="7"/>
        <v>20.77147590123846</v>
      </c>
      <c r="G26" s="46">
        <f t="shared" si="7"/>
        <v>22.12602212602213</v>
      </c>
      <c r="H26" s="47">
        <f t="shared" si="7"/>
        <v>21.740973410116784</v>
      </c>
      <c r="I26" s="1"/>
      <c r="J26" s="1"/>
      <c r="K26" s="1"/>
      <c r="L26" s="1"/>
    </row>
    <row r="27" ht="15" customHeight="1">
      <c r="A27" s="1"/>
      <c r="B27" s="35" t="s">
        <v>72</v>
      </c>
      <c r="C27" s="29">
        <f>C26/(Inputs!C119/Inputs!C157*100)-1</f>
        <v>-0.03954689046005666</v>
      </c>
      <c r="D27" s="29">
        <f>D26/(Inputs!D119/Inputs!D157*100)-1</f>
        <v>-0.00911062356503245</v>
      </c>
      <c r="E27" s="29">
        <f>E26/(Inputs!E119/Inputs!E157*100)-1</f>
        <v>-0.018742910113904054</v>
      </c>
      <c r="F27" s="29">
        <f>F26/(Inputs!F119/Inputs!F157*100)-1</f>
        <v>0.04237430962395394</v>
      </c>
      <c r="G27" s="29">
        <f>G26/(Inputs!G119/Inputs!G157*100)-1</f>
        <v>0.12082150821670945</v>
      </c>
      <c r="H27" s="36">
        <f t="shared" si="3"/>
        <v>0.16091919470930516</v>
      </c>
      <c r="I27" s="1"/>
      <c r="J27" s="1"/>
      <c r="K27" s="1"/>
      <c r="L27" s="1"/>
    </row>
    <row r="28" ht="15" customHeight="1">
      <c r="A28" s="1"/>
      <c r="B28" s="37" t="s">
        <v>85</v>
      </c>
      <c r="C28" s="31">
        <f>C26-Inputs!G119/Inputs!G157*100</f>
        <v>-1.013518448644792</v>
      </c>
      <c r="D28" s="46">
        <f t="shared" si="2"/>
        <v>1.678212827286412</v>
      </c>
      <c r="E28" s="46" t="s">
        <v>74</v>
      </c>
      <c r="F28" s="46">
        <f t="shared" si="4"/>
        <v>0.3658843647381502</v>
      </c>
      <c r="G28" s="46">
        <f t="shared" si="2"/>
        <v>1.3545462247836682</v>
      </c>
      <c r="H28" s="47">
        <f t="shared" si="2"/>
        <v>-0.38504871590534506</v>
      </c>
      <c r="I28" s="1"/>
      <c r="J28" s="1"/>
      <c r="K28" s="1"/>
      <c r="L28" s="1"/>
    </row>
    <row r="29" ht="15" customHeight="1">
      <c r="A29" s="1"/>
      <c r="B29" s="30" t="s">
        <v>86</v>
      </c>
      <c r="C29" s="46">
        <f t="shared" si="8" ref="C29:H29">C101/C11*100</f>
        <v>15.803562236178317</v>
      </c>
      <c r="D29" s="46">
        <f t="shared" si="8"/>
        <v>16.704852156180653</v>
      </c>
      <c r="E29" s="46">
        <f t="shared" si="8"/>
        <v>16.179409235688073</v>
      </c>
      <c r="F29" s="46">
        <f t="shared" si="8"/>
        <v>16.94509511184329</v>
      </c>
      <c r="G29" s="46">
        <f t="shared" si="8"/>
        <v>18.446590817951627</v>
      </c>
      <c r="H29" s="47">
        <f t="shared" si="8"/>
        <v>18.382074174135496</v>
      </c>
      <c r="I29" s="1"/>
      <c r="J29" s="1"/>
      <c r="K29" s="1"/>
      <c r="L29" s="1"/>
    </row>
    <row r="30" ht="15" customHeight="1">
      <c r="A30" s="1"/>
      <c r="B30" s="35" t="s">
        <v>72</v>
      </c>
      <c r="C30" s="29">
        <f>C29/(Inputs!C119/Inputs!C156*100)-1</f>
        <v>-0.049746870953310096</v>
      </c>
      <c r="D30" s="29">
        <f>D29/(Inputs!D119/Inputs!D156*100)-1</f>
        <v>-0.014722023258280315</v>
      </c>
      <c r="E30" s="29">
        <f>E29/(Inputs!E119/Inputs!E156*100)-1</f>
        <v>-0.028576769181810846</v>
      </c>
      <c r="F30" s="29">
        <f>F29/(Inputs!F119/Inputs!F156*100)-1</f>
        <v>0.07378467380318932</v>
      </c>
      <c r="G30" s="29">
        <f>G29/(Inputs!G119/Inputs!G156*100)-1</f>
        <v>0.12454076013426274</v>
      </c>
      <c r="H30" s="36">
        <f t="shared" si="3"/>
        <v>0.1631601723347107</v>
      </c>
      <c r="I30" s="1"/>
      <c r="J30" s="1"/>
      <c r="K30" s="1"/>
      <c r="L30" s="1"/>
    </row>
    <row r="31" ht="15" customHeight="1">
      <c r="A31" s="1"/>
      <c r="B31" s="37" t="s">
        <v>85</v>
      </c>
      <c r="C31" s="31">
        <f>C29-Inputs!G119/Inputs!G156*100</f>
        <v>-0.6001035729198119</v>
      </c>
      <c r="D31" s="46">
        <f t="shared" si="2"/>
        <v>0.9012899200023359</v>
      </c>
      <c r="E31" s="46" t="s">
        <v>74</v>
      </c>
      <c r="F31" s="46">
        <f t="shared" si="4"/>
        <v>0.24024295566263731</v>
      </c>
      <c r="G31" s="46">
        <f t="shared" si="2"/>
        <v>1.5014957061083365</v>
      </c>
      <c r="H31" s="47">
        <f t="shared" si="2"/>
        <v>-0.06451664381613043</v>
      </c>
      <c r="I31" s="1"/>
      <c r="J31" s="1"/>
      <c r="K31" s="1"/>
      <c r="L31" s="1"/>
    </row>
    <row r="32" ht="15" customHeight="1">
      <c r="A32" s="1"/>
      <c r="B32" s="30" t="s">
        <v>87</v>
      </c>
      <c r="C32" s="46">
        <f t="shared" si="9" ref="C32:H32">C136/C11*100</f>
        <v>17.416520814029308</v>
      </c>
      <c r="D32" s="46">
        <f t="shared" si="9"/>
        <v>18.469381634978706</v>
      </c>
      <c r="E32" s="46">
        <f t="shared" si="9"/>
        <v>17.88460839762144</v>
      </c>
      <c r="F32" s="46">
        <f t="shared" si="9"/>
        <v>18.800998738706273</v>
      </c>
      <c r="G32" s="46">
        <f t="shared" si="9"/>
        <v>20.247711362412492</v>
      </c>
      <c r="H32" s="47">
        <f t="shared" si="9"/>
        <v>20.195421543971708</v>
      </c>
      <c r="I32" s="1"/>
      <c r="J32" s="1"/>
      <c r="K32" s="1"/>
      <c r="L32" s="1"/>
    </row>
    <row r="33" ht="15" customHeight="1">
      <c r="A33" s="1"/>
      <c r="B33" s="35" t="s">
        <v>72</v>
      </c>
      <c r="C33" s="29">
        <f>C32/(Inputs!C122/Inputs!C156*100)-1</f>
        <v>-0.043211935796830914</v>
      </c>
      <c r="D33" s="29">
        <f>D32/(Inputs!D122/Inputs!D156*100)-1</f>
        <v>-0.015913138308565666</v>
      </c>
      <c r="E33" s="29">
        <f>E32/(Inputs!E122/Inputs!E156*100)-1</f>
        <v>-0.024688175487824315</v>
      </c>
      <c r="F33" s="29">
        <f>F32/(Inputs!F122/Inputs!F156*100)-1</f>
        <v>0.06939306759060782</v>
      </c>
      <c r="G33" s="29">
        <f>G32/(Inputs!G122/Inputs!G156*100)-1</f>
        <v>0.12091999887464322</v>
      </c>
      <c r="H33" s="36">
        <f t="shared" si="3"/>
        <v>0.15955544506362873</v>
      </c>
      <c r="I33" s="22" t="s">
        <v>88</v>
      </c>
      <c r="J33" s="1"/>
      <c r="K33" s="1"/>
      <c r="L33" s="1"/>
    </row>
    <row r="34" ht="15" customHeight="1">
      <c r="A34" s="1"/>
      <c r="B34" s="37" t="s">
        <v>85</v>
      </c>
      <c r="C34" s="31">
        <f>C32-Inputs!G122/Inputs!G156*100</f>
        <v>-0.6469550653736356</v>
      </c>
      <c r="D34" s="46">
        <f t="shared" si="2"/>
        <v>1.0528608209493981</v>
      </c>
      <c r="E34" s="46" t="s">
        <v>74</v>
      </c>
      <c r="F34" s="46">
        <f t="shared" si="4"/>
        <v>0.3316171037275666</v>
      </c>
      <c r="G34" s="46">
        <f t="shared" si="2"/>
        <v>1.446712623706219</v>
      </c>
      <c r="H34" s="47">
        <f t="shared" si="2"/>
        <v>-0.05228981844078362</v>
      </c>
      <c r="I34" s="1"/>
      <c r="J34" s="1"/>
      <c r="K34" s="1"/>
      <c r="L34" s="1"/>
    </row>
    <row r="35" ht="15" customHeight="1">
      <c r="A35" s="1"/>
      <c r="B35" s="30" t="s">
        <v>89</v>
      </c>
      <c r="C35" s="46">
        <f t="shared" si="10" ref="C35:H35">C101/C23*1000</f>
        <v>285.5400768880989</v>
      </c>
      <c r="D35" s="46">
        <f t="shared" si="10"/>
        <v>304.8665688828565</v>
      </c>
      <c r="E35" s="46">
        <f t="shared" si="10"/>
        <v>295.1511435877892</v>
      </c>
      <c r="F35" s="46">
        <f t="shared" si="10"/>
        <v>309.89031681024335</v>
      </c>
      <c r="G35" s="46">
        <f t="shared" si="10"/>
        <v>330.6497987349051</v>
      </c>
      <c r="H35" s="47">
        <f t="shared" si="10"/>
        <v>325.11839301185154</v>
      </c>
      <c r="I35" s="1"/>
      <c r="J35" s="1"/>
      <c r="K35" s="1"/>
      <c r="L35" s="1"/>
    </row>
    <row r="36" ht="15" customHeight="1">
      <c r="A36" s="1"/>
      <c r="B36" s="35" t="s">
        <v>72</v>
      </c>
      <c r="C36" s="29">
        <f>C35/(Inputs!C119/Inputs!C158*1000)-1</f>
        <v>-0.04071083526694952</v>
      </c>
      <c r="D36" s="29">
        <f>D35/(Inputs!D119/Inputs!D158*1000)-1</f>
        <v>0.01838065013494461</v>
      </c>
      <c r="E36" s="29">
        <f>E35/(Inputs!E119/Inputs!E158*1000)-1</f>
        <v>-0.011381196236258329</v>
      </c>
      <c r="F36" s="29">
        <f>F35/(Inputs!F119/Inputs!F158*1000)-1</f>
        <v>0.06622127046870085</v>
      </c>
      <c r="G36" s="29">
        <f>G35/(Inputs!G119/Inputs!G158*1000)-1</f>
        <v>0.10374324980993976</v>
      </c>
      <c r="H36" s="36">
        <f t="shared" si="3"/>
        <v>0.1386086203908361</v>
      </c>
      <c r="I36" s="1"/>
      <c r="J36" s="1"/>
      <c r="K36" s="1"/>
      <c r="L36" s="1"/>
    </row>
    <row r="37" ht="15" customHeight="1">
      <c r="A37" s="1"/>
      <c r="B37" s="37" t="s">
        <v>90</v>
      </c>
      <c r="C37" s="31">
        <f>C35-Inputs!G119/Inputs!G158*1000</f>
        <v>-14.031221773833295</v>
      </c>
      <c r="D37" s="46">
        <f t="shared" si="2"/>
        <v>19.32649199475759</v>
      </c>
      <c r="E37" s="46" t="s">
        <v>74</v>
      </c>
      <c r="F37" s="46">
        <f t="shared" si="4"/>
        <v>5.023747927386864</v>
      </c>
      <c r="G37" s="46">
        <f t="shared" si="2"/>
        <v>20.75948192466177</v>
      </c>
      <c r="H37" s="47">
        <f t="shared" si="2"/>
        <v>-5.531405723053581</v>
      </c>
      <c r="I37" s="1"/>
      <c r="J37" s="1"/>
      <c r="K37" s="1"/>
      <c r="L37" s="1"/>
    </row>
    <row r="38" ht="15" customHeight="1">
      <c r="A38" s="1"/>
      <c r="B38" s="30" t="s">
        <v>91</v>
      </c>
      <c r="C38" s="33">
        <v>890</v>
      </c>
      <c r="D38" s="33">
        <v>963</v>
      </c>
      <c r="E38" s="33">
        <v>3626</v>
      </c>
      <c r="F38" s="33">
        <v>878</v>
      </c>
      <c r="G38" s="33">
        <v>932</v>
      </c>
      <c r="H38" s="40">
        <f t="shared" si="18" ref="H38:H122">C38*(1+H39)</f>
        <v>916.7</v>
      </c>
      <c r="I38" s="1"/>
      <c r="J38" s="1"/>
      <c r="K38" s="1"/>
      <c r="L38" s="1"/>
    </row>
    <row r="39" ht="15" customHeight="1">
      <c r="A39" s="1"/>
      <c r="B39" s="35" t="s">
        <v>72</v>
      </c>
      <c r="C39" s="29">
        <f>C38/Inputs!C160-1</f>
        <v>0.010215664018161208</v>
      </c>
      <c r="D39" s="29">
        <f>D38/Inputs!D160-1</f>
        <v>-0.01834862385321101</v>
      </c>
      <c r="E39" s="29">
        <f>E38/Inputs!E160-1</f>
        <v>0.006104328523862446</v>
      </c>
      <c r="F39" s="29">
        <f>F38/Inputs!F160-1</f>
        <v>-0.01237345331833517</v>
      </c>
      <c r="G39" s="29">
        <f>G38/Inputs!G160-1</f>
        <v>0.05310734463276834</v>
      </c>
      <c r="H39" s="48">
        <v>0.03</v>
      </c>
      <c r="I39" s="22" t="s">
        <v>92</v>
      </c>
      <c r="J39" s="1"/>
      <c r="K39" s="1"/>
      <c r="L39" s="1"/>
    </row>
    <row r="40" ht="15" customHeight="1">
      <c r="A40" s="1"/>
      <c r="B40" s="37" t="s">
        <v>73</v>
      </c>
      <c r="C40" s="38">
        <f>C38-Inputs!G160</f>
        <v>5</v>
      </c>
      <c r="D40" s="39">
        <f t="shared" si="2"/>
        <v>73</v>
      </c>
      <c r="E40" s="39" t="s">
        <v>74</v>
      </c>
      <c r="F40" s="39">
        <f t="shared" si="4"/>
        <v>-85</v>
      </c>
      <c r="G40" s="39">
        <f t="shared" si="2"/>
        <v>54</v>
      </c>
      <c r="H40" s="40">
        <f t="shared" si="2"/>
        <v>-15.299999999999955</v>
      </c>
      <c r="I40" s="1"/>
      <c r="J40" s="1"/>
      <c r="K40" s="1"/>
      <c r="L40" s="1"/>
    </row>
    <row r="41" ht="15" customHeight="1">
      <c r="A41" s="1"/>
      <c r="B41" s="30" t="s">
        <v>93</v>
      </c>
      <c r="C41" s="46">
        <f t="shared" si="11" ref="C41:G41">C108/C38*100</f>
        <v>48.426966292134836</v>
      </c>
      <c r="D41" s="46">
        <f t="shared" si="11"/>
        <v>50.88265835929388</v>
      </c>
      <c r="E41" s="46">
        <f t="shared" si="11"/>
        <v>49.062327633756205</v>
      </c>
      <c r="F41" s="46">
        <f t="shared" si="11"/>
        <v>48.063781321184514</v>
      </c>
      <c r="G41" s="46">
        <f t="shared" si="11"/>
        <v>56.54506437768241</v>
      </c>
      <c r="H41" s="47">
        <f>C41*(1+H43)</f>
        <v>57.1438202247191</v>
      </c>
      <c r="I41" s="1"/>
      <c r="J41" s="1"/>
      <c r="K41" s="1"/>
      <c r="L41" s="1"/>
    </row>
    <row r="42" ht="15" customHeight="1">
      <c r="A42" s="1"/>
      <c r="B42" s="37" t="s">
        <v>85</v>
      </c>
      <c r="C42" s="31">
        <f>C41-Inputs!G120/Inputs!G160*100</f>
        <v>-0.16060432933409174</v>
      </c>
      <c r="D42" s="46">
        <f t="shared" si="12" ref="D42:H42">D41-C41</f>
        <v>2.455692067159042</v>
      </c>
      <c r="E42" s="46" t="s">
        <v>74</v>
      </c>
      <c r="F42" s="46">
        <f>F41-D41</f>
        <v>-2.8188770381093633</v>
      </c>
      <c r="G42" s="46">
        <f t="shared" si="12"/>
        <v>8.481283056497894</v>
      </c>
      <c r="H42" s="47">
        <f t="shared" si="12"/>
        <v>0.598755847036692</v>
      </c>
      <c r="I42" s="1"/>
      <c r="J42" s="1"/>
      <c r="K42" s="1"/>
      <c r="L42" s="1"/>
    </row>
    <row r="43" ht="25.5" customHeight="1">
      <c r="A43" s="1"/>
      <c r="B43" s="35" t="s">
        <v>72</v>
      </c>
      <c r="C43" s="29">
        <f>C41/(Inputs!C120/Inputs!C160*100)-1</f>
        <v>0.023121278258292355</v>
      </c>
      <c r="D43" s="29">
        <f>D41/(Inputs!D120/Inputs!D160*100)-1</f>
        <v>-0.04192153837874668</v>
      </c>
      <c r="E43" s="29">
        <f>E41/(Inputs!E120/Inputs!E160*100)-1</f>
        <v>0.014461438852882313</v>
      </c>
      <c r="F43" s="29">
        <f>F41/(Inputs!F120/Inputs!F160*100)-1</f>
        <v>-0.003992969824404891</v>
      </c>
      <c r="G43" s="29">
        <f>G41/(Inputs!G120/Inputs!G160*100)-1</f>
        <v>0.16377632498253325</v>
      </c>
      <c r="H43" s="48">
        <v>0.18</v>
      </c>
      <c r="I43" s="18" t="s">
        <v>94</v>
      </c>
      <c r="J43" s="1"/>
      <c r="K43" s="1"/>
      <c r="L43" s="1"/>
    </row>
    <row r="44" ht="15" customHeight="1">
      <c r="A44" s="1"/>
      <c r="B44" s="1"/>
      <c r="C44" s="1"/>
      <c r="D44" s="1"/>
      <c r="E44" s="1"/>
      <c r="F44" s="1"/>
      <c r="G44" s="1"/>
      <c r="H44" s="32"/>
      <c r="I44" s="1"/>
      <c r="J44" s="1"/>
      <c r="K44" s="1"/>
      <c r="L44" s="1"/>
    </row>
    <row r="45" ht="15" customHeight="1">
      <c r="A45" s="1"/>
      <c r="B45" s="3" t="s">
        <v>95</v>
      </c>
      <c r="C45" s="1"/>
      <c r="D45" s="1"/>
      <c r="E45" s="1"/>
      <c r="F45" s="1"/>
      <c r="G45" s="1"/>
      <c r="H45" s="32"/>
      <c r="I45" s="1"/>
      <c r="J45" s="1"/>
      <c r="K45" s="1"/>
      <c r="L45" s="1"/>
    </row>
    <row r="46" ht="15" customHeight="1">
      <c r="A46" s="1"/>
      <c r="B46" s="30" t="s">
        <v>96</v>
      </c>
      <c r="C46" s="38">
        <f>Inputs!G155</f>
        <v>1473</v>
      </c>
      <c r="D46" s="39">
        <f t="shared" si="13" ref="D46:H46">C48</f>
        <v>1486</v>
      </c>
      <c r="E46" s="38">
        <f>Inputs!D155</f>
        <v>1406</v>
      </c>
      <c r="F46" s="39">
        <f>D48</f>
        <v>1490</v>
      </c>
      <c r="G46" s="39">
        <f t="shared" si="13"/>
        <v>1526</v>
      </c>
      <c r="H46" s="40">
        <f t="shared" si="13"/>
        <v>1552</v>
      </c>
      <c r="I46" s="1"/>
      <c r="J46" s="1"/>
      <c r="K46" s="1"/>
      <c r="L46" s="1"/>
    </row>
    <row r="47" ht="15" customHeight="1">
      <c r="A47" s="1"/>
      <c r="B47" s="30" t="s">
        <v>97</v>
      </c>
      <c r="C47" s="39">
        <f t="shared" si="14" ref="C47:H47">C48-C46</f>
        <v>13</v>
      </c>
      <c r="D47" s="39">
        <f t="shared" si="14"/>
        <v>4</v>
      </c>
      <c r="E47" s="39">
        <f t="shared" si="14"/>
        <v>84</v>
      </c>
      <c r="F47" s="39">
        <f t="shared" si="14"/>
        <v>36</v>
      </c>
      <c r="G47" s="39">
        <f t="shared" si="14"/>
        <v>26</v>
      </c>
      <c r="H47" s="40">
        <f t="shared" si="14"/>
        <v>27</v>
      </c>
      <c r="I47" s="22" t="s">
        <v>98</v>
      </c>
      <c r="J47" s="1"/>
      <c r="K47" s="1"/>
      <c r="L47" s="1"/>
    </row>
    <row r="48" ht="15" customHeight="1">
      <c r="A48" s="1"/>
      <c r="B48" s="49" t="s">
        <v>99</v>
      </c>
      <c r="C48" s="50">
        <v>1486</v>
      </c>
      <c r="D48" s="50">
        <v>1490</v>
      </c>
      <c r="E48" s="51">
        <f>D48</f>
        <v>1490</v>
      </c>
      <c r="F48" s="50">
        <v>1526</v>
      </c>
      <c r="G48" s="50">
        <v>1552</v>
      </c>
      <c r="H48" s="52">
        <f>H49+H50</f>
        <v>1579</v>
      </c>
      <c r="I48" s="22" t="s">
        <v>100</v>
      </c>
      <c r="J48" s="1"/>
      <c r="K48" s="1"/>
      <c r="L48" s="1"/>
    </row>
    <row r="49" ht="15" customHeight="1">
      <c r="A49" s="1"/>
      <c r="B49" s="37" t="s">
        <v>101</v>
      </c>
      <c r="C49" s="39" t="s">
        <v>102</v>
      </c>
      <c r="D49" s="39" t="s">
        <v>102</v>
      </c>
      <c r="E49" s="39" t="s">
        <v>102</v>
      </c>
      <c r="F49" s="33">
        <v>1100</v>
      </c>
      <c r="G49" s="33">
        <v>1122</v>
      </c>
      <c r="H49" s="45">
        <v>1145</v>
      </c>
      <c r="I49" s="1"/>
      <c r="J49" s="1"/>
      <c r="K49" s="1"/>
      <c r="L49" s="1"/>
    </row>
    <row r="50" ht="15" customHeight="1">
      <c r="A50" s="1"/>
      <c r="B50" s="37" t="s">
        <v>103</v>
      </c>
      <c r="C50" s="39" t="s">
        <v>102</v>
      </c>
      <c r="D50" s="39" t="s">
        <v>102</v>
      </c>
      <c r="E50" s="39" t="s">
        <v>102</v>
      </c>
      <c r="F50" s="33">
        <v>426</v>
      </c>
      <c r="G50" s="33">
        <v>430</v>
      </c>
      <c r="H50" s="45">
        <v>434</v>
      </c>
      <c r="I50" s="1"/>
      <c r="J50" s="1"/>
      <c r="K50" s="1"/>
      <c r="L50" s="1"/>
    </row>
    <row r="51" ht="15" customHeight="1">
      <c r="A51" s="1"/>
      <c r="B51" s="35" t="s">
        <v>72</v>
      </c>
      <c r="C51" s="29">
        <f>C48/Inputs!C155-1</f>
        <v>0.07603186097031145</v>
      </c>
      <c r="D51" s="29">
        <f>D48/Inputs!D155-1</f>
        <v>0.0597439544807965</v>
      </c>
      <c r="E51" s="29">
        <f>E48/Inputs!E155-1</f>
        <v>0.0597439544807965</v>
      </c>
      <c r="F51" s="29">
        <f>F48/Inputs!F155-1</f>
        <v>0.058252427184465994</v>
      </c>
      <c r="G51" s="29">
        <f>G48/Inputs!G155-1</f>
        <v>0.05363204344874406</v>
      </c>
      <c r="H51" s="36">
        <f>H48/C48-1</f>
        <v>0.06258411843876188</v>
      </c>
      <c r="I51" s="1"/>
      <c r="J51" s="1"/>
      <c r="K51" s="1"/>
      <c r="L51" s="1"/>
    </row>
    <row r="52" ht="38.25" customHeight="1">
      <c r="A52" s="1"/>
      <c r="B52" s="30" t="s">
        <v>104</v>
      </c>
      <c r="C52" s="16">
        <f t="shared" si="15" ref="C52:H52">(C46+C48)/2</f>
        <v>1479.5</v>
      </c>
      <c r="D52" s="16">
        <f t="shared" si="15"/>
        <v>1488</v>
      </c>
      <c r="E52" s="16">
        <f t="shared" si="15"/>
        <v>1448</v>
      </c>
      <c r="F52" s="16">
        <f t="shared" si="15"/>
        <v>1508</v>
      </c>
      <c r="G52" s="16">
        <f t="shared" si="15"/>
        <v>1539</v>
      </c>
      <c r="H52" s="53">
        <f t="shared" si="15"/>
        <v>1565.5</v>
      </c>
      <c r="I52" s="18" t="s">
        <v>105</v>
      </c>
      <c r="J52" s="1"/>
      <c r="K52" s="1"/>
      <c r="L52" s="1"/>
    </row>
    <row r="53" ht="15" customHeight="1">
      <c r="A53" s="1"/>
      <c r="B53" s="35" t="s">
        <v>72</v>
      </c>
      <c r="C53" s="29">
        <f>C52/((Inputs!C220+Inputs!C155)/2)-1</f>
        <v>0.07600000000000007</v>
      </c>
      <c r="D53" s="29">
        <f>D52/((Inputs!C155+Inputs!D155)/2)-1</f>
        <v>0.06781485468245418</v>
      </c>
      <c r="E53" s="41" t="s">
        <v>41</v>
      </c>
      <c r="F53" s="29">
        <f>F52/((Inputs!D155+Inputs!F155)/2)-1</f>
        <v>0.0589887640449438</v>
      </c>
      <c r="G53" s="29">
        <f>G52/((Inputs!F155+Inputs!G155)/2)-1</f>
        <v>0.055917667238422064</v>
      </c>
      <c r="H53" s="36">
        <f>H52/(C52)-1</f>
        <v>0.058127745860087954</v>
      </c>
      <c r="I53" s="1"/>
      <c r="J53" s="1"/>
      <c r="K53" s="1"/>
      <c r="L53" s="1"/>
    </row>
    <row r="54" ht="15" customHeight="1">
      <c r="A54" s="1"/>
      <c r="B54" s="37" t="s">
        <v>106</v>
      </c>
      <c r="C54" s="15">
        <f>C52-(Inputs!F155+Inputs!G155)/2</f>
        <v>22</v>
      </c>
      <c r="D54" s="16">
        <f t="shared" si="2"/>
        <v>8.5</v>
      </c>
      <c r="E54" s="16" t="s">
        <v>74</v>
      </c>
      <c r="F54" s="16">
        <f t="shared" si="4"/>
        <v>20</v>
      </c>
      <c r="G54" s="16">
        <f t="shared" si="2"/>
        <v>31</v>
      </c>
      <c r="H54" s="53">
        <f t="shared" si="2"/>
        <v>26.5</v>
      </c>
      <c r="I54" s="1"/>
      <c r="J54" s="1"/>
      <c r="K54" s="1"/>
      <c r="L54" s="1"/>
    </row>
    <row r="55" ht="15" customHeight="1">
      <c r="A55" s="1"/>
      <c r="B55" s="30" t="s">
        <v>107</v>
      </c>
      <c r="C55" s="16">
        <f t="shared" si="16" ref="C55:H55">C11*1000/C52/C7</f>
        <v>642.2337158558267</v>
      </c>
      <c r="D55" s="16">
        <f t="shared" si="16"/>
        <v>608.965930341281</v>
      </c>
      <c r="E55" s="16">
        <f t="shared" si="16"/>
        <v>624.9224248845834</v>
      </c>
      <c r="F55" s="16">
        <f t="shared" si="16"/>
        <v>572.4874742116122</v>
      </c>
      <c r="G55" s="16">
        <f t="shared" si="16"/>
        <v>623.2033074138337</v>
      </c>
      <c r="H55" s="53">
        <f t="shared" si="16"/>
        <v>615.6114868148807</v>
      </c>
      <c r="I55" s="22" t="s">
        <v>108</v>
      </c>
      <c r="J55" s="1"/>
      <c r="K55" s="1"/>
      <c r="L55" s="1"/>
    </row>
    <row r="56" ht="15" customHeight="1">
      <c r="A56" s="1"/>
      <c r="B56" s="35" t="s">
        <v>72</v>
      </c>
      <c r="C56" s="29">
        <f>C55/(Inputs!C156*1000/((Inputs!C220+Inputs!C155)/2)/C7)-1</f>
        <v>-0.0036599372614748438</v>
      </c>
      <c r="D56" s="29">
        <f>D55/(Inputs!D156*1000/((Inputs!C155+Inputs!D155)/2)/D7)-1</f>
        <v>-0.002903647582148894</v>
      </c>
      <c r="E56" s="41" t="s">
        <v>41</v>
      </c>
      <c r="F56" s="29">
        <f>F55/(Inputs!F156*1000/((Inputs!D155+Inputs!F155)/2)/F7)-1</f>
        <v>-0.023750985364111243</v>
      </c>
      <c r="G56" s="29">
        <f>G55/(Inputs!G156*1000/((Inputs!F155+Inputs!G155)/2)/G7)-1</f>
        <v>-0.02003612848630887</v>
      </c>
      <c r="H56" s="36">
        <f t="shared" si="3"/>
        <v>-0.041452555952267156</v>
      </c>
      <c r="I56" s="1"/>
      <c r="J56" s="1"/>
      <c r="K56" s="1"/>
      <c r="L56" s="1"/>
    </row>
    <row r="57" ht="15" customHeight="1">
      <c r="A57" s="1"/>
      <c r="B57" s="37" t="s">
        <v>106</v>
      </c>
      <c r="C57" s="15">
        <f>C55-Inputs!G156*1000/((Inputs!F155+Inputs!G155)/2)/G7</f>
        <v>6.288528967243678</v>
      </c>
      <c r="D57" s="16">
        <f t="shared" si="2"/>
        <v>-33.26778551454572</v>
      </c>
      <c r="E57" s="16" t="s">
        <v>74</v>
      </c>
      <c r="F57" s="16">
        <f t="shared" si="4"/>
        <v>-36.47845612966887</v>
      </c>
      <c r="G57" s="16">
        <f t="shared" si="2"/>
        <v>50.715833202221575</v>
      </c>
      <c r="H57" s="53">
        <f t="shared" si="2"/>
        <v>-7.591820598953063</v>
      </c>
      <c r="I57" s="22" t="s">
        <v>109</v>
      </c>
      <c r="J57" s="1"/>
      <c r="K57" s="1"/>
      <c r="L57" s="1"/>
    </row>
    <row r="58" ht="15" customHeight="1">
      <c r="A58" s="1"/>
      <c r="B58" s="1"/>
      <c r="C58" s="1"/>
      <c r="D58" s="1"/>
      <c r="E58" s="1"/>
      <c r="F58" s="1"/>
      <c r="G58" s="1"/>
      <c r="H58" s="32"/>
      <c r="I58" s="1"/>
      <c r="J58" s="1"/>
      <c r="K58" s="1"/>
      <c r="L58" s="1"/>
    </row>
    <row r="59" ht="15" customHeight="1">
      <c r="A59" s="1"/>
      <c r="B59" s="3" t="s">
        <v>110</v>
      </c>
      <c r="C59" s="1"/>
      <c r="D59" s="1"/>
      <c r="E59" s="1"/>
      <c r="F59" s="1"/>
      <c r="G59" s="1"/>
      <c r="H59" s="32"/>
      <c r="I59" s="1"/>
      <c r="J59" s="1"/>
      <c r="K59" s="1"/>
      <c r="L59" s="1"/>
    </row>
    <row r="60" ht="15" customHeight="1">
      <c r="A60" s="1"/>
      <c r="B60" s="30" t="s">
        <v>111</v>
      </c>
      <c r="C60" s="54">
        <v>7665</v>
      </c>
      <c r="D60" s="16">
        <f t="shared" si="17" ref="D60:H60">C72</f>
        <v>7702</v>
      </c>
      <c r="E60" s="54">
        <v>7441</v>
      </c>
      <c r="F60" s="16">
        <f>D72</f>
        <v>7777</v>
      </c>
      <c r="G60" s="16">
        <f t="shared" si="17"/>
        <v>7934</v>
      </c>
      <c r="H60" s="53">
        <f t="shared" si="17"/>
        <v>7971</v>
      </c>
      <c r="I60" s="1"/>
      <c r="J60" s="1"/>
      <c r="K60" s="1"/>
      <c r="L60" s="1"/>
    </row>
    <row r="61" ht="15" customHeight="1">
      <c r="A61" s="1"/>
      <c r="B61" s="30" t="s">
        <v>112</v>
      </c>
      <c r="C61" s="54">
        <v>968</v>
      </c>
      <c r="D61" s="15">
        <f>E61-Inputs!D211</f>
        <v>1005</v>
      </c>
      <c r="E61" s="54">
        <v>3883</v>
      </c>
      <c r="F61" s="54">
        <v>1034</v>
      </c>
      <c r="G61" s="54">
        <v>1083</v>
      </c>
      <c r="H61" s="53">
        <f t="shared" si="18"/>
        <v>1064.8000000000002</v>
      </c>
      <c r="I61" s="1"/>
      <c r="J61" s="1"/>
      <c r="K61" s="1"/>
      <c r="L61" s="1"/>
    </row>
    <row r="62" ht="15" customHeight="1">
      <c r="A62" s="1"/>
      <c r="B62" s="35" t="s">
        <v>72</v>
      </c>
      <c r="C62" s="29">
        <f>C61/Inputs!C165-1</f>
        <v>0.09502262443438925</v>
      </c>
      <c r="D62" s="29">
        <f>D61/(Inputs!E165-Inputs!F211)-1</f>
        <v>0.09239130434782616</v>
      </c>
      <c r="E62" s="29">
        <f>E61/Inputs!E165-1</f>
        <v>0.08981195621667126</v>
      </c>
      <c r="F62" s="29">
        <f>F61/Inputs!F165-1</f>
        <v>0.1251360174102285</v>
      </c>
      <c r="G62" s="29">
        <f>G61/Inputs!G165-1</f>
        <v>0.0928355196770938</v>
      </c>
      <c r="H62" s="48">
        <v>0.1</v>
      </c>
      <c r="I62" s="22" t="s">
        <v>113</v>
      </c>
      <c r="J62" s="1"/>
      <c r="K62" s="1"/>
      <c r="L62" s="1"/>
    </row>
    <row r="63" ht="15" customHeight="1">
      <c r="A63" s="1"/>
      <c r="B63" s="37" t="s">
        <v>114</v>
      </c>
      <c r="C63" s="15">
        <f>C61-Inputs!G165</f>
        <v>-23</v>
      </c>
      <c r="D63" s="16">
        <f t="shared" si="2"/>
        <v>37</v>
      </c>
      <c r="E63" s="16" t="s">
        <v>74</v>
      </c>
      <c r="F63" s="16">
        <f t="shared" si="4"/>
        <v>29</v>
      </c>
      <c r="G63" s="16">
        <f t="shared" si="2"/>
        <v>49</v>
      </c>
      <c r="H63" s="53">
        <f t="shared" si="2"/>
        <v>-18.199999999999818</v>
      </c>
      <c r="I63" s="1"/>
      <c r="J63" s="1"/>
      <c r="K63" s="1"/>
      <c r="L63" s="1"/>
    </row>
    <row r="64" ht="15" customHeight="1">
      <c r="A64" s="1"/>
      <c r="B64" s="30" t="s">
        <v>115</v>
      </c>
      <c r="C64" s="54">
        <v>-896</v>
      </c>
      <c r="D64" s="15">
        <f>E64-Inputs!D212</f>
        <v>-900</v>
      </c>
      <c r="E64" s="54">
        <v>-3414</v>
      </c>
      <c r="F64" s="54">
        <v>-835</v>
      </c>
      <c r="G64" s="54">
        <v>-1013</v>
      </c>
      <c r="H64" s="53">
        <f t="shared" si="18"/>
        <v>-1012.4799999999999</v>
      </c>
      <c r="I64" s="1"/>
      <c r="J64" s="1"/>
      <c r="K64" s="1"/>
      <c r="L64" s="1"/>
    </row>
    <row r="65" ht="15" customHeight="1">
      <c r="A65" s="1"/>
      <c r="B65" s="35" t="s">
        <v>72</v>
      </c>
      <c r="C65" s="29">
        <f>C64/Inputs!C166-1</f>
        <v>0.06413301662707838</v>
      </c>
      <c r="D65" s="29">
        <f>D64/(Inputs!E166-Inputs!F212)-1</f>
        <v>0.09090909090909083</v>
      </c>
      <c r="E65" s="29">
        <f>E64/Inputs!E166-1</f>
        <v>0.08380952380952378</v>
      </c>
      <c r="F65" s="29">
        <f>F64/Inputs!F166-1</f>
        <v>0.14383561643835607</v>
      </c>
      <c r="G65" s="29">
        <f>G64/Inputs!G166-1</f>
        <v>0.14076576576576572</v>
      </c>
      <c r="H65" s="48">
        <v>0.13</v>
      </c>
      <c r="I65" s="22" t="s">
        <v>116</v>
      </c>
      <c r="J65" s="1"/>
      <c r="K65" s="1"/>
      <c r="L65" s="1"/>
    </row>
    <row r="66" ht="15" customHeight="1">
      <c r="A66" s="1"/>
      <c r="B66" s="37" t="s">
        <v>114</v>
      </c>
      <c r="C66" s="15">
        <f>C64-Inputs!G166</f>
        <v>-8</v>
      </c>
      <c r="D66" s="16">
        <f t="shared" si="2"/>
        <v>-4</v>
      </c>
      <c r="E66" s="16" t="s">
        <v>74</v>
      </c>
      <c r="F66" s="16">
        <f t="shared" si="4"/>
        <v>65</v>
      </c>
      <c r="G66" s="16">
        <f t="shared" si="2"/>
        <v>-178</v>
      </c>
      <c r="H66" s="53">
        <f t="shared" si="2"/>
        <v>0.5200000000000955</v>
      </c>
      <c r="I66" s="1"/>
      <c r="J66" s="1"/>
      <c r="K66" s="1"/>
      <c r="L66" s="1"/>
    </row>
    <row r="67" ht="15" customHeight="1">
      <c r="A67" s="1"/>
      <c r="B67" s="30" t="s">
        <v>117</v>
      </c>
      <c r="C67" s="54">
        <v>-36</v>
      </c>
      <c r="D67" s="15">
        <f>E67-Inputs!D213</f>
        <v>-30</v>
      </c>
      <c r="E67" s="54">
        <v>-133</v>
      </c>
      <c r="F67" s="54">
        <v>-42</v>
      </c>
      <c r="G67" s="54">
        <v>-33</v>
      </c>
      <c r="H67" s="55">
        <v>-36</v>
      </c>
      <c r="I67" s="22" t="s">
        <v>118</v>
      </c>
      <c r="J67" s="1"/>
      <c r="K67" s="1"/>
      <c r="L67" s="1"/>
    </row>
    <row r="68" ht="15" customHeight="1">
      <c r="A68" s="1"/>
      <c r="B68" s="35" t="s">
        <v>72</v>
      </c>
      <c r="C68" s="29">
        <f>C67/Inputs!C167-1</f>
        <v>0.5</v>
      </c>
      <c r="D68" s="29">
        <f>D67/Inputs!D167-1</f>
        <v>0.19999999999999996</v>
      </c>
      <c r="E68" s="29">
        <f>E67/Inputs!E167-1</f>
        <v>0.15652173913043477</v>
      </c>
      <c r="F68" s="29">
        <f>F67/Inputs!F167-1</f>
        <v>0.10526315789473695</v>
      </c>
      <c r="G68" s="29">
        <f>G67/Inputs!G167-1</f>
        <v>0.13793103448275867</v>
      </c>
      <c r="H68" s="36">
        <f t="shared" si="3"/>
        <v>0</v>
      </c>
      <c r="I68" s="1"/>
      <c r="J68" s="1"/>
      <c r="K68" s="1"/>
      <c r="L68" s="1"/>
    </row>
    <row r="69" ht="15" customHeight="1">
      <c r="A69" s="1"/>
      <c r="B69" s="37" t="s">
        <v>114</v>
      </c>
      <c r="C69" s="15">
        <f>C67-Inputs!G167</f>
        <v>-7</v>
      </c>
      <c r="D69" s="16">
        <f t="shared" si="2"/>
        <v>6</v>
      </c>
      <c r="E69" s="16" t="s">
        <v>74</v>
      </c>
      <c r="F69" s="16">
        <f t="shared" si="4"/>
        <v>-12</v>
      </c>
      <c r="G69" s="16">
        <f t="shared" si="2"/>
        <v>9</v>
      </c>
      <c r="H69" s="53">
        <f t="shared" si="2"/>
        <v>-3</v>
      </c>
      <c r="I69" s="1"/>
      <c r="J69" s="1"/>
      <c r="K69" s="1"/>
      <c r="L69" s="1"/>
    </row>
    <row r="70" ht="15" customHeight="1">
      <c r="A70" s="1"/>
      <c r="B70" s="49" t="s">
        <v>119</v>
      </c>
      <c r="C70" s="56">
        <f t="shared" si="19" ref="C70:H70">C61+C64+C67</f>
        <v>36</v>
      </c>
      <c r="D70" s="56">
        <f t="shared" si="19"/>
        <v>75</v>
      </c>
      <c r="E70" s="56">
        <f t="shared" si="19"/>
        <v>336</v>
      </c>
      <c r="F70" s="56">
        <f t="shared" si="19"/>
        <v>157</v>
      </c>
      <c r="G70" s="56">
        <f t="shared" si="19"/>
        <v>37</v>
      </c>
      <c r="H70" s="57">
        <f t="shared" si="19"/>
        <v>16.320000000000277</v>
      </c>
      <c r="I70" s="1"/>
      <c r="J70" s="1"/>
      <c r="K70" s="1"/>
      <c r="L70" s="1"/>
    </row>
    <row r="71" ht="15" customHeight="1">
      <c r="A71" s="1"/>
      <c r="B71" s="49" t="s">
        <v>120</v>
      </c>
      <c r="C71" s="56">
        <f t="shared" si="20" ref="C71:H71">C60+C70</f>
        <v>7701</v>
      </c>
      <c r="D71" s="56">
        <f t="shared" si="20"/>
        <v>7777</v>
      </c>
      <c r="E71" s="56">
        <f t="shared" si="20"/>
        <v>7777</v>
      </c>
      <c r="F71" s="56">
        <f t="shared" si="20"/>
        <v>7934</v>
      </c>
      <c r="G71" s="56">
        <f t="shared" si="20"/>
        <v>7971</v>
      </c>
      <c r="H71" s="57">
        <f t="shared" si="20"/>
        <v>7987.320000000001</v>
      </c>
      <c r="I71" s="1"/>
      <c r="J71" s="1"/>
      <c r="K71" s="1"/>
      <c r="L71" s="1"/>
    </row>
    <row r="72" ht="15" customHeight="1">
      <c r="A72" s="1"/>
      <c r="B72" s="30" t="s">
        <v>121</v>
      </c>
      <c r="C72" s="54">
        <v>7702</v>
      </c>
      <c r="D72" s="16">
        <f>E72</f>
        <v>7777</v>
      </c>
      <c r="E72" s="54">
        <v>7777</v>
      </c>
      <c r="F72" s="54">
        <v>7934</v>
      </c>
      <c r="G72" s="54">
        <v>7971</v>
      </c>
      <c r="H72" s="53">
        <f>H71</f>
        <v>7987.320000000001</v>
      </c>
      <c r="I72" s="1" t="s">
        <v>122</v>
      </c>
      <c r="J72" s="1"/>
      <c r="K72" s="1"/>
      <c r="L72" s="1"/>
    </row>
    <row r="73" ht="15" customHeight="1">
      <c r="A73" s="1"/>
      <c r="B73" s="37" t="s">
        <v>123</v>
      </c>
      <c r="C73" s="16">
        <f t="shared" si="21" ref="C73:H73">C71-C72</f>
        <v>-1</v>
      </c>
      <c r="D73" s="16">
        <f t="shared" si="21"/>
        <v>0</v>
      </c>
      <c r="E73" s="16">
        <f t="shared" si="21"/>
        <v>0</v>
      </c>
      <c r="F73" s="16">
        <f t="shared" si="21"/>
        <v>0</v>
      </c>
      <c r="G73" s="16">
        <f t="shared" si="21"/>
        <v>0</v>
      </c>
      <c r="H73" s="53">
        <f t="shared" si="21"/>
        <v>0</v>
      </c>
      <c r="I73" s="1"/>
      <c r="J73" s="1"/>
      <c r="K73" s="1"/>
      <c r="L73" s="1"/>
    </row>
    <row r="74" ht="15" customHeight="1">
      <c r="A74" s="1"/>
      <c r="B74" s="30" t="s">
        <v>124</v>
      </c>
      <c r="C74" s="16">
        <f t="shared" si="22" ref="C74:H74">(C60+C72)/2</f>
        <v>7683.5</v>
      </c>
      <c r="D74" s="16">
        <f t="shared" si="22"/>
        <v>7739.5</v>
      </c>
      <c r="E74" s="16">
        <f t="shared" si="22"/>
        <v>7609</v>
      </c>
      <c r="F74" s="16">
        <f t="shared" si="22"/>
        <v>7855.5</v>
      </c>
      <c r="G74" s="16">
        <f t="shared" si="22"/>
        <v>7952.5</v>
      </c>
      <c r="H74" s="53">
        <f t="shared" si="22"/>
        <v>7979.16</v>
      </c>
      <c r="I74" s="1"/>
      <c r="J74" s="1"/>
      <c r="K74" s="1"/>
      <c r="L74" s="1"/>
    </row>
    <row r="75" ht="25.5" customHeight="1">
      <c r="A75" s="1"/>
      <c r="B75" s="28" t="s">
        <v>125</v>
      </c>
      <c r="C75" s="41">
        <f t="shared" si="23" ref="C75:H75">-C64/C60</f>
        <v>0.11689497716894977</v>
      </c>
      <c r="D75" s="41">
        <f t="shared" si="23"/>
        <v>0.11685276551545053</v>
      </c>
      <c r="E75" s="41">
        <f t="shared" si="23"/>
        <v>0.4588092998252923</v>
      </c>
      <c r="F75" s="41">
        <f t="shared" si="23"/>
        <v>0.10736787964510737</v>
      </c>
      <c r="G75" s="41">
        <f t="shared" si="23"/>
        <v>0.12767834635744896</v>
      </c>
      <c r="H75" s="36">
        <f t="shared" si="23"/>
        <v>0.12702044912808932</v>
      </c>
      <c r="I75" s="18" t="s">
        <v>126</v>
      </c>
      <c r="J75" s="1"/>
      <c r="K75" s="1"/>
      <c r="L75" s="1"/>
    </row>
    <row r="76" ht="15" customHeight="1">
      <c r="A76" s="1"/>
      <c r="B76" s="35" t="s">
        <v>77</v>
      </c>
      <c r="C76" s="44" t="s">
        <v>41</v>
      </c>
      <c r="D76" s="44" t="s">
        <v>41</v>
      </c>
      <c r="E76" s="44" t="s">
        <v>41</v>
      </c>
      <c r="F76" s="44" t="s">
        <v>41</v>
      </c>
      <c r="G76" s="44" t="s">
        <v>41</v>
      </c>
      <c r="H76" s="43">
        <f t="shared" si="24"/>
        <v>101.25471959139557</v>
      </c>
      <c r="I76" s="1"/>
      <c r="J76" s="1"/>
      <c r="K76" s="1"/>
      <c r="L76" s="1"/>
    </row>
    <row r="77" ht="15" customHeight="1">
      <c r="A77" s="1"/>
      <c r="B77" s="35" t="s">
        <v>78</v>
      </c>
      <c r="C77" s="44" t="s">
        <v>41</v>
      </c>
      <c r="D77" s="44">
        <f t="shared" si="6"/>
        <v>-0.42211653499241164</v>
      </c>
      <c r="E77" s="44" t="s">
        <v>74</v>
      </c>
      <c r="F77" s="44">
        <f t="shared" si="25"/>
        <v>-94.84885870343157</v>
      </c>
      <c r="G77" s="44">
        <f t="shared" si="6"/>
        <v>203.10466712341588</v>
      </c>
      <c r="H77" s="43">
        <f t="shared" si="6"/>
        <v>-6.57897229359633</v>
      </c>
      <c r="I77" s="1"/>
      <c r="J77" s="1"/>
      <c r="K77" s="1"/>
      <c r="L77" s="1"/>
    </row>
    <row r="78" ht="15" customHeight="1">
      <c r="A78" s="1"/>
      <c r="B78" s="30" t="s">
        <v>127</v>
      </c>
      <c r="C78" s="58">
        <f t="shared" si="26" ref="C78:H78">C115/C61</f>
        <v>0.8264462809917356</v>
      </c>
      <c r="D78" s="58">
        <f t="shared" si="26"/>
        <v>0.7960199004975125</v>
      </c>
      <c r="E78" s="58">
        <f t="shared" si="26"/>
        <v>0.8241050733968581</v>
      </c>
      <c r="F78" s="58">
        <f t="shared" si="26"/>
        <v>0.8413926499032882</v>
      </c>
      <c r="G78" s="58">
        <f t="shared" si="26"/>
        <v>0.8310249307479224</v>
      </c>
      <c r="H78" s="59">
        <f t="shared" si="26"/>
        <v>0.8414725770097671</v>
      </c>
      <c r="I78" s="1"/>
      <c r="J78" s="1"/>
      <c r="K78" s="1"/>
      <c r="L78" s="1"/>
    </row>
    <row r="79" ht="15" customHeight="1">
      <c r="A79" s="1"/>
      <c r="B79" s="35" t="s">
        <v>72</v>
      </c>
      <c r="C79" s="29">
        <f>C78/(Inputs!C164/Inputs!C165)-1</f>
        <v>0.04368358913813464</v>
      </c>
      <c r="D79" s="29">
        <f>D78/((Inputs!E164-Inputs!F210)/(Inputs!E165-Inputs!F211))-1</f>
        <v>0.04619758351101644</v>
      </c>
      <c r="E79" s="29">
        <f>E78/(Inputs!E164/Inputs!E165)-1</f>
        <v>0.012512543625174288</v>
      </c>
      <c r="F79" s="29">
        <f>F78/(Inputs!F164/Inputs!F165)-1</f>
        <v>-0.0009821120657339533</v>
      </c>
      <c r="G79" s="29">
        <f>G78/(Inputs!G164/Inputs!G165)-1</f>
        <v>0.029432132963988833</v>
      </c>
      <c r="H79" s="36">
        <f t="shared" si="3"/>
        <v>0.018181818181818077</v>
      </c>
      <c r="I79" s="1"/>
      <c r="J79" s="1"/>
      <c r="K79" s="1"/>
      <c r="L79" s="1"/>
    </row>
    <row r="80" ht="15" customHeight="1">
      <c r="A80" s="1"/>
      <c r="B80" s="37" t="s">
        <v>128</v>
      </c>
      <c r="C80" s="60">
        <f>C78-Inputs!G164/Inputs!G165</f>
        <v>0.019180892495267332</v>
      </c>
      <c r="D80" s="58">
        <f t="shared" si="2"/>
        <v>-0.030426380494223082</v>
      </c>
      <c r="E80" s="58" t="s">
        <v>74</v>
      </c>
      <c r="F80" s="58">
        <f t="shared" si="4"/>
        <v>0.045372749405775736</v>
      </c>
      <c r="G80" s="58">
        <f t="shared" si="2"/>
        <v>-0.010367719155365829</v>
      </c>
      <c r="H80" s="59">
        <f t="shared" si="2"/>
        <v>0.01044764626184469</v>
      </c>
      <c r="I80" s="1"/>
      <c r="J80" s="1"/>
      <c r="K80" s="1"/>
      <c r="L80" s="1"/>
    </row>
    <row r="81" ht="38.25" customHeight="1">
      <c r="A81" s="1"/>
      <c r="B81" s="1" t="s">
        <v>129</v>
      </c>
      <c r="C81" s="25" t="b">
        <f>ABS(C72-'Balance Sheet'!C28-'Balance Sheet'!C35)&lt;=2</f>
        <v>1</v>
      </c>
      <c r="D81" s="25" t="b">
        <f>ABS(D72-'Balance Sheet'!D28-'Balance Sheet'!D35)&lt;=2</f>
        <v>1</v>
      </c>
      <c r="E81" s="25" t="b">
        <f>ABS(E72-'Balance Sheet'!E28-'Balance Sheet'!E35)&lt;=2</f>
        <v>1</v>
      </c>
      <c r="F81" s="25" t="b">
        <f>ABS(F72-'Balance Sheet'!F28-'Balance Sheet'!F35)&lt;=2</f>
        <v>1</v>
      </c>
      <c r="G81" s="25" t="b">
        <f>ABS(G72-'Balance Sheet'!G28-'Balance Sheet'!G35)&lt;=2</f>
        <v>1</v>
      </c>
      <c r="H81" s="61" t="b">
        <f>ABS(H72-'Balance Sheet'!H28-'Balance Sheet'!H35)&lt;=2</f>
        <v>1</v>
      </c>
      <c r="I81" s="18" t="s">
        <v>130</v>
      </c>
      <c r="J81" s="1"/>
      <c r="K81" s="1"/>
      <c r="L81" s="1"/>
    </row>
    <row r="82" ht="15" customHeight="1">
      <c r="A82" s="1"/>
      <c r="B82" s="1"/>
      <c r="C82" s="1"/>
      <c r="D82" s="1"/>
      <c r="E82" s="1"/>
      <c r="F82" s="1"/>
      <c r="G82" s="1"/>
      <c r="H82" s="32"/>
      <c r="I82" s="1"/>
      <c r="J82" s="1"/>
      <c r="K82" s="1"/>
      <c r="L82" s="1"/>
    </row>
    <row r="83" ht="15" customHeight="1">
      <c r="A83" s="1"/>
      <c r="B83" s="3" t="s">
        <v>131</v>
      </c>
      <c r="C83" s="1"/>
      <c r="D83" s="1"/>
      <c r="E83" s="1"/>
      <c r="F83" s="1"/>
      <c r="G83" s="1"/>
      <c r="H83" s="32"/>
      <c r="I83" s="1"/>
      <c r="J83" s="1"/>
      <c r="K83" s="1"/>
      <c r="L83" s="1"/>
    </row>
    <row r="84" ht="15" customHeight="1">
      <c r="A84" s="1"/>
      <c r="B84" s="37" t="s">
        <v>132</v>
      </c>
      <c r="C84" s="16">
        <f t="shared" si="27" ref="C84:H84">C101-C91</f>
        <v>12515</v>
      </c>
      <c r="D84" s="16">
        <f t="shared" si="27"/>
        <v>12626</v>
      </c>
      <c r="E84" s="16">
        <f t="shared" si="27"/>
        <v>48638</v>
      </c>
      <c r="F84" s="16">
        <f t="shared" si="27"/>
        <v>11966</v>
      </c>
      <c r="G84" s="16">
        <f t="shared" si="27"/>
        <v>14700</v>
      </c>
      <c r="H84" s="53">
        <f t="shared" si="27"/>
        <v>14864.0434668</v>
      </c>
      <c r="I84" s="22" t="s">
        <v>133</v>
      </c>
      <c r="J84" s="1"/>
      <c r="K84" s="1"/>
      <c r="L84" s="1"/>
    </row>
    <row r="85" ht="15" customHeight="1">
      <c r="A85" s="1"/>
      <c r="B85" s="35" t="s">
        <v>134</v>
      </c>
      <c r="C85" s="29">
        <f>C84/(Inputs!C119-Inputs!C163)-1</f>
        <v>0.004333520584222761</v>
      </c>
      <c r="D85" s="29">
        <f>D84/(Inputs!D119-(Inputs!E163-Inputs!F209))-1</f>
        <v>0.045631469979296124</v>
      </c>
      <c r="E85" s="29">
        <f>E84/(Inputs!E119-Inputs!E163)-1</f>
        <v>0.027657461598596944</v>
      </c>
      <c r="F85" s="29">
        <f>F84/(Inputs!F119-Inputs!F163)-1</f>
        <v>0.10184162062615099</v>
      </c>
      <c r="G85" s="29">
        <f>G84/(Inputs!G119-Inputs!G163)-1</f>
        <v>0.1633428300094968</v>
      </c>
      <c r="H85" s="36">
        <f t="shared" si="3"/>
        <v>0.18769823945665198</v>
      </c>
      <c r="I85" s="1"/>
      <c r="J85" s="1"/>
      <c r="K85" s="1"/>
      <c r="L85" s="1"/>
    </row>
    <row r="86" ht="15" customHeight="1">
      <c r="A86" s="1"/>
      <c r="B86" s="35" t="s">
        <v>135</v>
      </c>
      <c r="C86" s="29">
        <f>C84/(Inputs!G119-Inputs!G163)-1</f>
        <v>-0.009575815131370735</v>
      </c>
      <c r="D86" s="41">
        <f t="shared" si="28" ref="D86:H138">D84/C84-1</f>
        <v>0.008869356771873838</v>
      </c>
      <c r="E86" s="41" t="s">
        <v>74</v>
      </c>
      <c r="F86" s="41">
        <f t="shared" si="30" ref="F86:F138">F84/D84-1</f>
        <v>-0.0522730872802154</v>
      </c>
      <c r="G86" s="41">
        <f t="shared" si="28"/>
        <v>0.22848069530335957</v>
      </c>
      <c r="H86" s="36">
        <f t="shared" si="28"/>
        <v>0.01115941951020405</v>
      </c>
      <c r="I86" s="1"/>
      <c r="J86" s="1"/>
      <c r="K86" s="1"/>
      <c r="L86" s="1"/>
    </row>
    <row r="87" ht="15" customHeight="1">
      <c r="A87" s="1"/>
      <c r="B87" s="35" t="s">
        <v>136</v>
      </c>
      <c r="C87" s="41">
        <f t="shared" si="29" ref="C87:H87">C84/C136</f>
        <v>0.8220032840722495</v>
      </c>
      <c r="D87" s="41">
        <f t="shared" si="29"/>
        <v>0.8200298759498603</v>
      </c>
      <c r="E87" s="41">
        <f t="shared" si="29"/>
        <v>0.8233959708820044</v>
      </c>
      <c r="F87" s="41">
        <f t="shared" si="29"/>
        <v>0.8191401971522454</v>
      </c>
      <c r="G87" s="41">
        <f t="shared" si="29"/>
        <v>0.8318243549117248</v>
      </c>
      <c r="H87" s="36">
        <f t="shared" si="29"/>
        <v>0.8301114988023475</v>
      </c>
      <c r="I87" s="1"/>
      <c r="J87" s="1"/>
      <c r="K87" s="1"/>
      <c r="L87" s="1"/>
    </row>
    <row r="88" ht="25.5" customHeight="1">
      <c r="A88" s="1"/>
      <c r="B88" s="37" t="s">
        <v>137</v>
      </c>
      <c r="C88" s="62" t="s">
        <v>138</v>
      </c>
      <c r="D88" s="62" t="s">
        <v>138</v>
      </c>
      <c r="E88" s="62" t="s">
        <v>138</v>
      </c>
      <c r="F88" s="62" t="s">
        <v>138</v>
      </c>
      <c r="G88" s="62" t="s">
        <v>138</v>
      </c>
      <c r="H88" s="63" t="s">
        <v>138</v>
      </c>
      <c r="I88" s="18" t="s">
        <v>139</v>
      </c>
      <c r="J88" s="1"/>
      <c r="K88" s="1"/>
      <c r="L88" s="1"/>
    </row>
    <row r="89" ht="15" customHeight="1">
      <c r="A89" s="1"/>
      <c r="B89" s="37" t="s">
        <v>140</v>
      </c>
      <c r="C89" s="62" t="s">
        <v>138</v>
      </c>
      <c r="D89" s="62" t="s">
        <v>138</v>
      </c>
      <c r="E89" s="62" t="s">
        <v>138</v>
      </c>
      <c r="F89" s="62" t="s">
        <v>138</v>
      </c>
      <c r="G89" s="62" t="s">
        <v>138</v>
      </c>
      <c r="H89" s="63" t="s">
        <v>138</v>
      </c>
      <c r="I89" s="1"/>
      <c r="J89" s="1"/>
      <c r="K89" s="1"/>
      <c r="L89" s="1"/>
    </row>
    <row r="90" ht="15" customHeight="1">
      <c r="A90" s="1"/>
      <c r="B90" s="37" t="s">
        <v>141</v>
      </c>
      <c r="C90" s="62" t="s">
        <v>138</v>
      </c>
      <c r="D90" s="62" t="s">
        <v>138</v>
      </c>
      <c r="E90" s="62" t="s">
        <v>138</v>
      </c>
      <c r="F90" s="62" t="s">
        <v>138</v>
      </c>
      <c r="G90" s="62" t="s">
        <v>138</v>
      </c>
      <c r="H90" s="63" t="s">
        <v>138</v>
      </c>
      <c r="I90" s="1"/>
      <c r="J90" s="1"/>
      <c r="K90" s="1"/>
      <c r="L90" s="1"/>
    </row>
    <row r="91" ht="15" customHeight="1">
      <c r="A91" s="1"/>
      <c r="B91" s="37" t="s">
        <v>142</v>
      </c>
      <c r="C91" s="54">
        <v>1300</v>
      </c>
      <c r="D91" s="15">
        <f>E91-Inputs!D209</f>
        <v>1300</v>
      </c>
      <c r="E91" s="54">
        <v>4800</v>
      </c>
      <c r="F91" s="54">
        <v>1200</v>
      </c>
      <c r="G91" s="54">
        <v>1400</v>
      </c>
      <c r="H91" s="53">
        <f>H98*H101</f>
        <v>1434.2498082</v>
      </c>
      <c r="I91" s="22" t="s">
        <v>143</v>
      </c>
      <c r="J91" s="1"/>
      <c r="K91" s="1"/>
      <c r="L91" s="1"/>
    </row>
    <row r="92" ht="15" customHeight="1">
      <c r="A92" s="1"/>
      <c r="B92" s="35" t="s">
        <v>134</v>
      </c>
      <c r="C92" s="29">
        <f>C91/Inputs!C163-1</f>
        <v>0.18181818181818188</v>
      </c>
      <c r="D92" s="29">
        <f>D91/(Inputs!E163-Inputs!F209)-1</f>
        <v>0.08333333333333326</v>
      </c>
      <c r="E92" s="29">
        <f>E91/Inputs!E163-1</f>
        <v>0.06666666666666665</v>
      </c>
      <c r="F92" s="29">
        <f>F91/Inputs!F163-1</f>
        <v>0.19999999999999996</v>
      </c>
      <c r="G92" s="29">
        <f>G91/Inputs!G163-1</f>
        <v>0.16666666666666674</v>
      </c>
      <c r="H92" s="36">
        <f t="shared" si="3"/>
        <v>0.10326908323076922</v>
      </c>
      <c r="I92" s="1"/>
      <c r="J92" s="1"/>
      <c r="K92" s="1"/>
      <c r="L92" s="1"/>
    </row>
    <row r="93" ht="15" customHeight="1">
      <c r="A93" s="1"/>
      <c r="B93" s="35" t="s">
        <v>135</v>
      </c>
      <c r="C93" s="29">
        <f>C91/Inputs!G163-1</f>
        <v>0.08333333333333326</v>
      </c>
      <c r="D93" s="41">
        <f t="shared" si="28"/>
        <v>0</v>
      </c>
      <c r="E93" s="41" t="s">
        <v>74</v>
      </c>
      <c r="F93" s="41">
        <f t="shared" si="30"/>
        <v>-0.07692307692307687</v>
      </c>
      <c r="G93" s="41">
        <f t="shared" si="28"/>
        <v>0.16666666666666674</v>
      </c>
      <c r="H93" s="36">
        <f t="shared" si="28"/>
        <v>0.024464148714285594</v>
      </c>
      <c r="I93" s="1"/>
      <c r="J93" s="1"/>
      <c r="K93" s="1"/>
      <c r="L93" s="1"/>
    </row>
    <row r="94" ht="15" customHeight="1">
      <c r="A94" s="1"/>
      <c r="B94" s="35" t="s">
        <v>136</v>
      </c>
      <c r="C94" s="41">
        <f t="shared" si="31" ref="C94:H94">C91/C136</f>
        <v>0.08538587848932677</v>
      </c>
      <c r="D94" s="41">
        <f t="shared" si="31"/>
        <v>0.08443203221406767</v>
      </c>
      <c r="E94" s="41">
        <f t="shared" si="31"/>
        <v>0.08125952260030472</v>
      </c>
      <c r="F94" s="41">
        <f t="shared" si="31"/>
        <v>0.08214676889375684</v>
      </c>
      <c r="G94" s="41">
        <f t="shared" si="31"/>
        <v>0.07922136713444998</v>
      </c>
      <c r="H94" s="36">
        <f t="shared" si="31"/>
        <v>0.08009847795461247</v>
      </c>
      <c r="I94" s="1"/>
      <c r="J94" s="1"/>
      <c r="K94" s="1"/>
      <c r="L94" s="1"/>
    </row>
    <row r="95" ht="25.5" customHeight="1">
      <c r="A95" s="1"/>
      <c r="B95" s="37" t="s">
        <v>137</v>
      </c>
      <c r="C95" s="62" t="s">
        <v>138</v>
      </c>
      <c r="D95" s="62" t="s">
        <v>138</v>
      </c>
      <c r="E95" s="62" t="s">
        <v>138</v>
      </c>
      <c r="F95" s="62" t="s">
        <v>138</v>
      </c>
      <c r="G95" s="62" t="s">
        <v>138</v>
      </c>
      <c r="H95" s="63" t="s">
        <v>138</v>
      </c>
      <c r="I95" s="18" t="s">
        <v>139</v>
      </c>
      <c r="J95" s="1"/>
      <c r="K95" s="1"/>
      <c r="L95" s="1"/>
    </row>
    <row r="96" ht="15" customHeight="1">
      <c r="A96" s="1"/>
      <c r="B96" s="37" t="s">
        <v>140</v>
      </c>
      <c r="C96" s="62" t="s">
        <v>138</v>
      </c>
      <c r="D96" s="62" t="s">
        <v>138</v>
      </c>
      <c r="E96" s="62" t="s">
        <v>138</v>
      </c>
      <c r="F96" s="62" t="s">
        <v>138</v>
      </c>
      <c r="G96" s="62" t="s">
        <v>138</v>
      </c>
      <c r="H96" s="63" t="s">
        <v>138</v>
      </c>
      <c r="I96" s="1"/>
      <c r="J96" s="1"/>
      <c r="K96" s="1"/>
      <c r="L96" s="1"/>
    </row>
    <row r="97" ht="15" customHeight="1">
      <c r="A97" s="1"/>
      <c r="B97" s="37" t="s">
        <v>141</v>
      </c>
      <c r="C97" s="62" t="s">
        <v>138</v>
      </c>
      <c r="D97" s="62" t="s">
        <v>138</v>
      </c>
      <c r="E97" s="62" t="s">
        <v>138</v>
      </c>
      <c r="F97" s="62" t="s">
        <v>138</v>
      </c>
      <c r="G97" s="62" t="s">
        <v>138</v>
      </c>
      <c r="H97" s="63" t="s">
        <v>138</v>
      </c>
      <c r="I97" s="1"/>
      <c r="J97" s="1"/>
      <c r="K97" s="1"/>
      <c r="L97" s="1"/>
    </row>
    <row r="98" ht="15" customHeight="1">
      <c r="A98" s="1"/>
      <c r="B98" s="35" t="s">
        <v>144</v>
      </c>
      <c r="C98" s="41">
        <f t="shared" si="32" ref="C98:G98">C91/C101</f>
        <v>0.09410061527325371</v>
      </c>
      <c r="D98" s="41">
        <f t="shared" si="32"/>
        <v>0.09335056728421658</v>
      </c>
      <c r="E98" s="41">
        <f t="shared" si="32"/>
        <v>0.08982372094764025</v>
      </c>
      <c r="F98" s="41">
        <f t="shared" si="32"/>
        <v>0.0911438553850828</v>
      </c>
      <c r="G98" s="41">
        <f t="shared" si="32"/>
        <v>0.08695652173913043</v>
      </c>
      <c r="H98" s="48">
        <v>0.088</v>
      </c>
      <c r="I98" s="22" t="s">
        <v>145</v>
      </c>
      <c r="J98" s="1"/>
      <c r="K98" s="1"/>
      <c r="L98" s="1"/>
    </row>
    <row r="99" ht="15" customHeight="1">
      <c r="A99" s="1"/>
      <c r="B99" s="64" t="s">
        <v>77</v>
      </c>
      <c r="C99" s="42">
        <f>(C98-Inputs!C163/Inputs!C119)*10000</f>
        <v>129.85653249804108</v>
      </c>
      <c r="D99" s="42">
        <f>(D98-(Inputs!E163-Inputs!F209)/Inputs!D119)*10000</f>
        <v>29.55087058227876</v>
      </c>
      <c r="E99" s="42">
        <f>(E98-Inputs!E163/Inputs!E119)*10000</f>
        <v>29.997420941026558</v>
      </c>
      <c r="F99" s="42">
        <f>(F98-Inputs!F163/Inputs!F119)*10000</f>
        <v>68.26823344610614</v>
      </c>
      <c r="G99" s="42">
        <f>(G98-Inputs!G163/Inputs!G119)*10000</f>
        <v>2.2625287529695615</v>
      </c>
      <c r="H99" s="43">
        <f t="shared" si="24"/>
        <v>-61.00615273253715</v>
      </c>
      <c r="I99" s="1"/>
      <c r="J99" s="1"/>
      <c r="K99" s="1"/>
      <c r="L99" s="1"/>
    </row>
    <row r="100" ht="15" customHeight="1">
      <c r="A100" s="1"/>
      <c r="B100" s="64" t="s">
        <v>78</v>
      </c>
      <c r="C100" s="42">
        <f>(C98-Inputs!G163/Inputs!G119)*10000</f>
        <v>73.70346409420233</v>
      </c>
      <c r="D100" s="44">
        <f t="shared" si="6"/>
        <v>-7.500479890371336</v>
      </c>
      <c r="E100" s="44" t="s">
        <v>74</v>
      </c>
      <c r="F100" s="44">
        <f t="shared" si="25"/>
        <v>-22.067118991337814</v>
      </c>
      <c r="G100" s="44">
        <f t="shared" si="6"/>
        <v>-41.87333645952363</v>
      </c>
      <c r="H100" s="43">
        <f t="shared" si="6"/>
        <v>10.434782608695626</v>
      </c>
      <c r="I100" s="1"/>
      <c r="J100" s="1"/>
      <c r="K100" s="1"/>
      <c r="L100" s="1"/>
    </row>
    <row r="101" ht="15" customHeight="1">
      <c r="A101" s="1"/>
      <c r="B101" s="49" t="s">
        <v>146</v>
      </c>
      <c r="C101" s="65">
        <v>13815</v>
      </c>
      <c r="D101" s="65">
        <v>13926</v>
      </c>
      <c r="E101" s="65">
        <v>53438</v>
      </c>
      <c r="F101" s="65">
        <v>13166</v>
      </c>
      <c r="G101" s="65">
        <v>16100</v>
      </c>
      <c r="H101" s="66">
        <f>Geo!H172</f>
        <v>16298.293275</v>
      </c>
      <c r="I101" s="1"/>
      <c r="J101" s="1"/>
      <c r="K101" s="1"/>
      <c r="L101" s="1"/>
    </row>
    <row r="102" ht="15" customHeight="1">
      <c r="A102" s="1"/>
      <c r="B102" s="35" t="s">
        <v>134</v>
      </c>
      <c r="C102" s="29">
        <f>C101/Inputs!C119-1</f>
        <v>0.01873018213996014</v>
      </c>
      <c r="D102" s="29">
        <f>D101/Inputs!D119-1</f>
        <v>0.04903954802259891</v>
      </c>
      <c r="E102" s="29">
        <f>E101/Inputs!E119-1</f>
        <v>0.031044395994520357</v>
      </c>
      <c r="F102" s="29">
        <f>F101/Inputs!F119-1</f>
        <v>0.11011804384485657</v>
      </c>
      <c r="G102" s="29">
        <f>G101/Inputs!G119-1</f>
        <v>0.16363110725643248</v>
      </c>
      <c r="H102" s="36">
        <f t="shared" si="3"/>
        <v>0.17975340390879468</v>
      </c>
      <c r="I102" s="1"/>
      <c r="J102" s="1"/>
      <c r="K102" s="1"/>
      <c r="L102" s="1"/>
    </row>
    <row r="103" ht="15" customHeight="1">
      <c r="A103" s="1"/>
      <c r="B103" s="35" t="s">
        <v>135</v>
      </c>
      <c r="C103" s="29">
        <f>C101/Inputs!G119-1</f>
        <v>-0.0015177797051171282</v>
      </c>
      <c r="D103" s="41">
        <f t="shared" si="28"/>
        <v>0.008034744842562391</v>
      </c>
      <c r="E103" s="41" t="s">
        <v>74</v>
      </c>
      <c r="F103" s="41">
        <f t="shared" si="30"/>
        <v>-0.05457417779692664</v>
      </c>
      <c r="G103" s="41">
        <f t="shared" si="28"/>
        <v>0.22284672641652747</v>
      </c>
      <c r="H103" s="36">
        <f t="shared" si="28"/>
        <v>0.012316352484472048</v>
      </c>
      <c r="I103" s="1"/>
      <c r="J103" s="1"/>
      <c r="K103" s="1"/>
      <c r="L103" s="1"/>
    </row>
    <row r="104" ht="15" customHeight="1">
      <c r="A104" s="1"/>
      <c r="B104" s="35" t="s">
        <v>136</v>
      </c>
      <c r="C104" s="41">
        <f t="shared" si="33" ref="C104:H104">C101/C136</f>
        <v>0.9073891625615763</v>
      </c>
      <c r="D104" s="41">
        <f t="shared" si="33"/>
        <v>0.904461908163928</v>
      </c>
      <c r="E104" s="41">
        <f t="shared" si="33"/>
        <v>0.9046554934823091</v>
      </c>
      <c r="F104" s="41">
        <f t="shared" si="33"/>
        <v>0.9012869660460022</v>
      </c>
      <c r="G104" s="41">
        <f t="shared" si="33"/>
        <v>0.9110457220461747</v>
      </c>
      <c r="H104" s="36">
        <f t="shared" si="33"/>
        <v>0.9102099767569599</v>
      </c>
      <c r="I104" s="1"/>
      <c r="J104" s="1"/>
      <c r="K104" s="1"/>
      <c r="L104" s="1"/>
    </row>
    <row r="105" ht="25.5" customHeight="1">
      <c r="A105" s="1"/>
      <c r="B105" s="37" t="s">
        <v>137</v>
      </c>
      <c r="C105" s="62" t="s">
        <v>138</v>
      </c>
      <c r="D105" s="62" t="s">
        <v>138</v>
      </c>
      <c r="E105" s="62" t="s">
        <v>138</v>
      </c>
      <c r="F105" s="62" t="s">
        <v>138</v>
      </c>
      <c r="G105" s="62" t="s">
        <v>138</v>
      </c>
      <c r="H105" s="63" t="s">
        <v>138</v>
      </c>
      <c r="I105" s="18" t="s">
        <v>139</v>
      </c>
      <c r="J105" s="1"/>
      <c r="K105" s="1"/>
      <c r="L105" s="1"/>
    </row>
    <row r="106" ht="15" customHeight="1">
      <c r="A106" s="1"/>
      <c r="B106" s="37" t="s">
        <v>140</v>
      </c>
      <c r="C106" s="62" t="s">
        <v>138</v>
      </c>
      <c r="D106" s="62" t="s">
        <v>138</v>
      </c>
      <c r="E106" s="62" t="s">
        <v>138</v>
      </c>
      <c r="F106" s="62" t="s">
        <v>138</v>
      </c>
      <c r="G106" s="62" t="s">
        <v>138</v>
      </c>
      <c r="H106" s="63" t="s">
        <v>138</v>
      </c>
      <c r="I106" s="1"/>
      <c r="J106" s="1"/>
      <c r="K106" s="1"/>
      <c r="L106" s="1"/>
    </row>
    <row r="107" ht="15" customHeight="1">
      <c r="A107" s="1"/>
      <c r="B107" s="37" t="s">
        <v>141</v>
      </c>
      <c r="C107" s="62" t="s">
        <v>138</v>
      </c>
      <c r="D107" s="62" t="s">
        <v>138</v>
      </c>
      <c r="E107" s="62" t="s">
        <v>138</v>
      </c>
      <c r="F107" s="62" t="s">
        <v>138</v>
      </c>
      <c r="G107" s="62" t="s">
        <v>138</v>
      </c>
      <c r="H107" s="63" t="s">
        <v>138</v>
      </c>
      <c r="I107" s="1"/>
      <c r="J107" s="1"/>
      <c r="K107" s="1"/>
      <c r="L107" s="1"/>
    </row>
    <row r="108" ht="15" customHeight="1">
      <c r="A108" s="1"/>
      <c r="B108" s="30" t="s">
        <v>147</v>
      </c>
      <c r="C108" s="54">
        <v>431</v>
      </c>
      <c r="D108" s="54">
        <v>490</v>
      </c>
      <c r="E108" s="54">
        <v>1779</v>
      </c>
      <c r="F108" s="54">
        <v>422</v>
      </c>
      <c r="G108" s="54">
        <v>527</v>
      </c>
      <c r="H108" s="53">
        <f>H38*H41/100</f>
        <v>523.8374</v>
      </c>
      <c r="I108" s="1"/>
      <c r="J108" s="1"/>
      <c r="K108" s="1"/>
      <c r="L108" s="1"/>
    </row>
    <row r="109" ht="15" customHeight="1">
      <c r="A109" s="1"/>
      <c r="B109" s="35" t="s">
        <v>134</v>
      </c>
      <c r="C109" s="29">
        <f>C108/Inputs!C120-1</f>
        <v>0.033573141486810565</v>
      </c>
      <c r="D109" s="29">
        <f>D108/Inputs!D120-1</f>
        <v>-0.05950095969289826</v>
      </c>
      <c r="E109" s="29">
        <f>E108/Inputs!E120-1</f>
        <v>0.0206540447504302</v>
      </c>
      <c r="F109" s="29">
        <f>F108/Inputs!F120-1</f>
        <v>-0.01631701631701632</v>
      </c>
      <c r="G109" s="29">
        <f>G108/Inputs!G120-1</f>
        <v>0.22558139534883725</v>
      </c>
      <c r="H109" s="36">
        <f t="shared" si="3"/>
        <v>0.21540000000000004</v>
      </c>
      <c r="I109" s="1"/>
      <c r="J109" s="1"/>
      <c r="K109" s="1"/>
      <c r="L109" s="1"/>
    </row>
    <row r="110" ht="15" customHeight="1">
      <c r="A110" s="1"/>
      <c r="B110" s="35" t="s">
        <v>135</v>
      </c>
      <c r="C110" s="29">
        <f>C108/Inputs!G120-1</f>
        <v>0.0023255813953488857</v>
      </c>
      <c r="D110" s="41">
        <f t="shared" si="28"/>
        <v>0.13689095127610207</v>
      </c>
      <c r="E110" s="41" t="s">
        <v>74</v>
      </c>
      <c r="F110" s="41">
        <f t="shared" si="30"/>
        <v>-0.13877551020408163</v>
      </c>
      <c r="G110" s="41">
        <f t="shared" si="28"/>
        <v>0.2488151658767772</v>
      </c>
      <c r="H110" s="36">
        <f t="shared" si="28"/>
        <v>-0.006001138519924121</v>
      </c>
      <c r="I110" s="1"/>
      <c r="J110" s="1"/>
      <c r="K110" s="1"/>
      <c r="L110" s="1"/>
    </row>
    <row r="111" ht="15" customHeight="1">
      <c r="A111" s="1"/>
      <c r="B111" s="35" t="s">
        <v>136</v>
      </c>
      <c r="C111" s="41">
        <f t="shared" si="34" ref="C111:H111">C108/C136</f>
        <v>0.028308702791461412</v>
      </c>
      <c r="D111" s="41">
        <f t="shared" si="34"/>
        <v>0.03182438137299474</v>
      </c>
      <c r="E111" s="41">
        <f t="shared" si="34"/>
        <v>0.03011681056373794</v>
      </c>
      <c r="F111" s="41">
        <f t="shared" si="34"/>
        <v>0.02888828039430449</v>
      </c>
      <c r="G111" s="41">
        <f t="shared" si="34"/>
        <v>0.029821186057039383</v>
      </c>
      <c r="H111" s="36">
        <f t="shared" si="34"/>
        <v>0.029254721315500828</v>
      </c>
      <c r="I111" s="1"/>
      <c r="J111" s="1"/>
      <c r="K111" s="1"/>
      <c r="L111" s="1"/>
    </row>
    <row r="112" ht="25.5" customHeight="1">
      <c r="A112" s="1"/>
      <c r="B112" s="37" t="s">
        <v>137</v>
      </c>
      <c r="C112" s="62" t="s">
        <v>138</v>
      </c>
      <c r="D112" s="62" t="s">
        <v>138</v>
      </c>
      <c r="E112" s="62" t="s">
        <v>138</v>
      </c>
      <c r="F112" s="62" t="s">
        <v>138</v>
      </c>
      <c r="G112" s="62" t="s">
        <v>138</v>
      </c>
      <c r="H112" s="63" t="s">
        <v>138</v>
      </c>
      <c r="I112" s="18" t="s">
        <v>139</v>
      </c>
      <c r="J112" s="1"/>
      <c r="K112" s="1"/>
      <c r="L112" s="1"/>
    </row>
    <row r="113" ht="15" customHeight="1">
      <c r="A113" s="1"/>
      <c r="B113" s="37" t="s">
        <v>140</v>
      </c>
      <c r="C113" s="62" t="s">
        <v>138</v>
      </c>
      <c r="D113" s="62" t="s">
        <v>138</v>
      </c>
      <c r="E113" s="62" t="s">
        <v>138</v>
      </c>
      <c r="F113" s="62" t="s">
        <v>138</v>
      </c>
      <c r="G113" s="62" t="s">
        <v>138</v>
      </c>
      <c r="H113" s="63" t="s">
        <v>138</v>
      </c>
      <c r="I113" s="1"/>
      <c r="J113" s="1"/>
      <c r="K113" s="1"/>
      <c r="L113" s="1"/>
    </row>
    <row r="114" ht="15" customHeight="1">
      <c r="A114" s="1"/>
      <c r="B114" s="37" t="s">
        <v>141</v>
      </c>
      <c r="C114" s="62" t="s">
        <v>138</v>
      </c>
      <c r="D114" s="62" t="s">
        <v>138</v>
      </c>
      <c r="E114" s="62" t="s">
        <v>138</v>
      </c>
      <c r="F114" s="62" t="s">
        <v>138</v>
      </c>
      <c r="G114" s="62" t="s">
        <v>138</v>
      </c>
      <c r="H114" s="63" t="s">
        <v>138</v>
      </c>
      <c r="I114" s="1"/>
      <c r="J114" s="1"/>
      <c r="K114" s="1"/>
      <c r="L114" s="1"/>
    </row>
    <row r="115" ht="25.5" customHeight="1">
      <c r="A115" s="1"/>
      <c r="B115" s="37" t="s">
        <v>148</v>
      </c>
      <c r="C115" s="54">
        <v>800</v>
      </c>
      <c r="D115" s="15">
        <f>E115-Inputs!D210</f>
        <v>800</v>
      </c>
      <c r="E115" s="54">
        <v>3200</v>
      </c>
      <c r="F115" s="54">
        <v>870</v>
      </c>
      <c r="G115" s="54">
        <v>900</v>
      </c>
      <c r="H115" s="53">
        <f t="shared" si="18"/>
        <v>896.0000000000001</v>
      </c>
      <c r="I115" s="18" t="s">
        <v>149</v>
      </c>
      <c r="J115" s="1"/>
      <c r="K115" s="1"/>
      <c r="L115" s="1"/>
    </row>
    <row r="116" ht="25.5" customHeight="1">
      <c r="A116" s="1"/>
      <c r="B116" s="35" t="s">
        <v>134</v>
      </c>
      <c r="C116" s="29">
        <f>C115/Inputs!C164-1</f>
        <v>0.1428571428571428</v>
      </c>
      <c r="D116" s="29">
        <f>D115/(Inputs!E164-Inputs!F210)-1</f>
        <v>0.1428571428571428</v>
      </c>
      <c r="E116" s="29">
        <f>E115/Inputs!E164-1</f>
        <v>0.10344827586206895</v>
      </c>
      <c r="F116" s="29">
        <f>F115/Inputs!F164-1</f>
        <v>0.12403100775193798</v>
      </c>
      <c r="G116" s="29">
        <f>G115/Inputs!G164-1</f>
        <v>0.125</v>
      </c>
      <c r="H116" s="48">
        <v>0.12</v>
      </c>
      <c r="I116" s="18" t="s">
        <v>150</v>
      </c>
      <c r="J116" s="1"/>
      <c r="K116" s="1"/>
      <c r="L116" s="1"/>
    </row>
    <row r="117" ht="15" customHeight="1">
      <c r="A117" s="1"/>
      <c r="B117" s="35" t="s">
        <v>135</v>
      </c>
      <c r="C117" s="29">
        <f>C115/Inputs!G164-1</f>
        <v>0</v>
      </c>
      <c r="D117" s="41">
        <f t="shared" si="28"/>
        <v>0</v>
      </c>
      <c r="E117" s="41" t="s">
        <v>74</v>
      </c>
      <c r="F117" s="41">
        <f t="shared" si="30"/>
        <v>0.08749999999999991</v>
      </c>
      <c r="G117" s="41">
        <f t="shared" si="28"/>
        <v>0.034482758620689724</v>
      </c>
      <c r="H117" s="36">
        <f t="shared" si="28"/>
        <v>-0.004444444444444362</v>
      </c>
      <c r="I117" s="1"/>
      <c r="J117" s="1"/>
      <c r="K117" s="1"/>
      <c r="L117" s="1"/>
    </row>
    <row r="118" ht="15" customHeight="1">
      <c r="A118" s="1"/>
      <c r="B118" s="35" t="s">
        <v>136</v>
      </c>
      <c r="C118" s="41">
        <f t="shared" si="35" ref="C118:H118">C115/C136</f>
        <v>0.052545155993431854</v>
      </c>
      <c r="D118" s="41">
        <f t="shared" si="35"/>
        <v>0.05195817367019549</v>
      </c>
      <c r="E118" s="41">
        <f t="shared" si="35"/>
        <v>0.05417301506686981</v>
      </c>
      <c r="F118" s="41">
        <f t="shared" si="35"/>
        <v>0.05955640744797371</v>
      </c>
      <c r="G118" s="41">
        <f t="shared" si="35"/>
        <v>0.05092802172928927</v>
      </c>
      <c r="H118" s="36">
        <f t="shared" si="35"/>
        <v>0.05003886759267045</v>
      </c>
      <c r="I118" s="1"/>
      <c r="J118" s="1"/>
      <c r="K118" s="1"/>
      <c r="L118" s="1"/>
    </row>
    <row r="119" ht="25.5" customHeight="1">
      <c r="A119" s="1"/>
      <c r="B119" s="37" t="s">
        <v>137</v>
      </c>
      <c r="C119" s="62" t="s">
        <v>138</v>
      </c>
      <c r="D119" s="62" t="s">
        <v>138</v>
      </c>
      <c r="E119" s="62" t="s">
        <v>138</v>
      </c>
      <c r="F119" s="62" t="s">
        <v>138</v>
      </c>
      <c r="G119" s="62" t="s">
        <v>138</v>
      </c>
      <c r="H119" s="63" t="s">
        <v>138</v>
      </c>
      <c r="I119" s="18" t="s">
        <v>139</v>
      </c>
      <c r="J119" s="1"/>
      <c r="K119" s="1"/>
      <c r="L119" s="1"/>
    </row>
    <row r="120" ht="15" customHeight="1">
      <c r="A120" s="1"/>
      <c r="B120" s="37" t="s">
        <v>140</v>
      </c>
      <c r="C120" s="62" t="s">
        <v>138</v>
      </c>
      <c r="D120" s="62" t="s">
        <v>138</v>
      </c>
      <c r="E120" s="62" t="s">
        <v>138</v>
      </c>
      <c r="F120" s="62" t="s">
        <v>138</v>
      </c>
      <c r="G120" s="62" t="s">
        <v>138</v>
      </c>
      <c r="H120" s="63" t="s">
        <v>138</v>
      </c>
      <c r="I120" s="1"/>
      <c r="J120" s="1"/>
      <c r="K120" s="1"/>
      <c r="L120" s="1"/>
    </row>
    <row r="121" ht="15" customHeight="1">
      <c r="A121" s="1"/>
      <c r="B121" s="37" t="s">
        <v>141</v>
      </c>
      <c r="C121" s="62" t="s">
        <v>138</v>
      </c>
      <c r="D121" s="62" t="s">
        <v>138</v>
      </c>
      <c r="E121" s="62" t="s">
        <v>138</v>
      </c>
      <c r="F121" s="62" t="s">
        <v>138</v>
      </c>
      <c r="G121" s="62" t="s">
        <v>138</v>
      </c>
      <c r="H121" s="63" t="s">
        <v>138</v>
      </c>
      <c r="I121" s="1"/>
      <c r="J121" s="1"/>
      <c r="K121" s="1"/>
      <c r="L121" s="1"/>
    </row>
    <row r="122" ht="15" customHeight="1">
      <c r="A122" s="1"/>
      <c r="B122" s="37" t="s">
        <v>151</v>
      </c>
      <c r="C122" s="16">
        <f t="shared" si="36" ref="C122:G122">C129-C115</f>
        <v>179</v>
      </c>
      <c r="D122" s="16">
        <f t="shared" si="36"/>
        <v>181</v>
      </c>
      <c r="E122" s="16">
        <f t="shared" si="36"/>
        <v>653</v>
      </c>
      <c r="F122" s="16">
        <f t="shared" si="36"/>
        <v>150</v>
      </c>
      <c r="G122" s="16">
        <f t="shared" si="36"/>
        <v>145</v>
      </c>
      <c r="H122" s="53">
        <f t="shared" si="18"/>
        <v>187.95000000000002</v>
      </c>
      <c r="I122" s="22" t="s">
        <v>152</v>
      </c>
      <c r="J122" s="1"/>
      <c r="K122" s="1"/>
      <c r="L122" s="1"/>
    </row>
    <row r="123" ht="15" customHeight="1">
      <c r="A123" s="1"/>
      <c r="B123" s="35" t="s">
        <v>134</v>
      </c>
      <c r="C123" s="29">
        <f>C122/(Inputs!C121-Inputs!C164)-1</f>
        <v>0.08484848484848495</v>
      </c>
      <c r="D123" s="29">
        <f>D122/(Inputs!D121-(Inputs!E164-Inputs!F210))-1</f>
        <v>-0.09045226130653261</v>
      </c>
      <c r="E123" s="29">
        <f>E122/(Inputs!E121-Inputs!E164)-1</f>
        <v>0.10490693739424706</v>
      </c>
      <c r="F123" s="29">
        <f>F122/(Inputs!F121-Inputs!F164)-1</f>
        <v>0.006711409395973256</v>
      </c>
      <c r="G123" s="29">
        <f>G122/(Inputs!G121-Inputs!G164)-1</f>
        <v>-0.1470588235294118</v>
      </c>
      <c r="H123" s="48">
        <v>0.05</v>
      </c>
      <c r="I123" s="22" t="s">
        <v>153</v>
      </c>
      <c r="J123" s="1"/>
      <c r="K123" s="1"/>
      <c r="L123" s="1"/>
    </row>
    <row r="124" ht="15" customHeight="1">
      <c r="A124" s="1"/>
      <c r="B124" s="35" t="s">
        <v>135</v>
      </c>
      <c r="C124" s="29">
        <f>C122/(Inputs!G121-Inputs!G164)-1</f>
        <v>0.05294117647058827</v>
      </c>
      <c r="D124" s="41">
        <f t="shared" si="28"/>
        <v>0.011173184357541999</v>
      </c>
      <c r="E124" s="41" t="s">
        <v>74</v>
      </c>
      <c r="F124" s="41">
        <f t="shared" si="30"/>
        <v>-0.1712707182320442</v>
      </c>
      <c r="G124" s="41">
        <f t="shared" si="28"/>
        <v>-0.033333333333333326</v>
      </c>
      <c r="H124" s="36">
        <f t="shared" si="28"/>
        <v>0.29620689655172416</v>
      </c>
      <c r="I124" s="1"/>
      <c r="J124" s="1"/>
      <c r="K124" s="1"/>
      <c r="L124" s="1"/>
    </row>
    <row r="125" ht="15" customHeight="1">
      <c r="A125" s="1"/>
      <c r="B125" s="35" t="s">
        <v>136</v>
      </c>
      <c r="C125" s="41">
        <f t="shared" si="37" ref="C125:H125">C122/C136</f>
        <v>0.011756978653530377</v>
      </c>
      <c r="D125" s="41">
        <f t="shared" si="37"/>
        <v>0.01175553679288173</v>
      </c>
      <c r="E125" s="41">
        <f t="shared" si="37"/>
        <v>0.011054680887083121</v>
      </c>
      <c r="F125" s="41">
        <f t="shared" si="37"/>
        <v>0.010268346111719605</v>
      </c>
      <c r="G125" s="41">
        <f t="shared" si="37"/>
        <v>0.008205070167496605</v>
      </c>
      <c r="H125" s="36">
        <f t="shared" si="37"/>
        <v>0.010496434334868762</v>
      </c>
      <c r="I125" s="1"/>
      <c r="J125" s="1"/>
      <c r="K125" s="1"/>
      <c r="L125" s="1"/>
    </row>
    <row r="126" ht="25.5" customHeight="1">
      <c r="A126" s="1"/>
      <c r="B126" s="37" t="s">
        <v>137</v>
      </c>
      <c r="C126" s="62" t="s">
        <v>138</v>
      </c>
      <c r="D126" s="62" t="s">
        <v>138</v>
      </c>
      <c r="E126" s="62" t="s">
        <v>138</v>
      </c>
      <c r="F126" s="62" t="s">
        <v>138</v>
      </c>
      <c r="G126" s="62" t="s">
        <v>138</v>
      </c>
      <c r="H126" s="63" t="s">
        <v>138</v>
      </c>
      <c r="I126" s="18" t="s">
        <v>139</v>
      </c>
      <c r="J126" s="1"/>
      <c r="K126" s="1"/>
      <c r="L126" s="1"/>
    </row>
    <row r="127" ht="15" customHeight="1">
      <c r="A127" s="1"/>
      <c r="B127" s="37" t="s">
        <v>140</v>
      </c>
      <c r="C127" s="62" t="s">
        <v>138</v>
      </c>
      <c r="D127" s="62" t="s">
        <v>138</v>
      </c>
      <c r="E127" s="62" t="s">
        <v>138</v>
      </c>
      <c r="F127" s="62" t="s">
        <v>138</v>
      </c>
      <c r="G127" s="62" t="s">
        <v>138</v>
      </c>
      <c r="H127" s="63" t="s">
        <v>138</v>
      </c>
      <c r="I127" s="1"/>
      <c r="J127" s="1"/>
      <c r="K127" s="1"/>
      <c r="L127" s="1"/>
    </row>
    <row r="128" ht="15" customHeight="1">
      <c r="A128" s="1"/>
      <c r="B128" s="37" t="s">
        <v>141</v>
      </c>
      <c r="C128" s="62" t="s">
        <v>138</v>
      </c>
      <c r="D128" s="62" t="s">
        <v>138</v>
      </c>
      <c r="E128" s="62" t="s">
        <v>138</v>
      </c>
      <c r="F128" s="62" t="s">
        <v>138</v>
      </c>
      <c r="G128" s="62" t="s">
        <v>138</v>
      </c>
      <c r="H128" s="63" t="s">
        <v>138</v>
      </c>
      <c r="I128" s="1"/>
      <c r="J128" s="1"/>
      <c r="K128" s="1"/>
      <c r="L128" s="1"/>
    </row>
    <row r="129" ht="15" customHeight="1">
      <c r="A129" s="1"/>
      <c r="B129" s="49" t="s">
        <v>154</v>
      </c>
      <c r="C129" s="65">
        <v>979</v>
      </c>
      <c r="D129" s="65">
        <v>981</v>
      </c>
      <c r="E129" s="65">
        <v>3853</v>
      </c>
      <c r="F129" s="65">
        <v>1020</v>
      </c>
      <c r="G129" s="65">
        <v>1045</v>
      </c>
      <c r="H129" s="57">
        <f>H115+H122</f>
        <v>1083.95</v>
      </c>
      <c r="I129" s="1"/>
      <c r="J129" s="1"/>
      <c r="K129" s="1"/>
      <c r="L129" s="1"/>
    </row>
    <row r="130" ht="15" customHeight="1">
      <c r="A130" s="1"/>
      <c r="B130" s="35" t="s">
        <v>134</v>
      </c>
      <c r="C130" s="29">
        <f>C129/Inputs!C121-1</f>
        <v>0.1317919075144509</v>
      </c>
      <c r="D130" s="29">
        <f>D129/Inputs!D121-1</f>
        <v>0.09121245828698554</v>
      </c>
      <c r="E130" s="29">
        <f>E129/Inputs!E121-1</f>
        <v>0.10369521627040967</v>
      </c>
      <c r="F130" s="29">
        <f>F129/Inputs!F121-1</f>
        <v>0.10509209100758388</v>
      </c>
      <c r="G130" s="29">
        <f>G129/Inputs!G121-1</f>
        <v>0.07731958762886593</v>
      </c>
      <c r="H130" s="36">
        <f t="shared" si="3"/>
        <v>0.10720122574055169</v>
      </c>
      <c r="I130" s="1"/>
      <c r="J130" s="1"/>
      <c r="K130" s="1"/>
      <c r="L130" s="1"/>
    </row>
    <row r="131" ht="15" customHeight="1">
      <c r="A131" s="1"/>
      <c r="B131" s="35" t="s">
        <v>135</v>
      </c>
      <c r="C131" s="29">
        <f>C129/Inputs!G121-1</f>
        <v>0.009278350515463885</v>
      </c>
      <c r="D131" s="41">
        <f t="shared" si="28"/>
        <v>0.0020429009193054792</v>
      </c>
      <c r="E131" s="41" t="s">
        <v>74</v>
      </c>
      <c r="F131" s="41">
        <f t="shared" si="30"/>
        <v>0.039755351681957096</v>
      </c>
      <c r="G131" s="41">
        <f t="shared" si="28"/>
        <v>0.02450980392156854</v>
      </c>
      <c r="H131" s="36">
        <f t="shared" si="28"/>
        <v>0.037272727272727346</v>
      </c>
      <c r="I131" s="1"/>
      <c r="J131" s="1"/>
      <c r="K131" s="1"/>
      <c r="L131" s="1"/>
    </row>
    <row r="132" ht="15" customHeight="1">
      <c r="A132" s="1"/>
      <c r="B132" s="35" t="s">
        <v>136</v>
      </c>
      <c r="C132" s="41">
        <f t="shared" si="38" ref="C132:H132">C129/C136</f>
        <v>0.06430213464696223</v>
      </c>
      <c r="D132" s="41">
        <f t="shared" si="38"/>
        <v>0.06371371046307722</v>
      </c>
      <c r="E132" s="41">
        <f t="shared" si="38"/>
        <v>0.06522769595395293</v>
      </c>
      <c r="F132" s="41">
        <f t="shared" si="38"/>
        <v>0.06982475355969332</v>
      </c>
      <c r="G132" s="41">
        <f t="shared" si="38"/>
        <v>0.05913309189678587</v>
      </c>
      <c r="H132" s="36">
        <f t="shared" si="38"/>
        <v>0.060535301927539205</v>
      </c>
      <c r="I132" s="1"/>
      <c r="J132" s="1"/>
      <c r="K132" s="1"/>
      <c r="L132" s="1"/>
    </row>
    <row r="133" ht="25.5" customHeight="1">
      <c r="A133" s="1"/>
      <c r="B133" s="37" t="s">
        <v>137</v>
      </c>
      <c r="C133" s="62" t="s">
        <v>138</v>
      </c>
      <c r="D133" s="62" t="s">
        <v>138</v>
      </c>
      <c r="E133" s="62" t="s">
        <v>138</v>
      </c>
      <c r="F133" s="62" t="s">
        <v>138</v>
      </c>
      <c r="G133" s="62" t="s">
        <v>138</v>
      </c>
      <c r="H133" s="63" t="s">
        <v>138</v>
      </c>
      <c r="I133" s="18" t="s">
        <v>139</v>
      </c>
      <c r="J133" s="1"/>
      <c r="K133" s="1"/>
      <c r="L133" s="1"/>
    </row>
    <row r="134" ht="15" customHeight="1">
      <c r="A134" s="1"/>
      <c r="B134" s="37" t="s">
        <v>140</v>
      </c>
      <c r="C134" s="62" t="s">
        <v>138</v>
      </c>
      <c r="D134" s="62" t="s">
        <v>138</v>
      </c>
      <c r="E134" s="62" t="s">
        <v>138</v>
      </c>
      <c r="F134" s="62" t="s">
        <v>138</v>
      </c>
      <c r="G134" s="62" t="s">
        <v>138</v>
      </c>
      <c r="H134" s="63" t="s">
        <v>138</v>
      </c>
      <c r="I134" s="1"/>
      <c r="J134" s="1"/>
      <c r="K134" s="1"/>
      <c r="L134" s="1"/>
    </row>
    <row r="135" ht="15" customHeight="1">
      <c r="A135" s="1"/>
      <c r="B135" s="37" t="s">
        <v>141</v>
      </c>
      <c r="C135" s="62" t="s">
        <v>138</v>
      </c>
      <c r="D135" s="62" t="s">
        <v>138</v>
      </c>
      <c r="E135" s="62" t="s">
        <v>138</v>
      </c>
      <c r="F135" s="62" t="s">
        <v>138</v>
      </c>
      <c r="G135" s="62" t="s">
        <v>138</v>
      </c>
      <c r="H135" s="63" t="s">
        <v>138</v>
      </c>
      <c r="I135" s="1"/>
      <c r="J135" s="1"/>
      <c r="K135" s="1"/>
      <c r="L135" s="1"/>
    </row>
    <row r="136" ht="15" customHeight="1">
      <c r="A136" s="1"/>
      <c r="B136" s="49" t="s">
        <v>155</v>
      </c>
      <c r="C136" s="56">
        <f t="shared" si="39" ref="C136:H136">C101+C108+C129</f>
        <v>15225</v>
      </c>
      <c r="D136" s="56">
        <f t="shared" si="39"/>
        <v>15397</v>
      </c>
      <c r="E136" s="56">
        <f t="shared" si="39"/>
        <v>59070</v>
      </c>
      <c r="F136" s="56">
        <f t="shared" si="39"/>
        <v>14608</v>
      </c>
      <c r="G136" s="56">
        <f t="shared" si="39"/>
        <v>17672</v>
      </c>
      <c r="H136" s="57">
        <f t="shared" si="39"/>
        <v>17906.080675</v>
      </c>
      <c r="I136" s="1"/>
      <c r="J136" s="1"/>
      <c r="K136" s="1"/>
      <c r="L136" s="1"/>
    </row>
    <row r="137" ht="15" customHeight="1">
      <c r="A137" s="1"/>
      <c r="B137" s="35" t="s">
        <v>134</v>
      </c>
      <c r="C137" s="29">
        <f>C136/Inputs!C122-1</f>
        <v>0.02573603718924744</v>
      </c>
      <c r="D137" s="29">
        <f>D136/Inputs!D122-1</f>
        <v>0.047771350799591605</v>
      </c>
      <c r="E137" s="29">
        <f>E136/Inputs!E122-1</f>
        <v>0.03517165238420694</v>
      </c>
      <c r="F137" s="29">
        <f>F136/Inputs!F122-1</f>
        <v>0.10557784000605475</v>
      </c>
      <c r="G137" s="29">
        <f>G136/Inputs!G122-1</f>
        <v>0.15988448411656608</v>
      </c>
      <c r="H137" s="36">
        <f t="shared" si="3"/>
        <v>0.17609725287356337</v>
      </c>
      <c r="I137" s="1"/>
      <c r="J137" s="1"/>
      <c r="K137" s="1"/>
      <c r="L137" s="1"/>
    </row>
    <row r="138" ht="15" customHeight="1">
      <c r="A138" s="1"/>
      <c r="B138" s="35" t="s">
        <v>135</v>
      </c>
      <c r="C138" s="29">
        <f>C136/Inputs!G122-1</f>
        <v>-0.0007219742714623667</v>
      </c>
      <c r="D138" s="41">
        <f t="shared" si="28"/>
        <v>0.011297208538587844</v>
      </c>
      <c r="E138" s="41" t="s">
        <v>74</v>
      </c>
      <c r="F138" s="41">
        <f t="shared" si="30"/>
        <v>-0.05124374878223026</v>
      </c>
      <c r="G138" s="41">
        <f t="shared" si="28"/>
        <v>0.20974808324205907</v>
      </c>
      <c r="H138" s="36">
        <f t="shared" si="28"/>
        <v>0.013245850780896351</v>
      </c>
      <c r="I138" s="1"/>
      <c r="J138" s="1"/>
      <c r="K138" s="1"/>
      <c r="L138" s="1"/>
    </row>
    <row r="139" ht="15" customHeight="1">
      <c r="A139" s="1"/>
      <c r="B139" s="35" t="s">
        <v>136</v>
      </c>
      <c r="C139" s="41">
        <f t="shared" si="40" ref="C139:H139">C136/C136</f>
        <v>1</v>
      </c>
      <c r="D139" s="41">
        <f t="shared" si="40"/>
        <v>1</v>
      </c>
      <c r="E139" s="41">
        <f t="shared" si="40"/>
        <v>1</v>
      </c>
      <c r="F139" s="41">
        <f t="shared" si="40"/>
        <v>1</v>
      </c>
      <c r="G139" s="41">
        <f t="shared" si="40"/>
        <v>1</v>
      </c>
      <c r="H139" s="36">
        <f t="shared" si="40"/>
        <v>1</v>
      </c>
      <c r="I139" s="1"/>
      <c r="J139" s="1"/>
      <c r="K139" s="1"/>
      <c r="L139" s="1"/>
    </row>
    <row r="140" ht="25.5" customHeight="1">
      <c r="A140" s="1"/>
      <c r="B140" s="37" t="s">
        <v>137</v>
      </c>
      <c r="C140" s="62" t="s">
        <v>138</v>
      </c>
      <c r="D140" s="62" t="s">
        <v>138</v>
      </c>
      <c r="E140" s="62" t="s">
        <v>138</v>
      </c>
      <c r="F140" s="62" t="s">
        <v>138</v>
      </c>
      <c r="G140" s="62" t="s">
        <v>138</v>
      </c>
      <c r="H140" s="63" t="s">
        <v>138</v>
      </c>
      <c r="I140" s="18" t="s">
        <v>139</v>
      </c>
      <c r="J140" s="1"/>
      <c r="K140" s="1"/>
      <c r="L140" s="1"/>
    </row>
    <row r="141" ht="15" customHeight="1">
      <c r="A141" s="1"/>
      <c r="B141" s="37" t="s">
        <v>140</v>
      </c>
      <c r="C141" s="62" t="s">
        <v>138</v>
      </c>
      <c r="D141" s="62" t="s">
        <v>138</v>
      </c>
      <c r="E141" s="62" t="s">
        <v>138</v>
      </c>
      <c r="F141" s="62" t="s">
        <v>138</v>
      </c>
      <c r="G141" s="62" t="s">
        <v>138</v>
      </c>
      <c r="H141" s="63" t="s">
        <v>138</v>
      </c>
      <c r="I141" s="1"/>
      <c r="J141" s="1"/>
      <c r="K141" s="1"/>
      <c r="L141" s="1"/>
    </row>
    <row r="142" ht="15" customHeight="1">
      <c r="A142" s="1"/>
      <c r="B142" s="37" t="s">
        <v>141</v>
      </c>
      <c r="C142" s="62" t="s">
        <v>138</v>
      </c>
      <c r="D142" s="62" t="s">
        <v>138</v>
      </c>
      <c r="E142" s="62" t="s">
        <v>138</v>
      </c>
      <c r="F142" s="62" t="s">
        <v>138</v>
      </c>
      <c r="G142" s="62" t="s">
        <v>138</v>
      </c>
      <c r="H142" s="63" t="s">
        <v>138</v>
      </c>
      <c r="I142" s="1"/>
      <c r="J142" s="1"/>
      <c r="K142" s="1"/>
      <c r="L142" s="1"/>
    </row>
    <row r="143" ht="15" customHeight="1">
      <c r="A143" s="1"/>
      <c r="B143" s="30" t="s">
        <v>156</v>
      </c>
      <c r="C143" s="15">
        <f>Inputs!I105</f>
        <v>15225</v>
      </c>
      <c r="D143" s="15">
        <f>Inputs!I106</f>
        <v>15397</v>
      </c>
      <c r="E143" s="16" t="s">
        <v>41</v>
      </c>
      <c r="F143" s="15">
        <f>Inputs!I107</f>
        <v>14608</v>
      </c>
      <c r="G143" s="15">
        <f>Inputs!I108</f>
        <v>17672</v>
      </c>
      <c r="H143" s="53" t="s">
        <v>41</v>
      </c>
      <c r="I143" s="22" t="s">
        <v>157</v>
      </c>
      <c r="J143" s="1"/>
      <c r="K143" s="1"/>
      <c r="L143" s="1"/>
    </row>
    <row r="144" ht="25.5" customHeight="1">
      <c r="A144" s="1"/>
      <c r="B144" s="1" t="s">
        <v>158</v>
      </c>
      <c r="C144" s="62" t="b">
        <f t="shared" si="41" ref="C144:G144">AND(ABS(C136-C143)&lt;0.5,ABS(C136-C101-C108-C129)&lt;0.5)</f>
        <v>1</v>
      </c>
      <c r="D144" s="62" t="b">
        <f t="shared" si="41"/>
        <v>1</v>
      </c>
      <c r="E144" s="62" t="b">
        <f t="shared" si="42" ref="E144:H144">ABS(E136-E101-E108-E129)&lt;0.5</f>
        <v>1</v>
      </c>
      <c r="F144" s="62" t="b">
        <f t="shared" si="41"/>
        <v>1</v>
      </c>
      <c r="G144" s="62" t="b">
        <f t="shared" si="41"/>
        <v>1</v>
      </c>
      <c r="H144" s="63" t="b">
        <f t="shared" si="42"/>
        <v>1</v>
      </c>
      <c r="I144" s="18" t="s">
        <v>159</v>
      </c>
      <c r="J144" s="1"/>
      <c r="K144" s="1"/>
      <c r="L144" s="1"/>
    </row>
    <row r="145" ht="25.5" customHeight="1">
      <c r="A145" s="1"/>
      <c r="B145" s="1" t="s">
        <v>160</v>
      </c>
      <c r="C145" s="25" t="b">
        <f>ABS(C136-'Income Statement'!C16)&lt;0.5</f>
        <v>1</v>
      </c>
      <c r="D145" s="25" t="b">
        <f>ABS(D136-'Income Statement'!D16)&lt;0.5</f>
        <v>1</v>
      </c>
      <c r="E145" s="25" t="b">
        <f>ABS(E136-'Income Statement'!E16)&lt;0.5</f>
        <v>1</v>
      </c>
      <c r="F145" s="25" t="b">
        <f>ABS(F136-'Income Statement'!F16)&lt;0.5</f>
        <v>1</v>
      </c>
      <c r="G145" s="25" t="b">
        <f>ABS(G136-'Income Statement'!G16)&lt;0.5</f>
        <v>1</v>
      </c>
      <c r="H145" s="61" t="b">
        <f>ABS(H136-'Income Statement'!H13)&lt;0.001</f>
        <v>1</v>
      </c>
      <c r="I145" s="18" t="s">
        <v>161</v>
      </c>
      <c r="J145" s="1"/>
      <c r="K145" s="1"/>
      <c r="L145" s="1"/>
    </row>
    <row r="146" ht="1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ht="1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613F0DF-7E4C-0B8E-2F98-9B73D952CDE4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  <col min="10" max="11" width="12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3" t="s">
        <v>162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1"/>
      <c r="J5" s="1"/>
      <c r="K5" s="1"/>
      <c r="L5" s="1"/>
    </row>
    <row r="6" ht="15" customHeight="1">
      <c r="A6" s="1"/>
      <c r="B6" s="7" t="s">
        <v>10</v>
      </c>
      <c r="C6" s="8">
        <f>DATE(2025,9,30)</f>
        <v>45930</v>
      </c>
      <c r="D6" s="8">
        <f t="shared" si="0" ref="D6:E6">DATE(2025,12,31)</f>
        <v>46022</v>
      </c>
      <c r="E6" s="8">
        <f t="shared" si="0"/>
        <v>46022</v>
      </c>
      <c r="F6" s="8">
        <f>DATE(2026,3,31)</f>
        <v>46112</v>
      </c>
      <c r="G6" s="8">
        <f>DATE(2026,6,30)</f>
        <v>46203</v>
      </c>
      <c r="H6" s="8">
        <f>DATE(2026,9,30)</f>
        <v>46295</v>
      </c>
      <c r="I6" s="1"/>
      <c r="J6" s="1"/>
      <c r="K6" s="1"/>
      <c r="L6" s="1"/>
    </row>
    <row r="7" ht="15" customHeight="1">
      <c r="A7" s="1"/>
      <c r="B7" s="9" t="s">
        <v>11</v>
      </c>
      <c r="C7" s="10">
        <f t="shared" si="1" ref="C7:H7">C6-EOMONTH(C6,-3)</f>
        <v>92</v>
      </c>
      <c r="D7" s="10">
        <f t="shared" si="1"/>
        <v>92</v>
      </c>
      <c r="E7" s="10">
        <f>E6-EOMONTH(E6,-12)</f>
        <v>365</v>
      </c>
      <c r="F7" s="10">
        <f t="shared" si="1"/>
        <v>90</v>
      </c>
      <c r="G7" s="10">
        <f t="shared" si="1"/>
        <v>91</v>
      </c>
      <c r="H7" s="10">
        <f t="shared" si="1"/>
        <v>92</v>
      </c>
      <c r="I7" s="1"/>
      <c r="J7" s="1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5" customHeight="1">
      <c r="A9" s="1"/>
      <c r="B9" s="3" t="s">
        <v>163</v>
      </c>
      <c r="C9" s="1"/>
      <c r="D9" s="1"/>
      <c r="E9" s="1"/>
      <c r="F9" s="1"/>
      <c r="G9" s="1"/>
      <c r="H9" s="32"/>
      <c r="I9" s="1"/>
      <c r="J9" s="1"/>
      <c r="K9" s="1"/>
      <c r="L9" s="1"/>
    </row>
    <row r="10" ht="15" customHeight="1">
      <c r="A10" s="1"/>
      <c r="B10" s="30" t="s">
        <v>146</v>
      </c>
      <c r="C10" s="15">
        <f>'Revenue summary'!C101</f>
        <v>13815</v>
      </c>
      <c r="D10" s="15">
        <f>'Revenue summary'!D101</f>
        <v>13926</v>
      </c>
      <c r="E10" s="15">
        <f>'Revenue summary'!E101</f>
        <v>53438</v>
      </c>
      <c r="F10" s="15">
        <f>'Revenue summary'!F101</f>
        <v>13166</v>
      </c>
      <c r="G10" s="15">
        <f>'Revenue summary'!G101</f>
        <v>16100</v>
      </c>
      <c r="H10" s="67">
        <f>'Revenue summary'!H101</f>
        <v>16298.293275</v>
      </c>
      <c r="I10" s="1"/>
      <c r="J10" s="1"/>
      <c r="K10" s="1"/>
      <c r="L10" s="1"/>
    </row>
    <row r="11" ht="15" customHeight="1">
      <c r="A11" s="1"/>
      <c r="B11" s="30" t="s">
        <v>147</v>
      </c>
      <c r="C11" s="15">
        <f>'Revenue summary'!C108</f>
        <v>431</v>
      </c>
      <c r="D11" s="15">
        <f>'Revenue summary'!D108</f>
        <v>490</v>
      </c>
      <c r="E11" s="15">
        <f>'Revenue summary'!E108</f>
        <v>1779</v>
      </c>
      <c r="F11" s="15">
        <f>'Revenue summary'!F108</f>
        <v>422</v>
      </c>
      <c r="G11" s="15">
        <f>'Revenue summary'!G108</f>
        <v>527</v>
      </c>
      <c r="H11" s="67">
        <f>'Revenue summary'!H108</f>
        <v>523.8374</v>
      </c>
      <c r="I11" s="1"/>
      <c r="J11" s="1"/>
      <c r="K11" s="1"/>
      <c r="L11" s="1"/>
    </row>
    <row r="12" ht="15" customHeight="1">
      <c r="A12" s="1"/>
      <c r="B12" s="30" t="s">
        <v>154</v>
      </c>
      <c r="C12" s="15">
        <f>'Revenue summary'!C129</f>
        <v>979</v>
      </c>
      <c r="D12" s="15">
        <f>'Revenue summary'!D129</f>
        <v>981</v>
      </c>
      <c r="E12" s="15">
        <f>'Revenue summary'!E129</f>
        <v>3853</v>
      </c>
      <c r="F12" s="15">
        <f>'Revenue summary'!F129</f>
        <v>1020</v>
      </c>
      <c r="G12" s="15">
        <f>'Revenue summary'!G129</f>
        <v>1045</v>
      </c>
      <c r="H12" s="67">
        <f>'Revenue summary'!H129</f>
        <v>1083.95</v>
      </c>
      <c r="I12" s="1"/>
      <c r="J12" s="1"/>
      <c r="K12" s="1"/>
      <c r="L12" s="1"/>
    </row>
    <row r="13" ht="15" customHeight="1">
      <c r="A13" s="1"/>
      <c r="B13" s="3" t="s">
        <v>155</v>
      </c>
      <c r="C13" s="56">
        <f t="shared" si="2" ref="C13:H13">C10+C11+C12</f>
        <v>15225</v>
      </c>
      <c r="D13" s="56">
        <f t="shared" si="2"/>
        <v>15397</v>
      </c>
      <c r="E13" s="56">
        <f t="shared" si="2"/>
        <v>59070</v>
      </c>
      <c r="F13" s="56">
        <f t="shared" si="2"/>
        <v>14608</v>
      </c>
      <c r="G13" s="56">
        <f t="shared" si="2"/>
        <v>17672</v>
      </c>
      <c r="H13" s="57">
        <f t="shared" si="2"/>
        <v>17906.080675</v>
      </c>
      <c r="I13" s="1"/>
      <c r="J13" s="1"/>
      <c r="K13" s="1"/>
      <c r="L13" s="1"/>
    </row>
    <row r="14" ht="15" customHeight="1">
      <c r="A14" s="1"/>
      <c r="B14" s="35" t="s">
        <v>72</v>
      </c>
      <c r="C14" s="29">
        <f>C13/Inputs!C122-1</f>
        <v>0.02573603718924744</v>
      </c>
      <c r="D14" s="29">
        <f>D13/Inputs!D122-1</f>
        <v>0.047771350799591605</v>
      </c>
      <c r="E14" s="29">
        <f>E13/Inputs!E122-1</f>
        <v>0.03517165238420694</v>
      </c>
      <c r="F14" s="29">
        <f>F13/Inputs!F122-1</f>
        <v>0.10557784000605475</v>
      </c>
      <c r="G14" s="29">
        <f>G13/Inputs!G122-1</f>
        <v>0.15988448411656608</v>
      </c>
      <c r="H14" s="36">
        <f t="shared" si="5" ref="H14:H134">H13/C13-1</f>
        <v>0.17609725287356337</v>
      </c>
      <c r="I14" s="1"/>
      <c r="J14" s="1"/>
      <c r="K14" s="1"/>
      <c r="L14" s="1"/>
    </row>
    <row r="15" ht="15" customHeight="1">
      <c r="A15" s="1"/>
      <c r="B15" s="35" t="s">
        <v>135</v>
      </c>
      <c r="C15" s="29">
        <f>C13/Inputs!G122-1</f>
        <v>-0.0007219742714623667</v>
      </c>
      <c r="D15" s="41">
        <f t="shared" si="3" ref="D15:H15">D13/C13-1</f>
        <v>0.011297208538587844</v>
      </c>
      <c r="E15" s="41" t="s">
        <v>74</v>
      </c>
      <c r="F15" s="41">
        <f>F13/D13-1</f>
        <v>-0.05124374878223026</v>
      </c>
      <c r="G15" s="41">
        <f t="shared" si="3"/>
        <v>0.20974808324205907</v>
      </c>
      <c r="H15" s="36">
        <f t="shared" si="3"/>
        <v>0.013245850780896351</v>
      </c>
      <c r="I15" s="1"/>
      <c r="J15" s="1"/>
      <c r="K15" s="1"/>
      <c r="L15" s="1"/>
    </row>
    <row r="16" ht="15" customHeight="1">
      <c r="A16" s="1"/>
      <c r="B16" s="30" t="s">
        <v>164</v>
      </c>
      <c r="C16" s="54">
        <v>15225</v>
      </c>
      <c r="D16" s="54">
        <v>15397</v>
      </c>
      <c r="E16" s="54">
        <v>59070</v>
      </c>
      <c r="F16" s="54">
        <v>14608</v>
      </c>
      <c r="G16" s="54">
        <v>17672</v>
      </c>
      <c r="H16" s="53" t="s">
        <v>41</v>
      </c>
      <c r="I16" s="1"/>
      <c r="J16" s="1"/>
      <c r="K16" s="1"/>
      <c r="L16" s="1"/>
    </row>
    <row r="17" ht="15" customHeight="1">
      <c r="A17" s="1"/>
      <c r="B17" s="1"/>
      <c r="C17" s="1"/>
      <c r="D17" s="1"/>
      <c r="E17" s="1"/>
      <c r="F17" s="1"/>
      <c r="G17" s="1"/>
      <c r="H17" s="32"/>
      <c r="I17" s="1"/>
      <c r="J17" s="1"/>
      <c r="K17" s="1"/>
      <c r="L17" s="1"/>
    </row>
    <row r="18" ht="15" customHeight="1">
      <c r="A18" s="1"/>
      <c r="B18" s="3" t="s">
        <v>165</v>
      </c>
      <c r="C18" s="1"/>
      <c r="D18" s="1"/>
      <c r="E18" s="1"/>
      <c r="F18" s="1"/>
      <c r="G18" s="1"/>
      <c r="H18" s="32"/>
      <c r="I18" s="1"/>
      <c r="J18" s="1"/>
      <c r="K18" s="1"/>
      <c r="L18" s="1"/>
    </row>
    <row r="19" ht="15" customHeight="1">
      <c r="A19" s="1"/>
      <c r="B19" s="37" t="s">
        <v>166</v>
      </c>
      <c r="C19" s="16">
        <f t="shared" si="4" ref="C19:G19">C22-C21</f>
        <v>4327</v>
      </c>
      <c r="D19" s="16">
        <f t="shared" si="4"/>
        <v>4280</v>
      </c>
      <c r="E19" s="16">
        <f t="shared" si="4"/>
        <v>16943</v>
      </c>
      <c r="F19" s="16">
        <f t="shared" si="4"/>
        <v>4503</v>
      </c>
      <c r="G19" s="16">
        <f t="shared" si="4"/>
        <v>4596</v>
      </c>
      <c r="H19" s="53">
        <f t="shared" si="9" ref="H19:H51">C19*(1+H20)</f>
        <v>4716.43</v>
      </c>
      <c r="I19" s="22" t="s">
        <v>167</v>
      </c>
      <c r="J19" s="1"/>
      <c r="K19" s="1"/>
      <c r="L19" s="1"/>
    </row>
    <row r="20" ht="25.5" customHeight="1">
      <c r="A20" s="1"/>
      <c r="B20" s="64" t="s">
        <v>72</v>
      </c>
      <c r="C20" s="29">
        <f>C19/(Inputs!C123-Inputs!C146)-1</f>
        <v>0.05742913000977512</v>
      </c>
      <c r="D20" s="29">
        <f>D19/(Inputs!D123-Inputs!D146)-1</f>
        <v>0.061771272637062724</v>
      </c>
      <c r="E20" s="29">
        <f>E19/(Inputs!E123-Inputs!E146)-1</f>
        <v>0.061259004071406276</v>
      </c>
      <c r="F20" s="29">
        <f>F19/(Inputs!F123-Inputs!F146)-1</f>
        <v>0.0950875486381324</v>
      </c>
      <c r="G20" s="29">
        <f>G19/(Inputs!G123-Inputs!G146)-1</f>
        <v>0.087810650887574</v>
      </c>
      <c r="H20" s="48">
        <v>0.09</v>
      </c>
      <c r="I20" s="18" t="s">
        <v>168</v>
      </c>
      <c r="J20" s="1"/>
      <c r="K20" s="1"/>
      <c r="L20" s="1"/>
    </row>
    <row r="21" ht="63.75" customHeight="1">
      <c r="A21" s="1"/>
      <c r="B21" s="37" t="s">
        <v>169</v>
      </c>
      <c r="C21" s="54">
        <v>228</v>
      </c>
      <c r="D21" s="54">
        <v>244</v>
      </c>
      <c r="E21" s="54">
        <v>704</v>
      </c>
      <c r="F21" s="54">
        <v>59</v>
      </c>
      <c r="G21" s="54">
        <v>90</v>
      </c>
      <c r="H21" s="53">
        <f>H145*H144+H152</f>
        <v>151.15435673109437</v>
      </c>
      <c r="I21" s="18" t="s">
        <v>170</v>
      </c>
      <c r="J21" s="1"/>
      <c r="K21" s="1"/>
      <c r="L21" s="1"/>
    </row>
    <row r="22" ht="15" customHeight="1">
      <c r="A22" s="1"/>
      <c r="B22" s="49" t="s">
        <v>171</v>
      </c>
      <c r="C22" s="65">
        <v>4555</v>
      </c>
      <c r="D22" s="65">
        <v>4524</v>
      </c>
      <c r="E22" s="65">
        <v>17647</v>
      </c>
      <c r="F22" s="65">
        <v>4562</v>
      </c>
      <c r="G22" s="65">
        <v>4686</v>
      </c>
      <c r="H22" s="57">
        <f>H19+H21</f>
        <v>4867.584356731095</v>
      </c>
      <c r="I22" s="1"/>
      <c r="J22" s="1"/>
      <c r="K22" s="1"/>
      <c r="L22" s="1"/>
    </row>
    <row r="23" ht="15" customHeight="1">
      <c r="A23" s="1"/>
      <c r="B23" s="35" t="s">
        <v>72</v>
      </c>
      <c r="C23" s="29">
        <f>C22/Inputs!C123-1</f>
        <v>0.053666435345824715</v>
      </c>
      <c r="D23" s="29">
        <f>D22/Inputs!D123-1</f>
        <v>0.04601156069364154</v>
      </c>
      <c r="E23" s="29">
        <f>E22/Inputs!E123-1</f>
        <v>0.05810049166566733</v>
      </c>
      <c r="F23" s="29">
        <f>F22/Inputs!F123-1</f>
        <v>0.09795427196149209</v>
      </c>
      <c r="G23" s="29">
        <f>G22/Inputs!G123-1</f>
        <v>0.061862678450034014</v>
      </c>
      <c r="H23" s="36">
        <f t="shared" si="5"/>
        <v>0.0686244471418429</v>
      </c>
      <c r="I23" s="1"/>
      <c r="J23" s="1"/>
      <c r="K23" s="1"/>
      <c r="L23" s="1"/>
    </row>
    <row r="24" ht="15" customHeight="1">
      <c r="A24" s="1"/>
      <c r="B24" s="37" t="s">
        <v>172</v>
      </c>
      <c r="C24" s="54">
        <v>1233</v>
      </c>
      <c r="D24" s="54">
        <v>1175</v>
      </c>
      <c r="E24" s="54">
        <v>4663</v>
      </c>
      <c r="F24" s="54">
        <v>1093</v>
      </c>
      <c r="G24" s="54">
        <v>1219</v>
      </c>
      <c r="H24" s="67">
        <f>'Revenue summary'!H11*H27/1000</f>
        <v>1240.5848255163182</v>
      </c>
      <c r="I24" s="1"/>
      <c r="J24" s="1"/>
      <c r="K24" s="1"/>
      <c r="L24" s="1"/>
    </row>
    <row r="25" ht="15" customHeight="1">
      <c r="A25" s="1"/>
      <c r="B25" s="64" t="s">
        <v>72</v>
      </c>
      <c r="C25" s="29">
        <f>C24/Inputs!C161-1</f>
        <v>0.05384615384615388</v>
      </c>
      <c r="D25" s="29">
        <f>D24/Inputs!D161-1</f>
        <v>0.053811659192825045</v>
      </c>
      <c r="E25" s="29">
        <f>E24/Inputs!E161-1</f>
        <v>0.049279927992799344</v>
      </c>
      <c r="F25" s="29">
        <f>F24/Inputs!F161-1</f>
        <v>0.024367385192127555</v>
      </c>
      <c r="G25" s="29">
        <f>G24/Inputs!G161-1</f>
        <v>0.02609427609427617</v>
      </c>
      <c r="H25" s="36">
        <f t="shared" si="5"/>
        <v>0.006151521100014712</v>
      </c>
      <c r="I25" s="1"/>
      <c r="J25" s="1"/>
      <c r="K25" s="1"/>
      <c r="L25" s="1"/>
    </row>
    <row r="26" ht="15" customHeight="1">
      <c r="A26" s="1"/>
      <c r="B26" s="68" t="s">
        <v>173</v>
      </c>
      <c r="C26" s="15">
        <f>C24-Inputs!G161</f>
        <v>45</v>
      </c>
      <c r="D26" s="16">
        <f t="shared" si="6" ref="D26:H68">D24-C24</f>
        <v>-58</v>
      </c>
      <c r="E26" s="16" t="s">
        <v>74</v>
      </c>
      <c r="F26" s="16">
        <f t="shared" si="8" ref="F26:F68">F24-D24</f>
        <v>-82</v>
      </c>
      <c r="G26" s="16">
        <f t="shared" si="6"/>
        <v>126</v>
      </c>
      <c r="H26" s="53">
        <f t="shared" si="6"/>
        <v>21.584825516318233</v>
      </c>
      <c r="I26" s="1"/>
      <c r="J26" s="1"/>
      <c r="K26" s="1"/>
      <c r="L26" s="1"/>
    </row>
    <row r="27" ht="15" customHeight="1">
      <c r="A27" s="1"/>
      <c r="B27" s="37" t="s">
        <v>174</v>
      </c>
      <c r="C27" s="31">
        <f>C24/'Revenue summary'!C11*1000</f>
        <v>14.1048079892927</v>
      </c>
      <c r="D27" s="31">
        <f>D24/'Revenue summary'!D11*1000</f>
        <v>14.0946440352666</v>
      </c>
      <c r="E27" s="31">
        <f>E24/'Revenue summary'!E11*1000</f>
        <v>14.118152862385099</v>
      </c>
      <c r="F27" s="31">
        <f>F24/'Revenue summary'!F11*1000</f>
        <v>14.067286159231898</v>
      </c>
      <c r="G27" s="31">
        <f>G24/'Revenue summary'!G11*1000</f>
        <v>13.966704476449088</v>
      </c>
      <c r="H27" s="47">
        <f>C27*(1+H29)</f>
        <v>13.991969525378359</v>
      </c>
      <c r="I27" s="1"/>
      <c r="J27" s="1"/>
      <c r="K27" s="1"/>
      <c r="L27" s="1"/>
    </row>
    <row r="28" ht="15" customHeight="1">
      <c r="A28" s="1"/>
      <c r="B28" s="68" t="s">
        <v>106</v>
      </c>
      <c r="C28" s="31">
        <f>C27-Inputs!G161/Inputs!G156*1000</f>
        <v>0.020133964134721793</v>
      </c>
      <c r="D28" s="46">
        <f t="shared" si="7" ref="D28:H71">D27-C27</f>
        <v>-0.010163954026101152</v>
      </c>
      <c r="E28" s="46" t="s">
        <v>74</v>
      </c>
      <c r="F28" s="46">
        <f t="shared" si="18" ref="F28:F71">F27-D27</f>
        <v>-0.02735787603470108</v>
      </c>
      <c r="G28" s="46">
        <f t="shared" si="7"/>
        <v>-0.10058168278280988</v>
      </c>
      <c r="H28" s="47">
        <f t="shared" si="7"/>
        <v>0.025265048929270506</v>
      </c>
      <c r="I28" s="1"/>
      <c r="J28" s="1"/>
      <c r="K28" s="1"/>
      <c r="L28" s="1"/>
    </row>
    <row r="29" ht="15" customHeight="1">
      <c r="A29" s="1"/>
      <c r="B29" s="64" t="s">
        <v>72</v>
      </c>
      <c r="C29" s="29">
        <f>C27/(Inputs!C161/Inputs!C156*1000)-1</f>
        <v>-0.016991326277849605</v>
      </c>
      <c r="D29" s="29">
        <f>D27/(Inputs!D161/Inputs!D156*1000)-1</f>
        <v>-0.010239965315422372</v>
      </c>
      <c r="E29" s="29">
        <f>E27/(Inputs!E161/Inputs!E156*1000)-1</f>
        <v>-0.01139572491419738</v>
      </c>
      <c r="F29" s="29">
        <f>F27/(Inputs!F161/Inputs!F156*1000)-1</f>
        <v>-0.00915942708802886</v>
      </c>
      <c r="G29" s="29">
        <f>G27/(Inputs!G161/Inputs!G156*1000)-1</f>
        <v>-0.008375738657364296</v>
      </c>
      <c r="H29" s="48">
        <v>-0.008</v>
      </c>
      <c r="I29" s="22" t="s">
        <v>175</v>
      </c>
      <c r="J29" s="1"/>
      <c r="K29" s="1"/>
      <c r="L29" s="1"/>
    </row>
    <row r="30" ht="38.25" customHeight="1">
      <c r="A30" s="1"/>
      <c r="B30" s="37" t="s">
        <v>176</v>
      </c>
      <c r="C30" s="69">
        <v>2.43</v>
      </c>
      <c r="D30" s="69">
        <v>2.49</v>
      </c>
      <c r="E30" s="69">
        <v>2.44</v>
      </c>
      <c r="F30" s="69">
        <v>2.78</v>
      </c>
      <c r="G30" s="69">
        <v>4.19</v>
      </c>
      <c r="H30" s="70">
        <v>3.86</v>
      </c>
      <c r="I30" s="18" t="s">
        <v>177</v>
      </c>
      <c r="J30" s="1"/>
      <c r="K30" s="1"/>
      <c r="L30" s="1"/>
    </row>
    <row r="31" ht="15" customHeight="1">
      <c r="A31" s="1"/>
      <c r="B31" s="64" t="s">
        <v>72</v>
      </c>
      <c r="C31" s="29">
        <f>C30/Inputs!C162-1</f>
        <v>-0.05078125</v>
      </c>
      <c r="D31" s="29">
        <f>D30/Inputs!D162-1</f>
        <v>0.03750000000000009</v>
      </c>
      <c r="E31" s="29">
        <f>E30/Inputs!E162-1</f>
        <v>-0.0792452830188679</v>
      </c>
      <c r="F31" s="29">
        <f>F30/Inputs!F162-1</f>
        <v>0.09881422924901195</v>
      </c>
      <c r="G31" s="29">
        <f>G30/Inputs!G162-1</f>
        <v>0.7905982905982909</v>
      </c>
      <c r="H31" s="36">
        <f t="shared" si="5"/>
        <v>0.5884773662551439</v>
      </c>
      <c r="I31" s="1"/>
      <c r="J31" s="1"/>
      <c r="K31" s="1"/>
      <c r="L31" s="1"/>
    </row>
    <row r="32" ht="15" customHeight="1">
      <c r="A32" s="1"/>
      <c r="B32" s="68" t="s">
        <v>90</v>
      </c>
      <c r="C32" s="31">
        <f>C30-Inputs!G162</f>
        <v>0.0900000000000003</v>
      </c>
      <c r="D32" s="46">
        <f t="shared" si="6"/>
        <v>0.06000000000000005</v>
      </c>
      <c r="E32" s="46" t="s">
        <v>74</v>
      </c>
      <c r="F32" s="46">
        <f t="shared" si="8"/>
        <v>0.2899999999999996</v>
      </c>
      <c r="G32" s="46">
        <f t="shared" si="6"/>
        <v>1.4100000000000006</v>
      </c>
      <c r="H32" s="47">
        <f t="shared" si="6"/>
        <v>-0.3300000000000005</v>
      </c>
      <c r="I32" s="1"/>
      <c r="J32" s="1"/>
      <c r="K32" s="1"/>
      <c r="L32" s="1"/>
    </row>
    <row r="33" ht="15" customHeight="1">
      <c r="A33" s="1"/>
      <c r="B33" s="30" t="s">
        <v>178</v>
      </c>
      <c r="C33" s="54">
        <v>2997</v>
      </c>
      <c r="D33" s="54">
        <v>2923</v>
      </c>
      <c r="E33" s="54">
        <v>11396</v>
      </c>
      <c r="F33" s="54">
        <v>3041</v>
      </c>
      <c r="G33" s="54">
        <v>5110</v>
      </c>
      <c r="H33" s="53">
        <f>H24*H30</f>
        <v>4788.657426492989</v>
      </c>
      <c r="I33" s="1"/>
      <c r="J33" s="1"/>
      <c r="K33" s="1"/>
      <c r="L33" s="1"/>
    </row>
    <row r="34" ht="15" customHeight="1">
      <c r="A34" s="1"/>
      <c r="B34" s="35" t="s">
        <v>72</v>
      </c>
      <c r="C34" s="29">
        <f>C33/Inputs!C124-1</f>
        <v>0.0013364517206815307</v>
      </c>
      <c r="D34" s="29">
        <f>D33/Inputs!D124-1</f>
        <v>0.09230194319880414</v>
      </c>
      <c r="E34" s="29">
        <f>E33/Inputs!E124-1</f>
        <v>-0.030622660768969023</v>
      </c>
      <c r="F34" s="29">
        <f>F33/Inputs!F124-1</f>
        <v>0.12587930396149583</v>
      </c>
      <c r="G34" s="29">
        <f>G33/Inputs!G124-1</f>
        <v>0.8414414414414415</v>
      </c>
      <c r="H34" s="36">
        <f t="shared" si="5"/>
        <v>0.597816959123453</v>
      </c>
      <c r="I34" s="1"/>
      <c r="J34" s="1"/>
      <c r="K34" s="1"/>
      <c r="L34" s="1"/>
    </row>
    <row r="35" ht="15" customHeight="1">
      <c r="A35" s="1"/>
      <c r="B35" s="30" t="s">
        <v>179</v>
      </c>
      <c r="C35" s="54">
        <v>1002</v>
      </c>
      <c r="D35" s="54">
        <v>1013</v>
      </c>
      <c r="E35" s="54">
        <v>3849</v>
      </c>
      <c r="F35" s="54">
        <v>948</v>
      </c>
      <c r="G35" s="54">
        <v>1056</v>
      </c>
      <c r="H35" s="53">
        <f t="shared" si="9"/>
        <v>1092.18</v>
      </c>
      <c r="I35" s="1"/>
      <c r="J35" s="1"/>
      <c r="K35" s="1"/>
      <c r="L35" s="1"/>
    </row>
    <row r="36" ht="15" customHeight="1">
      <c r="A36" s="1"/>
      <c r="B36" s="35" t="s">
        <v>72</v>
      </c>
      <c r="C36" s="29">
        <f>C35/Inputs!C125-1</f>
        <v>0.15704387990762125</v>
      </c>
      <c r="D36" s="29">
        <f>D35/Inputs!D125-1</f>
        <v>0.12430632630410665</v>
      </c>
      <c r="E36" s="29">
        <f>E35/Inputs!E125-1</f>
        <v>0.1198719813791096</v>
      </c>
      <c r="F36" s="29">
        <f>F35/Inputs!F125-1</f>
        <v>0.08591065292096212</v>
      </c>
      <c r="G36" s="29">
        <f>G35/Inputs!G125-1</f>
        <v>0.09885535900104059</v>
      </c>
      <c r="H36" s="48">
        <v>0.09</v>
      </c>
      <c r="I36" s="22" t="s">
        <v>180</v>
      </c>
      <c r="J36" s="1"/>
      <c r="K36" s="1"/>
      <c r="L36" s="1"/>
    </row>
    <row r="37" ht="15" customHeight="1">
      <c r="A37" s="1"/>
      <c r="B37" s="30" t="s">
        <v>181</v>
      </c>
      <c r="C37" s="54">
        <v>779</v>
      </c>
      <c r="D37" s="54">
        <v>919</v>
      </c>
      <c r="E37" s="54">
        <v>3294</v>
      </c>
      <c r="F37" s="54">
        <v>854</v>
      </c>
      <c r="G37" s="54">
        <v>906</v>
      </c>
      <c r="H37" s="53">
        <f t="shared" si="9"/>
        <v>849.11</v>
      </c>
      <c r="I37" s="22" t="s">
        <v>182</v>
      </c>
      <c r="J37" s="1"/>
      <c r="K37" s="1"/>
      <c r="L37" s="1"/>
    </row>
    <row r="38" ht="15" customHeight="1">
      <c r="A38" s="1"/>
      <c r="B38" s="35" t="s">
        <v>72</v>
      </c>
      <c r="C38" s="29">
        <f>C37/Inputs!C126-1</f>
        <v>0.018300653594771177</v>
      </c>
      <c r="D38" s="29">
        <f>D37/Inputs!D126-1</f>
        <v>0.1359703337453646</v>
      </c>
      <c r="E38" s="29">
        <f>E37/Inputs!E126-1</f>
        <v>0.07541625857002932</v>
      </c>
      <c r="F38" s="29">
        <f>F37/Inputs!F126-1</f>
        <v>0.16826265389876882</v>
      </c>
      <c r="G38" s="29">
        <f>G37/Inputs!G126-1</f>
        <v>0.04739884393063587</v>
      </c>
      <c r="H38" s="48">
        <v>0.09</v>
      </c>
      <c r="I38" s="22" t="s">
        <v>183</v>
      </c>
      <c r="J38" s="1"/>
      <c r="K38" s="1"/>
      <c r="L38" s="1"/>
    </row>
    <row r="39" ht="15" customHeight="1">
      <c r="A39" s="1"/>
      <c r="B39" s="30" t="s">
        <v>184</v>
      </c>
      <c r="C39" s="54">
        <v>730</v>
      </c>
      <c r="D39" s="54">
        <v>748</v>
      </c>
      <c r="E39" s="54">
        <v>2939</v>
      </c>
      <c r="F39" s="54">
        <v>756</v>
      </c>
      <c r="G39" s="54">
        <v>762</v>
      </c>
      <c r="H39" s="53">
        <f t="shared" si="9"/>
        <v>767.96</v>
      </c>
      <c r="I39" s="1"/>
      <c r="J39" s="1"/>
      <c r="K39" s="1"/>
      <c r="L39" s="1"/>
    </row>
    <row r="40" ht="15" customHeight="1">
      <c r="A40" s="1"/>
      <c r="B40" s="35" t="s">
        <v>72</v>
      </c>
      <c r="C40" s="29">
        <f>C39/Inputs!C127-1</f>
        <v>-0.016172506738544423</v>
      </c>
      <c r="D40" s="29">
        <f>D39/Inputs!D127-1</f>
        <v>-0.01449275362318836</v>
      </c>
      <c r="E40" s="29">
        <f>E39/Inputs!E127-1</f>
        <v>0.0037568306010928865</v>
      </c>
      <c r="F40" s="29">
        <f>F39/Inputs!F127-1</f>
        <v>0.03988995873452539</v>
      </c>
      <c r="G40" s="29">
        <f>G39/Inputs!G127-1</f>
        <v>0.0395634379263301</v>
      </c>
      <c r="H40" s="48">
        <v>0.052</v>
      </c>
      <c r="I40" s="22" t="s">
        <v>185</v>
      </c>
      <c r="J40" s="1"/>
      <c r="K40" s="1"/>
      <c r="L40" s="1"/>
    </row>
    <row r="41" ht="15" customHeight="1">
      <c r="A41" s="1"/>
      <c r="B41" s="30" t="s">
        <v>186</v>
      </c>
      <c r="C41" s="54">
        <v>686</v>
      </c>
      <c r="D41" s="54">
        <v>681</v>
      </c>
      <c r="E41" s="54">
        <v>2693</v>
      </c>
      <c r="F41" s="54">
        <v>692</v>
      </c>
      <c r="G41" s="54">
        <v>743</v>
      </c>
      <c r="H41" s="53">
        <f t="shared" si="9"/>
        <v>740.88</v>
      </c>
      <c r="I41" s="1"/>
      <c r="J41" s="1"/>
      <c r="K41" s="1"/>
      <c r="L41" s="1"/>
    </row>
    <row r="42" ht="15" customHeight="1">
      <c r="A42" s="1"/>
      <c r="B42" s="35" t="s">
        <v>72</v>
      </c>
      <c r="C42" s="29">
        <f>C41/Inputs!C128-1</f>
        <v>0.053763440860215006</v>
      </c>
      <c r="D42" s="29">
        <f>D41/Inputs!D128-1</f>
        <v>0.019461077844311392</v>
      </c>
      <c r="E42" s="29">
        <f>E41/Inputs!E128-1</f>
        <v>0.07034976152623207</v>
      </c>
      <c r="F42" s="29">
        <f>F41/Inputs!F128-1</f>
        <v>0.06461538461538452</v>
      </c>
      <c r="G42" s="29">
        <f>G41/Inputs!G128-1</f>
        <v>0.09911242603550297</v>
      </c>
      <c r="H42" s="48">
        <v>0.08</v>
      </c>
      <c r="I42" s="22" t="s">
        <v>187</v>
      </c>
      <c r="J42" s="1"/>
      <c r="K42" s="1"/>
      <c r="L42" s="1"/>
    </row>
    <row r="43" ht="15" customHeight="1">
      <c r="A43" s="1"/>
      <c r="B43" s="30" t="s">
        <v>188</v>
      </c>
      <c r="C43" s="54">
        <v>555</v>
      </c>
      <c r="D43" s="54">
        <v>571</v>
      </c>
      <c r="E43" s="54">
        <v>2109</v>
      </c>
      <c r="F43" s="54">
        <v>522</v>
      </c>
      <c r="G43" s="54">
        <v>644</v>
      </c>
      <c r="H43" s="53">
        <f>H45*H10</f>
        <v>651.931731</v>
      </c>
      <c r="I43" s="1"/>
      <c r="J43" s="1"/>
      <c r="K43" s="1"/>
      <c r="L43" s="1"/>
    </row>
    <row r="44" ht="15" customHeight="1">
      <c r="A44" s="1"/>
      <c r="B44" s="35" t="s">
        <v>72</v>
      </c>
      <c r="C44" s="29">
        <f>C43/Inputs!C129-1</f>
        <v>-0.0331010452961672</v>
      </c>
      <c r="D44" s="29">
        <f>D43/Inputs!D129-1</f>
        <v>0.0362976406533575</v>
      </c>
      <c r="E44" s="29">
        <f>E43/Inputs!E129-1</f>
        <v>-0.05468399820708203</v>
      </c>
      <c r="F44" s="29">
        <f>F43/Inputs!F129-1</f>
        <v>0.05241935483870974</v>
      </c>
      <c r="G44" s="29">
        <f>G43/Inputs!G129-1</f>
        <v>0.322381930184805</v>
      </c>
      <c r="H44" s="36">
        <f t="shared" si="5"/>
        <v>0.17465176756756762</v>
      </c>
      <c r="I44" s="1"/>
      <c r="J44" s="1"/>
      <c r="K44" s="1"/>
      <c r="L44" s="1"/>
    </row>
    <row r="45" ht="15" customHeight="1">
      <c r="A45" s="1"/>
      <c r="B45" s="35" t="s">
        <v>189</v>
      </c>
      <c r="C45" s="41">
        <f t="shared" si="10" ref="C45:G45">C43/C10</f>
        <v>0.04017372421281216</v>
      </c>
      <c r="D45" s="41">
        <f t="shared" si="10"/>
        <v>0.04100244147637513</v>
      </c>
      <c r="E45" s="41">
        <f t="shared" si="10"/>
        <v>0.039466297391369434</v>
      </c>
      <c r="F45" s="41">
        <f t="shared" si="10"/>
        <v>0.039647577092511016</v>
      </c>
      <c r="G45" s="41">
        <f t="shared" si="10"/>
        <v>0.04</v>
      </c>
      <c r="H45" s="48">
        <v>0.04</v>
      </c>
      <c r="I45" s="22" t="s">
        <v>190</v>
      </c>
      <c r="J45" s="1"/>
      <c r="K45" s="1"/>
      <c r="L45" s="1"/>
    </row>
    <row r="46" ht="15" customHeight="1">
      <c r="A46" s="1"/>
      <c r="B46" s="64" t="s">
        <v>77</v>
      </c>
      <c r="C46" s="42">
        <f>(C45-Inputs!C129/Inputs!C119)*10000</f>
        <v>-21.535377885151807</v>
      </c>
      <c r="D46" s="42">
        <f>(D45-Inputs!D129/Inputs!D119)*10000</f>
        <v>-5.0414986072468135</v>
      </c>
      <c r="E46" s="42">
        <f>(E45-Inputs!E129/Inputs!E119)*10000</f>
        <v>-35.79101902462203</v>
      </c>
      <c r="F46" s="42">
        <f>(F45-Inputs!F129/Inputs!F119)*10000</f>
        <v>-21.73670799563182</v>
      </c>
      <c r="G46" s="42">
        <f>(G45-Inputs!G129/Inputs!G119)*10000</f>
        <v>48.01965886094245</v>
      </c>
      <c r="H46" s="43">
        <f t="shared" si="15" ref="H46:H136">(H45-C45)*10000</f>
        <v>-1.7372421281215689</v>
      </c>
      <c r="I46" s="1"/>
      <c r="J46" s="1"/>
      <c r="K46" s="1"/>
      <c r="L46" s="1"/>
    </row>
    <row r="47" ht="15" customHeight="1">
      <c r="A47" s="1"/>
      <c r="B47" s="64" t="s">
        <v>78</v>
      </c>
      <c r="C47" s="42">
        <f>(C45-Inputs!G129/Inputs!G119)*10000</f>
        <v>49.756900989064015</v>
      </c>
      <c r="D47" s="44">
        <f t="shared" si="11" ref="D47:H147">(D45-C45)*10000</f>
        <v>8.287172635629696</v>
      </c>
      <c r="E47" s="44" t="s">
        <v>74</v>
      </c>
      <c r="F47" s="44">
        <f t="shared" si="34" ref="F47:F147">(F45-D45)*10000</f>
        <v>-13.548643838641114</v>
      </c>
      <c r="G47" s="44">
        <f t="shared" si="11"/>
        <v>3.524229074889848</v>
      </c>
      <c r="H47" s="43">
        <f t="shared" si="11"/>
        <v>0</v>
      </c>
      <c r="I47" s="1"/>
      <c r="J47" s="1"/>
      <c r="K47" s="1"/>
      <c r="L47" s="1"/>
    </row>
    <row r="48" ht="15" customHeight="1">
      <c r="A48" s="1"/>
      <c r="B48" s="30" t="s">
        <v>191</v>
      </c>
      <c r="C48" s="54">
        <v>54</v>
      </c>
      <c r="D48" s="54">
        <v>79</v>
      </c>
      <c r="E48" s="54">
        <v>252</v>
      </c>
      <c r="F48" s="54">
        <v>83</v>
      </c>
      <c r="G48" s="54">
        <v>112</v>
      </c>
      <c r="H48" s="55">
        <v>125</v>
      </c>
      <c r="I48" s="22" t="s">
        <v>192</v>
      </c>
      <c r="J48" s="1"/>
      <c r="K48" s="1"/>
      <c r="L48" s="1"/>
    </row>
    <row r="49" ht="15" customHeight="1">
      <c r="A49" s="1"/>
      <c r="B49" s="35" t="s">
        <v>72</v>
      </c>
      <c r="C49" s="29">
        <f>C48/Inputs!C130-1</f>
        <v>-0.16923076923076918</v>
      </c>
      <c r="D49" s="29">
        <f>D48/Inputs!D130-1</f>
        <v>0.7555555555555555</v>
      </c>
      <c r="E49" s="29">
        <f>E48/Inputs!E130-1</f>
        <v>0.30569948186528495</v>
      </c>
      <c r="F49" s="29">
        <f>F48/Inputs!F130-1</f>
        <v>0.6274509803921569</v>
      </c>
      <c r="G49" s="29">
        <f>G48/Inputs!G130-1</f>
        <v>0.6716417910447761</v>
      </c>
      <c r="H49" s="36">
        <f t="shared" si="5"/>
        <v>1.3148148148148149</v>
      </c>
      <c r="I49" s="1"/>
      <c r="J49" s="1"/>
      <c r="K49" s="1"/>
      <c r="L49" s="1"/>
    </row>
    <row r="50" ht="25.5" customHeight="1">
      <c r="A50" s="1"/>
      <c r="B50" s="30" t="s">
        <v>193</v>
      </c>
      <c r="C50" s="54">
        <v>-73</v>
      </c>
      <c r="D50" s="54">
        <v>-8</v>
      </c>
      <c r="E50" s="54">
        <v>259</v>
      </c>
      <c r="F50" s="54">
        <v>-389</v>
      </c>
      <c r="G50" s="54">
        <v>-145</v>
      </c>
      <c r="H50" s="55">
        <v>-100</v>
      </c>
      <c r="I50" s="18" t="s">
        <v>194</v>
      </c>
      <c r="J50" s="1"/>
      <c r="K50" s="1"/>
      <c r="L50" s="1"/>
    </row>
    <row r="51" ht="15" customHeight="1">
      <c r="A51" s="1"/>
      <c r="B51" s="30" t="s">
        <v>195</v>
      </c>
      <c r="C51" s="54">
        <v>2546</v>
      </c>
      <c r="D51" s="54">
        <v>2560</v>
      </c>
      <c r="E51" s="54">
        <v>9919</v>
      </c>
      <c r="F51" s="54">
        <v>2542</v>
      </c>
      <c r="G51" s="54">
        <v>2702</v>
      </c>
      <c r="H51" s="53">
        <f t="shared" si="9"/>
        <v>2762.41</v>
      </c>
      <c r="I51" s="1"/>
      <c r="J51" s="1"/>
      <c r="K51" s="1"/>
      <c r="L51" s="1"/>
    </row>
    <row r="52" ht="15" customHeight="1">
      <c r="A52" s="1"/>
      <c r="B52" s="35" t="s">
        <v>72</v>
      </c>
      <c r="C52" s="29">
        <f>C51/Inputs!C132-1</f>
        <v>0.10503472222222232</v>
      </c>
      <c r="D52" s="29">
        <f>D51/Inputs!D132-1</f>
        <v>0.07112970711297062</v>
      </c>
      <c r="E52" s="29">
        <f>E51/Inputs!E132-1</f>
        <v>0.09565889760300461</v>
      </c>
      <c r="F52" s="29">
        <f>F51/Inputs!F132-1</f>
        <v>0.09286328460877047</v>
      </c>
      <c r="G52" s="29">
        <f>G51/Inputs!G132-1</f>
        <v>0.08644953759549656</v>
      </c>
      <c r="H52" s="48">
        <v>0.085</v>
      </c>
      <c r="I52" s="22" t="s">
        <v>196</v>
      </c>
      <c r="J52" s="1"/>
      <c r="K52" s="1"/>
      <c r="L52" s="1"/>
    </row>
    <row r="53" ht="15" customHeight="1">
      <c r="A53" s="1"/>
      <c r="B53" s="3" t="s">
        <v>197</v>
      </c>
      <c r="C53" s="56">
        <f t="shared" si="12" ref="C53:H53">C22+C33+C35+C37+C39+C41+C43+C48+C50+C51</f>
        <v>13831</v>
      </c>
      <c r="D53" s="56">
        <f t="shared" si="12"/>
        <v>14010</v>
      </c>
      <c r="E53" s="56">
        <f t="shared" si="12"/>
        <v>54357</v>
      </c>
      <c r="F53" s="56">
        <f t="shared" si="12"/>
        <v>13611</v>
      </c>
      <c r="G53" s="56">
        <f t="shared" si="12"/>
        <v>16576</v>
      </c>
      <c r="H53" s="57">
        <f t="shared" si="12"/>
        <v>16545.71351422408</v>
      </c>
      <c r="I53" s="1"/>
      <c r="J53" s="1"/>
      <c r="K53" s="1"/>
      <c r="L53" s="1"/>
    </row>
    <row r="54" ht="15" customHeight="1">
      <c r="A54" s="1"/>
      <c r="B54" s="35" t="s">
        <v>72</v>
      </c>
      <c r="C54" s="29">
        <f>C53/Inputs!C133-1</f>
        <v>0.04164783852989906</v>
      </c>
      <c r="D54" s="29">
        <f>D53/Inputs!D133-1</f>
        <v>0.06200727713765919</v>
      </c>
      <c r="E54" s="29">
        <f>E53/Inputs!E133-1</f>
        <v>0.045990724883098855</v>
      </c>
      <c r="F54" s="29">
        <f>F53/Inputs!F133-1</f>
        <v>0.07980959936533116</v>
      </c>
      <c r="G54" s="29">
        <f>G53/Inputs!G133-1</f>
        <v>0.19157501257997267</v>
      </c>
      <c r="H54" s="36">
        <f t="shared" si="5"/>
        <v>0.19627745746685554</v>
      </c>
      <c r="I54" s="1"/>
      <c r="J54" s="1"/>
      <c r="K54" s="1"/>
      <c r="L54" s="1"/>
    </row>
    <row r="55" ht="38.25" customHeight="1">
      <c r="A55" s="1"/>
      <c r="B55" s="30" t="s">
        <v>198</v>
      </c>
      <c r="C55" s="54">
        <v>13830</v>
      </c>
      <c r="D55" s="54">
        <v>14011</v>
      </c>
      <c r="E55" s="54">
        <v>54356</v>
      </c>
      <c r="F55" s="54">
        <v>13611</v>
      </c>
      <c r="G55" s="54">
        <v>16576</v>
      </c>
      <c r="H55" s="53" t="s">
        <v>41</v>
      </c>
      <c r="I55" s="71" t="s">
        <v>199</v>
      </c>
      <c r="J55" s="1"/>
      <c r="K55" s="1"/>
      <c r="L55" s="1"/>
    </row>
    <row r="56" ht="15" customHeight="1">
      <c r="A56" s="1"/>
      <c r="B56" s="3" t="s">
        <v>200</v>
      </c>
      <c r="C56" s="56">
        <f t="shared" si="13" ref="C56:H56">C13-C53</f>
        <v>1394</v>
      </c>
      <c r="D56" s="56">
        <f t="shared" si="13"/>
        <v>1387</v>
      </c>
      <c r="E56" s="56">
        <f t="shared" si="13"/>
        <v>4713</v>
      </c>
      <c r="F56" s="56">
        <f t="shared" si="13"/>
        <v>997</v>
      </c>
      <c r="G56" s="56">
        <f t="shared" si="13"/>
        <v>1096</v>
      </c>
      <c r="H56" s="57">
        <f t="shared" si="13"/>
        <v>1360.3671607759206</v>
      </c>
      <c r="I56" s="1"/>
      <c r="J56" s="1"/>
      <c r="K56" s="1"/>
      <c r="L56" s="1"/>
    </row>
    <row r="57" ht="15" customHeight="1">
      <c r="A57" s="1"/>
      <c r="B57" s="35" t="s">
        <v>72</v>
      </c>
      <c r="C57" s="29">
        <f>C56/Inputs!C134-1</f>
        <v>-0.10926517571884986</v>
      </c>
      <c r="D57" s="29">
        <f>D56/Inputs!D134-1</f>
        <v>-0.07717897538256824</v>
      </c>
      <c r="E57" s="29">
        <f>E56/Inputs!E134-1</f>
        <v>-0.07515698587127162</v>
      </c>
      <c r="F57" s="29">
        <f>F56/Inputs!F134-1</f>
        <v>0.6425041186161449</v>
      </c>
      <c r="G57" s="29">
        <f>G56/Inputs!G134-1</f>
        <v>-0.17283018867924527</v>
      </c>
      <c r="H57" s="36">
        <f t="shared" si="5"/>
        <v>-0.02412685740608278</v>
      </c>
      <c r="I57" s="1"/>
      <c r="J57" s="1"/>
      <c r="K57" s="1"/>
      <c r="L57" s="1"/>
    </row>
    <row r="58" ht="15" customHeight="1">
      <c r="A58" s="1"/>
      <c r="B58" s="28" t="s">
        <v>201</v>
      </c>
      <c r="C58" s="41">
        <f t="shared" si="14" ref="C58:H58">C56/C13</f>
        <v>0.09155993431855501</v>
      </c>
      <c r="D58" s="41">
        <f t="shared" si="14"/>
        <v>0.09008248360070144</v>
      </c>
      <c r="E58" s="41">
        <f t="shared" si="14"/>
        <v>0.0797866937531742</v>
      </c>
      <c r="F58" s="41">
        <f t="shared" si="14"/>
        <v>0.06825027382256298</v>
      </c>
      <c r="G58" s="41">
        <f t="shared" si="14"/>
        <v>0.06201901312811227</v>
      </c>
      <c r="H58" s="36">
        <f t="shared" si="14"/>
        <v>0.07597235740567335</v>
      </c>
      <c r="I58" s="1"/>
      <c r="J58" s="1"/>
      <c r="K58" s="1"/>
      <c r="L58" s="1"/>
    </row>
    <row r="59" ht="15" customHeight="1">
      <c r="A59" s="1"/>
      <c r="B59" s="35" t="s">
        <v>77</v>
      </c>
      <c r="C59" s="42">
        <f>(C58-Inputs!C134/Inputs!C122)*10000</f>
        <v>-138.76971967236264</v>
      </c>
      <c r="D59" s="42">
        <f>(D58-Inputs!D134/Inputs!D122)*10000</f>
        <v>-121.97203367655146</v>
      </c>
      <c r="E59" s="42">
        <f>(E58-Inputs!E134/Inputs!E122)*10000</f>
        <v>-95.18109709665129</v>
      </c>
      <c r="F59" s="42">
        <f>(F58-Inputs!F134/Inputs!F122)*10000</f>
        <v>223.10668888028803</v>
      </c>
      <c r="G59" s="42">
        <f>(G58-Inputs!G134/Inputs!G122)*10000</f>
        <v>-249.46069570758831</v>
      </c>
      <c r="H59" s="43">
        <f t="shared" si="15"/>
        <v>-155.87576912881664</v>
      </c>
      <c r="I59" s="1"/>
      <c r="J59" s="1"/>
      <c r="K59" s="1"/>
      <c r="L59" s="1"/>
    </row>
    <row r="60" ht="15" customHeight="1">
      <c r="A60" s="1"/>
      <c r="B60" s="49" t="s">
        <v>202</v>
      </c>
      <c r="C60" s="56">
        <f t="shared" si="16" ref="C60:H60">C56+C50</f>
        <v>1321</v>
      </c>
      <c r="D60" s="56">
        <f t="shared" si="16"/>
        <v>1379</v>
      </c>
      <c r="E60" s="56">
        <f t="shared" si="16"/>
        <v>4972</v>
      </c>
      <c r="F60" s="56">
        <f t="shared" si="16"/>
        <v>608</v>
      </c>
      <c r="G60" s="56">
        <f t="shared" si="16"/>
        <v>951</v>
      </c>
      <c r="H60" s="57">
        <f t="shared" si="16"/>
        <v>1260.3671607759206</v>
      </c>
      <c r="I60" s="22" t="s">
        <v>203</v>
      </c>
      <c r="J60" s="1"/>
      <c r="K60" s="1"/>
      <c r="L60" s="1"/>
    </row>
    <row r="61" ht="15" customHeight="1">
      <c r="A61" s="1"/>
      <c r="B61" s="35" t="s">
        <v>72</v>
      </c>
      <c r="C61" s="29">
        <f>C60/(Inputs!C134+Inputs!C131)-1</f>
        <v>-0.15320512820512822</v>
      </c>
      <c r="D61" s="29">
        <f>D60/(Inputs!D134+Inputs!D131)-1</f>
        <v>-0.12221514958625079</v>
      </c>
      <c r="E61" s="29">
        <f>E60/(Inputs!E134+Inputs!E131)-1</f>
        <v>-0.04531490015360984</v>
      </c>
      <c r="F61" s="29">
        <f>F60/(Inputs!F134+Inputs!F131)-1</f>
        <v>0.2184368737474951</v>
      </c>
      <c r="G61" s="29">
        <f>G60/(Inputs!G134+Inputs!G131)-1</f>
        <v>-0.4633182844243793</v>
      </c>
      <c r="H61" s="36">
        <f t="shared" si="5"/>
        <v>-0.04589919699021905</v>
      </c>
      <c r="I61" s="1"/>
      <c r="J61" s="1"/>
      <c r="K61" s="1"/>
      <c r="L61" s="1"/>
    </row>
    <row r="62" ht="15" customHeight="1">
      <c r="A62" s="1"/>
      <c r="B62" s="28" t="s">
        <v>204</v>
      </c>
      <c r="C62" s="41">
        <f t="shared" si="17" ref="C62:H62">C60/C13</f>
        <v>0.08676518883415435</v>
      </c>
      <c r="D62" s="41">
        <f t="shared" si="17"/>
        <v>0.08956290186399948</v>
      </c>
      <c r="E62" s="41">
        <f t="shared" si="17"/>
        <v>0.08417132216014897</v>
      </c>
      <c r="F62" s="41">
        <f t="shared" si="17"/>
        <v>0.0416210295728368</v>
      </c>
      <c r="G62" s="41">
        <f t="shared" si="17"/>
        <v>0.05381394296061566</v>
      </c>
      <c r="H62" s="36">
        <f t="shared" si="17"/>
        <v>0.07038766236184851</v>
      </c>
      <c r="I62" s="1"/>
      <c r="J62" s="1"/>
      <c r="K62" s="1"/>
      <c r="L62" s="1"/>
    </row>
    <row r="63" ht="15" customHeight="1">
      <c r="A63" s="1"/>
      <c r="B63" s="35" t="s">
        <v>77</v>
      </c>
      <c r="C63" s="42">
        <f>(C62-(Inputs!C134+Inputs!C131)/Inputs!C122)*10000</f>
        <v>-183.34858326123222</v>
      </c>
      <c r="D63" s="42">
        <f>(D62-(Inputs!D134+Inputs!D131)/Inputs!D122)*10000</f>
        <v>-173.4420939833464</v>
      </c>
      <c r="E63" s="42">
        <f>(E62-(Inputs!E134+Inputs!E131)/Inputs!E122)*10000</f>
        <v>-70.96224235939557</v>
      </c>
      <c r="F63" s="42">
        <f>(F62-(Inputs!F134+Inputs!F131)/Inputs!F122)*10000</f>
        <v>38.55192896835898</v>
      </c>
      <c r="G63" s="42">
        <f>(G62-(Inputs!G134+Inputs!G131)/Inputs!G122)*10000</f>
        <v>-624.8954876949723</v>
      </c>
      <c r="H63" s="43">
        <f t="shared" si="15"/>
        <v>-163.77526472305837</v>
      </c>
      <c r="I63" s="1"/>
      <c r="J63" s="1"/>
      <c r="K63" s="1"/>
      <c r="L63" s="1"/>
    </row>
    <row r="64" ht="15" customHeight="1">
      <c r="A64" s="1"/>
      <c r="B64" s="1"/>
      <c r="C64" s="1"/>
      <c r="D64" s="1"/>
      <c r="E64" s="1"/>
      <c r="F64" s="1"/>
      <c r="G64" s="1"/>
      <c r="H64" s="32"/>
      <c r="I64" s="1"/>
      <c r="J64" s="1"/>
      <c r="K64" s="1"/>
      <c r="L64" s="1"/>
    </row>
    <row r="65" ht="15" customHeight="1">
      <c r="A65" s="1"/>
      <c r="B65" s="3" t="s">
        <v>205</v>
      </c>
      <c r="C65" s="1"/>
      <c r="D65" s="1"/>
      <c r="E65" s="1"/>
      <c r="F65" s="1"/>
      <c r="G65" s="1"/>
      <c r="H65" s="32"/>
      <c r="I65" s="1"/>
      <c r="J65" s="1"/>
      <c r="K65" s="1"/>
      <c r="L65" s="1"/>
    </row>
    <row r="66" ht="15" customHeight="1">
      <c r="A66" s="1"/>
      <c r="B66" s="30" t="s">
        <v>206</v>
      </c>
      <c r="C66" s="31">
        <f>C53/'Revenue summary'!C11*100</f>
        <v>15.821865312239039</v>
      </c>
      <c r="D66" s="31">
        <f>D53/'Revenue summary'!D11*100</f>
        <v>16.805613866730642</v>
      </c>
      <c r="E66" s="31">
        <f>E53/'Revenue summary'!E11*100</f>
        <v>16.457654624504972</v>
      </c>
      <c r="F66" s="31">
        <f>F53/'Revenue summary'!F11*100</f>
        <v>17.51782542665191</v>
      </c>
      <c r="G66" s="31">
        <f>G53/'Revenue summary'!G11*100</f>
        <v>18.991968285612803</v>
      </c>
      <c r="H66" s="72">
        <f>H53/'Revenue summary'!H11*100</f>
        <v>18.661127760474855</v>
      </c>
      <c r="I66" s="1"/>
      <c r="J66" s="1"/>
      <c r="K66" s="1"/>
      <c r="L66" s="1"/>
    </row>
    <row r="67" ht="15" customHeight="1">
      <c r="A67" s="1"/>
      <c r="B67" s="35" t="s">
        <v>72</v>
      </c>
      <c r="C67" s="29">
        <f>C66/(Inputs!C133/Inputs!C156*100)-1</f>
        <v>-0.02836969466389261</v>
      </c>
      <c r="D67" s="29">
        <f>D66/(Inputs!D133/Inputs!D156*100)-1</f>
        <v>-0.0025424844320225404</v>
      </c>
      <c r="E67" s="29">
        <f>E66/(Inputs!E133/Inputs!E156*100)-1</f>
        <v>-0.014494726590609575</v>
      </c>
      <c r="F67" s="29">
        <f>F66/(Inputs!F133/Inputs!F156*100)-1</f>
        <v>0.0444682030464294</v>
      </c>
      <c r="G67" s="29">
        <f>G66/(Inputs!G133/Inputs!G156*100)-1</f>
        <v>0.15154593414318396</v>
      </c>
      <c r="H67" s="36">
        <f t="shared" si="5"/>
        <v>0.17945181508020402</v>
      </c>
      <c r="I67" s="1"/>
      <c r="J67" s="1"/>
      <c r="K67" s="1"/>
      <c r="L67" s="1"/>
    </row>
    <row r="68" ht="15" customHeight="1">
      <c r="A68" s="1"/>
      <c r="B68" s="37" t="s">
        <v>85</v>
      </c>
      <c r="C68" s="31">
        <f>C66-Inputs!G133/Inputs!G156*100</f>
        <v>-0.6707188934825634</v>
      </c>
      <c r="D68" s="46">
        <f t="shared" si="6"/>
        <v>0.9837485544916031</v>
      </c>
      <c r="E68" s="46" t="s">
        <v>74</v>
      </c>
      <c r="F68" s="46">
        <f t="shared" si="8"/>
        <v>0.7122115599212684</v>
      </c>
      <c r="G68" s="46">
        <f t="shared" si="6"/>
        <v>1.4741428589608923</v>
      </c>
      <c r="H68" s="47">
        <f t="shared" si="6"/>
        <v>-0.3308405251379476</v>
      </c>
      <c r="I68" s="1"/>
      <c r="J68" s="1"/>
      <c r="K68" s="1"/>
      <c r="L68" s="1"/>
    </row>
    <row r="69" ht="15" customHeight="1">
      <c r="A69" s="1"/>
      <c r="B69" s="30" t="s">
        <v>207</v>
      </c>
      <c r="C69" s="54">
        <v>59</v>
      </c>
      <c r="D69" s="54">
        <v>64</v>
      </c>
      <c r="E69" s="54">
        <v>263</v>
      </c>
      <c r="F69" s="54">
        <v>65</v>
      </c>
      <c r="G69" s="54">
        <v>68</v>
      </c>
      <c r="H69" s="55">
        <v>60</v>
      </c>
      <c r="I69" s="22" t="s">
        <v>208</v>
      </c>
      <c r="J69" s="1"/>
      <c r="K69" s="1"/>
      <c r="L69" s="1"/>
    </row>
    <row r="70" ht="15" customHeight="1">
      <c r="A70" s="1"/>
      <c r="B70" s="30" t="s">
        <v>209</v>
      </c>
      <c r="C70" s="31">
        <f>(C53-C33-C21-C50-C69)/'Revenue summary'!C11*100</f>
        <v>12.148666735303202</v>
      </c>
      <c r="D70" s="31">
        <f>(D53-D33-D21-D50-D69)/'Revenue summary'!D11*100</f>
        <v>12.939482996461344</v>
      </c>
      <c r="E70" s="31">
        <f>(E53-E33-E21-E50-E69)/'Revenue summary'!E11*100</f>
        <v>12.636094997032856</v>
      </c>
      <c r="F70" s="31">
        <f>(F53-F33-F21-F50-F69)/'Revenue summary'!F11*100</f>
        <v>13.945017889778372</v>
      </c>
      <c r="G70" s="31">
        <f>(G53-G33-G21-G50-G69)/'Revenue summary'!G11*100</f>
        <v>13.122286002360248</v>
      </c>
      <c r="H70" s="72">
        <f>(H53-H33-H21-H50-H69)/'Revenue summary'!H11*100</f>
        <v>13.134861781650873</v>
      </c>
      <c r="I70" s="22" t="s">
        <v>210</v>
      </c>
      <c r="J70" s="1"/>
      <c r="K70" s="1"/>
      <c r="L70" s="1"/>
    </row>
    <row r="71" ht="15" customHeight="1">
      <c r="A71" s="1"/>
      <c r="B71" s="37" t="s">
        <v>85</v>
      </c>
      <c r="C71" s="31">
        <f>C70-Inputs!G154</f>
        <v>-0.21133326469679758</v>
      </c>
      <c r="D71" s="46">
        <f t="shared" si="7"/>
        <v>0.7908162611581417</v>
      </c>
      <c r="E71" s="46" t="s">
        <v>74</v>
      </c>
      <c r="F71" s="46">
        <f t="shared" si="18"/>
        <v>1.0055348933170283</v>
      </c>
      <c r="G71" s="46">
        <f t="shared" si="7"/>
        <v>-0.822731887418124</v>
      </c>
      <c r="H71" s="47">
        <f t="shared" si="7"/>
        <v>0.012575779290624922</v>
      </c>
      <c r="I71" s="1"/>
      <c r="J71" s="1"/>
      <c r="K71" s="1"/>
      <c r="L71" s="1"/>
    </row>
    <row r="72" ht="15" customHeight="1">
      <c r="A72" s="1"/>
      <c r="B72" s="35" t="s">
        <v>72</v>
      </c>
      <c r="C72" s="29">
        <f>C70/Inputs!C154-1</f>
        <v>-0.009081016696313005</v>
      </c>
      <c r="D72" s="29">
        <f>D70/Inputs!D154-1</f>
        <v>0.0038388670644950995</v>
      </c>
      <c r="E72" s="29">
        <f>E70/Inputs!E154-1</f>
        <v>0.004459061767317696</v>
      </c>
      <c r="F72" s="29">
        <f>F70/Inputs!F154-1</f>
        <v>0.058847220180590076</v>
      </c>
      <c r="G72" s="29">
        <f>G70/Inputs!G154-1</f>
        <v>0.061673624786427794</v>
      </c>
      <c r="H72" s="36">
        <f>H70/C70-1</f>
        <v>0.08117722445063502</v>
      </c>
      <c r="I72" s="22" t="s">
        <v>211</v>
      </c>
      <c r="J72" s="1"/>
      <c r="K72" s="1"/>
      <c r="L72" s="1"/>
    </row>
    <row r="73" ht="15" customHeight="1">
      <c r="A73" s="1"/>
      <c r="B73" s="1"/>
      <c r="C73" s="1"/>
      <c r="D73" s="1"/>
      <c r="E73" s="1"/>
      <c r="F73" s="1"/>
      <c r="G73" s="1"/>
      <c r="H73" s="32"/>
      <c r="I73" s="1"/>
      <c r="J73" s="1"/>
      <c r="K73" s="1"/>
      <c r="L73" s="1"/>
    </row>
    <row r="74" ht="15" customHeight="1">
      <c r="A74" s="1"/>
      <c r="B74" s="3" t="s">
        <v>212</v>
      </c>
      <c r="C74" s="1"/>
      <c r="D74" s="1"/>
      <c r="E74" s="1"/>
      <c r="F74" s="1"/>
      <c r="G74" s="1"/>
      <c r="H74" s="32"/>
      <c r="I74" s="1"/>
      <c r="J74" s="1"/>
      <c r="K74" s="1"/>
      <c r="L74" s="1"/>
    </row>
    <row r="75" ht="15" customHeight="1">
      <c r="A75" s="1"/>
      <c r="B75" s="30" t="s">
        <v>213</v>
      </c>
      <c r="C75" s="54">
        <v>-331</v>
      </c>
      <c r="D75" s="54">
        <v>-324</v>
      </c>
      <c r="E75" s="54">
        <v>-1373</v>
      </c>
      <c r="F75" s="54">
        <v>-327</v>
      </c>
      <c r="G75" s="54">
        <v>-343</v>
      </c>
      <c r="H75" s="55">
        <v>-358</v>
      </c>
      <c r="I75" s="22" t="s">
        <v>214</v>
      </c>
      <c r="J75" s="1"/>
      <c r="K75" s="1"/>
      <c r="L75" s="1"/>
    </row>
    <row r="76" ht="15" customHeight="1">
      <c r="A76" s="1"/>
      <c r="B76" s="30" t="s">
        <v>215</v>
      </c>
      <c r="C76" s="54">
        <v>142</v>
      </c>
      <c r="D76" s="54">
        <v>137</v>
      </c>
      <c r="E76" s="54">
        <v>611</v>
      </c>
      <c r="F76" s="54">
        <v>135</v>
      </c>
      <c r="G76" s="54">
        <v>148</v>
      </c>
      <c r="H76" s="55">
        <v>155</v>
      </c>
      <c r="I76" s="22" t="s">
        <v>216</v>
      </c>
      <c r="J76" s="1"/>
      <c r="K76" s="1"/>
      <c r="L76" s="1"/>
    </row>
    <row r="77" ht="15" customHeight="1">
      <c r="A77" s="1"/>
      <c r="B77" s="30" t="s">
        <v>217</v>
      </c>
      <c r="C77" s="54">
        <v>53</v>
      </c>
      <c r="D77" s="54">
        <v>54</v>
      </c>
      <c r="E77" s="54">
        <v>206</v>
      </c>
      <c r="F77" s="54">
        <v>54</v>
      </c>
      <c r="G77" s="54">
        <v>59</v>
      </c>
      <c r="H77" s="55">
        <v>60</v>
      </c>
      <c r="I77" s="22" t="s">
        <v>218</v>
      </c>
      <c r="J77" s="1"/>
      <c r="K77" s="1"/>
      <c r="L77" s="1"/>
    </row>
    <row r="78" ht="15" customHeight="1">
      <c r="A78" s="1"/>
      <c r="B78" s="30" t="s">
        <v>219</v>
      </c>
      <c r="C78" s="54">
        <v>-13</v>
      </c>
      <c r="D78" s="54">
        <v>13</v>
      </c>
      <c r="E78" s="54">
        <v>4</v>
      </c>
      <c r="F78" s="54">
        <v>-13</v>
      </c>
      <c r="G78" s="54">
        <v>40</v>
      </c>
      <c r="H78" s="55">
        <v>0</v>
      </c>
      <c r="I78" s="22" t="s">
        <v>220</v>
      </c>
      <c r="J78" s="1"/>
      <c r="K78" s="1"/>
      <c r="L78" s="1"/>
    </row>
    <row r="79" ht="15" customHeight="1">
      <c r="A79" s="1"/>
      <c r="B79" s="30" t="s">
        <v>221</v>
      </c>
      <c r="C79" s="54">
        <v>9</v>
      </c>
      <c r="D79" s="54">
        <v>59</v>
      </c>
      <c r="E79" s="54">
        <v>144</v>
      </c>
      <c r="F79" s="54">
        <v>24</v>
      </c>
      <c r="G79" s="54">
        <v>26</v>
      </c>
      <c r="H79" s="55">
        <v>25</v>
      </c>
      <c r="I79" s="22" t="s">
        <v>222</v>
      </c>
      <c r="J79" s="1"/>
      <c r="K79" s="1"/>
      <c r="L79" s="1"/>
    </row>
    <row r="80" ht="15" customHeight="1">
      <c r="A80" s="1"/>
      <c r="B80" s="3" t="s">
        <v>223</v>
      </c>
      <c r="C80" s="56">
        <f t="shared" si="19" ref="C80:H109">C75+C76+C77+C78+C79</f>
        <v>-140</v>
      </c>
      <c r="D80" s="56">
        <f t="shared" si="19"/>
        <v>-61</v>
      </c>
      <c r="E80" s="56">
        <f t="shared" si="19"/>
        <v>-408</v>
      </c>
      <c r="F80" s="56">
        <f t="shared" si="19"/>
        <v>-127</v>
      </c>
      <c r="G80" s="56">
        <f t="shared" si="19"/>
        <v>-70</v>
      </c>
      <c r="H80" s="57">
        <f t="shared" si="19"/>
        <v>-118</v>
      </c>
      <c r="I80" s="1"/>
      <c r="J80" s="1"/>
      <c r="K80" s="1"/>
      <c r="L80" s="1"/>
    </row>
    <row r="81" ht="15" customHeight="1">
      <c r="A81" s="1"/>
      <c r="B81" s="3" t="s">
        <v>224</v>
      </c>
      <c r="C81" s="56">
        <f t="shared" si="20" ref="C81:H81">C56+C80</f>
        <v>1254</v>
      </c>
      <c r="D81" s="56">
        <f t="shared" si="20"/>
        <v>1326</v>
      </c>
      <c r="E81" s="56">
        <f t="shared" si="20"/>
        <v>4305</v>
      </c>
      <c r="F81" s="56">
        <f t="shared" si="20"/>
        <v>870</v>
      </c>
      <c r="G81" s="56">
        <f t="shared" si="20"/>
        <v>1026</v>
      </c>
      <c r="H81" s="57">
        <f t="shared" si="20"/>
        <v>1242.3671607759206</v>
      </c>
      <c r="I81" s="1"/>
      <c r="J81" s="1"/>
      <c r="K81" s="1"/>
      <c r="L81" s="1"/>
    </row>
    <row r="82" ht="15" customHeight="1">
      <c r="A82" s="1"/>
      <c r="B82" s="35" t="s">
        <v>72</v>
      </c>
      <c r="C82" s="29">
        <f>C81/Inputs!C141-1</f>
        <v>-0.02488335925349927</v>
      </c>
      <c r="D82" s="29">
        <f>D81/Inputs!D141-1</f>
        <v>0.014537107880642663</v>
      </c>
      <c r="E82" s="29">
        <f>E81/Inputs!E141-1</f>
        <v>0.03286948176583504</v>
      </c>
      <c r="F82" s="29">
        <f>F81/Inputs!F141-1</f>
        <v>0.8200836820083681</v>
      </c>
      <c r="G82" s="29">
        <f>G81/Inputs!G141-1</f>
        <v>-0.17788461538461542</v>
      </c>
      <c r="H82" s="36">
        <f t="shared" si="5"/>
        <v>-0.009276586303093581</v>
      </c>
      <c r="I82" s="1"/>
      <c r="J82" s="1"/>
      <c r="K82" s="1"/>
      <c r="L82" s="1"/>
    </row>
    <row r="83" ht="15" customHeight="1">
      <c r="A83" s="1"/>
      <c r="B83" s="28" t="s">
        <v>225</v>
      </c>
      <c r="C83" s="41">
        <f t="shared" si="21" ref="C83:H83">C81/C13</f>
        <v>0.08236453201970444</v>
      </c>
      <c r="D83" s="41">
        <f t="shared" si="21"/>
        <v>0.08612067285834903</v>
      </c>
      <c r="E83" s="41">
        <f t="shared" si="21"/>
        <v>0.0728796343321483</v>
      </c>
      <c r="F83" s="41">
        <f t="shared" si="21"/>
        <v>0.05955640744797371</v>
      </c>
      <c r="G83" s="41">
        <f t="shared" si="21"/>
        <v>0.05805794477138977</v>
      </c>
      <c r="H83" s="36">
        <f t="shared" si="21"/>
        <v>0.06938241725396005</v>
      </c>
      <c r="I83" s="1"/>
      <c r="J83" s="1"/>
      <c r="K83" s="1"/>
      <c r="L83" s="1"/>
    </row>
    <row r="84" ht="15" customHeight="1">
      <c r="A84" s="1"/>
      <c r="B84" s="35" t="s">
        <v>77</v>
      </c>
      <c r="C84" s="42">
        <f>(C83-Inputs!C141/Inputs!C122)*10000</f>
        <v>-42.75635062421818</v>
      </c>
      <c r="D84" s="42">
        <f>(D83-Inputs!D141/Inputs!D122)*10000</f>
        <v>-28.211440861899277</v>
      </c>
      <c r="E84" s="42">
        <f>(E83-Inputs!E141/Inputs!E122)*10000</f>
        <v>-1.6244196948324297</v>
      </c>
      <c r="F84" s="42">
        <f>(F83-Inputs!F141/Inputs!F122)*10000</f>
        <v>233.79914600020936</v>
      </c>
      <c r="G84" s="42">
        <f>(G83-Inputs!G141/Inputs!G122)*10000</f>
        <v>-238.53318027245038</v>
      </c>
      <c r="H84" s="43">
        <f t="shared" si="15"/>
        <v>-129.82114765744387</v>
      </c>
      <c r="I84" s="1"/>
      <c r="J84" s="1"/>
      <c r="K84" s="1"/>
      <c r="L84" s="1"/>
    </row>
    <row r="85" ht="15" customHeight="1">
      <c r="A85" s="1"/>
      <c r="B85" s="30" t="s">
        <v>226</v>
      </c>
      <c r="C85" s="54">
        <v>306</v>
      </c>
      <c r="D85" s="54">
        <v>281</v>
      </c>
      <c r="E85" s="54">
        <v>953</v>
      </c>
      <c r="F85" s="54">
        <v>172</v>
      </c>
      <c r="G85" s="54">
        <v>221</v>
      </c>
      <c r="H85" s="53">
        <f>H112*H115+H108</f>
        <v>277.7444469784618</v>
      </c>
      <c r="I85" s="1"/>
      <c r="J85" s="1"/>
      <c r="K85" s="1"/>
      <c r="L85" s="1"/>
    </row>
    <row r="86" ht="15" customHeight="1">
      <c r="A86" s="1"/>
      <c r="B86" s="35" t="s">
        <v>227</v>
      </c>
      <c r="C86" s="41">
        <f t="shared" si="22" ref="C86:H86">C85/C81</f>
        <v>0.24401913875598086</v>
      </c>
      <c r="D86" s="41">
        <f t="shared" si="22"/>
        <v>0.2119155354449472</v>
      </c>
      <c r="E86" s="41">
        <f t="shared" si="22"/>
        <v>0.22137049941927991</v>
      </c>
      <c r="F86" s="41">
        <f t="shared" si="22"/>
        <v>0.19770114942528735</v>
      </c>
      <c r="G86" s="41">
        <f t="shared" si="22"/>
        <v>0.21539961013645223</v>
      </c>
      <c r="H86" s="36">
        <f t="shared" si="22"/>
        <v>0.22356067976313576</v>
      </c>
      <c r="I86" s="1"/>
      <c r="J86" s="1"/>
      <c r="K86" s="1"/>
      <c r="L86" s="1"/>
    </row>
    <row r="87" ht="15" customHeight="1">
      <c r="A87" s="1"/>
      <c r="B87" s="35" t="s">
        <v>77</v>
      </c>
      <c r="C87" s="42">
        <f>(C86-Inputs!C142/Inputs!C141)*10000</f>
        <v>-55.92058755683221</v>
      </c>
      <c r="D87" s="42">
        <f>(D86-Inputs!D142/Inputs!D141)*10000</f>
        <v>-344.50187584892126</v>
      </c>
      <c r="E87" s="42">
        <f>(E86-Inputs!E142/Inputs!E141)*10000</f>
        <v>-231.1126641565292</v>
      </c>
      <c r="F87" s="42">
        <f>(F86-Inputs!F142/Inputs!F141)*10000</f>
        <v>73.24580387630452</v>
      </c>
      <c r="G87" s="42">
        <f>(G86-Inputs!G142/Inputs!G141)*10000</f>
        <v>-49.52953966111867</v>
      </c>
      <c r="H87" s="43">
        <f t="shared" si="15"/>
        <v>-204.58458992845095</v>
      </c>
      <c r="I87" s="1"/>
      <c r="J87" s="1"/>
      <c r="K87" s="1"/>
      <c r="L87" s="1"/>
    </row>
    <row r="88" ht="15" customHeight="1">
      <c r="A88" s="1"/>
      <c r="B88" s="3" t="s">
        <v>228</v>
      </c>
      <c r="C88" s="56">
        <f t="shared" si="23" ref="C88:H88">C81-C85</f>
        <v>948</v>
      </c>
      <c r="D88" s="56">
        <f t="shared" si="23"/>
        <v>1045</v>
      </c>
      <c r="E88" s="56">
        <f t="shared" si="23"/>
        <v>3352</v>
      </c>
      <c r="F88" s="56">
        <f t="shared" si="23"/>
        <v>698</v>
      </c>
      <c r="G88" s="56">
        <f t="shared" si="23"/>
        <v>805</v>
      </c>
      <c r="H88" s="57">
        <f t="shared" si="23"/>
        <v>964.6227137974588</v>
      </c>
      <c r="I88" s="1"/>
      <c r="J88" s="1"/>
      <c r="K88" s="1"/>
      <c r="L88" s="1"/>
    </row>
    <row r="89" ht="15" customHeight="1">
      <c r="A89" s="1"/>
      <c r="B89" s="35" t="s">
        <v>72</v>
      </c>
      <c r="C89" s="29">
        <f>C88/Inputs!C143-1</f>
        <v>-0.01761658031088087</v>
      </c>
      <c r="D89" s="29">
        <f>D88/Inputs!D143-1</f>
        <v>0.060913705583756306</v>
      </c>
      <c r="E89" s="29">
        <f>E88/Inputs!E143-1</f>
        <v>0.06446490949507777</v>
      </c>
      <c r="F89" s="29">
        <f>F88/Inputs!F143-1</f>
        <v>0.8036175710594315</v>
      </c>
      <c r="G89" s="29">
        <f>G88/Inputs!G143-1</f>
        <v>-0.17266187050359716</v>
      </c>
      <c r="H89" s="36">
        <f t="shared" si="5"/>
        <v>0.017534508225167444</v>
      </c>
      <c r="I89" s="1"/>
      <c r="J89" s="1"/>
      <c r="K89" s="1"/>
      <c r="L89" s="1"/>
    </row>
    <row r="90" ht="15" customHeight="1">
      <c r="A90" s="1"/>
      <c r="B90" s="28" t="s">
        <v>229</v>
      </c>
      <c r="C90" s="41">
        <f t="shared" si="24" ref="C90:H90">C88/C13</f>
        <v>0.062266009852216746</v>
      </c>
      <c r="D90" s="41">
        <f t="shared" si="24"/>
        <v>0.06787036435669286</v>
      </c>
      <c r="E90" s="41">
        <f t="shared" si="24"/>
        <v>0.05674623328254613</v>
      </c>
      <c r="F90" s="41">
        <f t="shared" si="24"/>
        <v>0.04778203723986856</v>
      </c>
      <c r="G90" s="41">
        <f t="shared" si="24"/>
        <v>0.045552286102308735</v>
      </c>
      <c r="H90" s="36">
        <f t="shared" si="24"/>
        <v>0.053871236889055214</v>
      </c>
      <c r="I90" s="1"/>
      <c r="J90" s="1"/>
      <c r="K90" s="1"/>
      <c r="L90" s="1"/>
    </row>
    <row r="91" ht="15" customHeight="1">
      <c r="A91" s="1"/>
      <c r="B91" s="35" t="s">
        <v>77</v>
      </c>
      <c r="C91" s="42">
        <f>(C90-Inputs!C143/Inputs!C122)*10000</f>
        <v>-27.47801371929322</v>
      </c>
      <c r="D91" s="42">
        <f>(D90-Inputs!D143/Inputs!D122)*10000</f>
        <v>8.407624512828532</v>
      </c>
      <c r="E91" s="42">
        <f>(E90-Inputs!E143/Inputs!E122)*10000</f>
        <v>15.616127753873762</v>
      </c>
      <c r="F91" s="42">
        <f>(F90-Inputs!F143/Inputs!F122)*10000</f>
        <v>184.9270098012437</v>
      </c>
      <c r="G91" s="42">
        <f>(G90-Inputs!G143/Inputs!G122)*10000</f>
        <v>-183.0961990976792</v>
      </c>
      <c r="H91" s="43">
        <f t="shared" si="15"/>
        <v>-83.94772963161532</v>
      </c>
      <c r="I91" s="1"/>
      <c r="J91" s="1"/>
      <c r="K91" s="1"/>
      <c r="L91" s="1"/>
    </row>
    <row r="92" ht="38.25" customHeight="1">
      <c r="A92" s="1"/>
      <c r="B92" s="30" t="s">
        <v>230</v>
      </c>
      <c r="C92" s="54">
        <v>949</v>
      </c>
      <c r="D92" s="54">
        <v>1044</v>
      </c>
      <c r="E92" s="54">
        <v>3353</v>
      </c>
      <c r="F92" s="54">
        <v>699</v>
      </c>
      <c r="G92" s="54">
        <v>805</v>
      </c>
      <c r="H92" s="53" t="s">
        <v>41</v>
      </c>
      <c r="I92" s="71" t="s">
        <v>231</v>
      </c>
      <c r="J92" s="1"/>
      <c r="K92" s="1"/>
      <c r="L92" s="1"/>
    </row>
    <row r="93" ht="15" customHeight="1">
      <c r="A93" s="1"/>
      <c r="B93" s="1"/>
      <c r="C93" s="1"/>
      <c r="D93" s="1"/>
      <c r="E93" s="1"/>
      <c r="F93" s="1"/>
      <c r="G93" s="1"/>
      <c r="H93" s="32"/>
      <c r="I93" s="1"/>
      <c r="J93" s="1"/>
      <c r="K93" s="1"/>
      <c r="L93" s="1"/>
    </row>
    <row r="94" ht="15" customHeight="1">
      <c r="A94" s="1"/>
      <c r="B94" s="3" t="s">
        <v>232</v>
      </c>
      <c r="C94" s="1"/>
      <c r="D94" s="1"/>
      <c r="E94" s="1"/>
      <c r="F94" s="1"/>
      <c r="G94" s="1"/>
      <c r="H94" s="32"/>
      <c r="I94" s="1"/>
      <c r="J94" s="1"/>
      <c r="K94" s="1"/>
      <c r="L94" s="1"/>
    </row>
    <row r="95" ht="15" customHeight="1">
      <c r="A95" s="1"/>
      <c r="B95" s="30" t="s">
        <v>233</v>
      </c>
      <c r="C95" s="15">
        <f>'Share Count'!C9</f>
        <v>323.7</v>
      </c>
      <c r="D95" s="15">
        <f>'Share Count'!D9</f>
        <v>323.7130434782606</v>
      </c>
      <c r="E95" s="15">
        <f>'Share Count'!E9</f>
        <v>324.9</v>
      </c>
      <c r="F95" s="15">
        <f>'Share Count'!F9</f>
        <v>323.9</v>
      </c>
      <c r="G95" s="15">
        <f>'Share Count'!G9</f>
        <v>324.6</v>
      </c>
      <c r="H95" s="67">
        <f>'Share Count'!H9</f>
        <v>324.7</v>
      </c>
      <c r="I95" s="1"/>
      <c r="J95" s="1"/>
      <c r="K95" s="1"/>
      <c r="L95" s="1"/>
    </row>
    <row r="96" ht="15" customHeight="1">
      <c r="A96" s="1"/>
      <c r="B96" s="30" t="s">
        <v>234</v>
      </c>
      <c r="C96" s="15">
        <f>'Share Count'!C12</f>
        <v>326.9</v>
      </c>
      <c r="D96" s="15">
        <f>'Share Count'!D12</f>
        <v>327</v>
      </c>
      <c r="E96" s="15">
        <f>'Share Count'!E12</f>
        <v>328.5</v>
      </c>
      <c r="F96" s="15">
        <f>'Share Count'!F12</f>
        <v>326.8</v>
      </c>
      <c r="G96" s="15">
        <f>'Share Count'!G12</f>
        <v>326.6</v>
      </c>
      <c r="H96" s="67">
        <f>'Share Count'!H12</f>
        <v>326.59999999999997</v>
      </c>
      <c r="I96" s="1"/>
      <c r="J96" s="1"/>
      <c r="K96" s="1"/>
      <c r="L96" s="1"/>
    </row>
    <row r="97" ht="15" customHeight="1">
      <c r="A97" s="1"/>
      <c r="B97" s="30" t="s">
        <v>235</v>
      </c>
      <c r="C97" s="24">
        <f t="shared" si="25" ref="C97:H97">C88/C95</f>
        <v>2.928637627432808</v>
      </c>
      <c r="D97" s="24">
        <f t="shared" si="25"/>
        <v>3.2281677277245038</v>
      </c>
      <c r="E97" s="24">
        <f t="shared" si="25"/>
        <v>10.317020621729764</v>
      </c>
      <c r="F97" s="24">
        <f t="shared" si="25"/>
        <v>2.1549861068230936</v>
      </c>
      <c r="G97" s="24">
        <f t="shared" si="25"/>
        <v>2.4799753542821934</v>
      </c>
      <c r="H97" s="73">
        <f t="shared" si="25"/>
        <v>2.9708121767707385</v>
      </c>
      <c r="I97" s="1"/>
      <c r="J97" s="1"/>
      <c r="K97" s="1"/>
      <c r="L97" s="1"/>
    </row>
    <row r="98" ht="15" customHeight="1">
      <c r="A98" s="1"/>
      <c r="B98" s="3" t="s">
        <v>236</v>
      </c>
      <c r="C98" s="74">
        <f t="shared" si="26" ref="C98:H98">C88/C96</f>
        <v>2.8999694096053843</v>
      </c>
      <c r="D98" s="74">
        <f t="shared" si="26"/>
        <v>3.1957186544342506</v>
      </c>
      <c r="E98" s="74">
        <f t="shared" si="26"/>
        <v>10.203957382039574</v>
      </c>
      <c r="F98" s="74">
        <f t="shared" si="26"/>
        <v>2.135862913096695</v>
      </c>
      <c r="G98" s="74">
        <f t="shared" si="26"/>
        <v>2.464788732394366</v>
      </c>
      <c r="H98" s="75">
        <f t="shared" si="26"/>
        <v>2.953529435999568</v>
      </c>
      <c r="I98" s="1"/>
      <c r="J98" s="1"/>
      <c r="K98" s="1"/>
      <c r="L98" s="1"/>
    </row>
    <row r="99" ht="15" customHeight="1">
      <c r="A99" s="1"/>
      <c r="B99" s="35" t="s">
        <v>72</v>
      </c>
      <c r="C99" s="29">
        <f>C98/Inputs!C144-1</f>
        <v>-0.000010548411936373014</v>
      </c>
      <c r="D99" s="29">
        <f>D98/Inputs!D144-1</f>
        <v>0.08329445913025446</v>
      </c>
      <c r="E99" s="29">
        <f>E98/Inputs!E144-1</f>
        <v>0.07978384995127774</v>
      </c>
      <c r="F99" s="29">
        <f>F98/Inputs!F144-1</f>
        <v>0.8412611319799097</v>
      </c>
      <c r="G99" s="29">
        <f>G98/Inputs!G144-1</f>
        <v>-0.17010480390762095</v>
      </c>
      <c r="H99" s="36">
        <f t="shared" si="5"/>
        <v>0.018469169439091493</v>
      </c>
      <c r="I99" s="1"/>
      <c r="J99" s="1"/>
      <c r="K99" s="1"/>
      <c r="L99" s="1"/>
    </row>
    <row r="100" ht="15" customHeight="1">
      <c r="A100" s="1"/>
      <c r="B100" s="30" t="s">
        <v>237</v>
      </c>
      <c r="C100" s="76">
        <v>2.9</v>
      </c>
      <c r="D100" s="76">
        <v>3.19</v>
      </c>
      <c r="E100" s="76">
        <v>10.2</v>
      </c>
      <c r="F100" s="76">
        <v>2.14</v>
      </c>
      <c r="G100" s="76">
        <v>2.46</v>
      </c>
      <c r="H100" s="73" t="s">
        <v>41</v>
      </c>
      <c r="I100" s="1"/>
      <c r="J100" s="1"/>
      <c r="K100" s="1"/>
      <c r="L100" s="1"/>
    </row>
    <row r="101" ht="25.5" customHeight="1">
      <c r="A101" s="1"/>
      <c r="B101" s="1" t="s">
        <v>238</v>
      </c>
      <c r="C101" s="62" t="b">
        <f t="shared" si="27" ref="C101:G101">ABS(C98-C100)&lt;=0.011</f>
        <v>1</v>
      </c>
      <c r="D101" s="62" t="b">
        <f t="shared" si="27"/>
        <v>1</v>
      </c>
      <c r="E101" s="62" t="b">
        <f t="shared" si="27"/>
        <v>1</v>
      </c>
      <c r="F101" s="62" t="b">
        <f t="shared" si="27"/>
        <v>1</v>
      </c>
      <c r="G101" s="62" t="b">
        <f t="shared" si="27"/>
        <v>1</v>
      </c>
      <c r="H101" s="63" t="b">
        <f>ABS(H98-H88/H96)&lt;0.0001</f>
        <v>1</v>
      </c>
      <c r="I101" s="18" t="s">
        <v>239</v>
      </c>
      <c r="J101" s="1"/>
      <c r="K101" s="1"/>
      <c r="L101" s="1"/>
    </row>
    <row r="102" ht="15" customHeight="1">
      <c r="A102" s="1"/>
      <c r="B102" s="1"/>
      <c r="C102" s="1"/>
      <c r="D102" s="1"/>
      <c r="E102" s="1"/>
      <c r="F102" s="1"/>
      <c r="G102" s="1"/>
      <c r="H102" s="32"/>
      <c r="I102" s="1"/>
      <c r="J102" s="1"/>
      <c r="K102" s="1"/>
      <c r="L102" s="1"/>
    </row>
    <row r="103" ht="15" customHeight="1">
      <c r="A103" s="1"/>
      <c r="B103" s="3" t="s">
        <v>240</v>
      </c>
      <c r="C103" s="1"/>
      <c r="D103" s="1"/>
      <c r="E103" s="1"/>
      <c r="F103" s="1"/>
      <c r="G103" s="1"/>
      <c r="H103" s="32"/>
      <c r="I103" s="1"/>
      <c r="J103" s="1"/>
      <c r="K103" s="1"/>
      <c r="L103" s="1"/>
    </row>
    <row r="104" ht="15" customHeight="1">
      <c r="A104" s="1"/>
      <c r="B104" s="30" t="s">
        <v>228</v>
      </c>
      <c r="C104" s="16">
        <f t="shared" si="28" ref="C104:H104">C88</f>
        <v>948</v>
      </c>
      <c r="D104" s="16">
        <f t="shared" si="28"/>
        <v>1045</v>
      </c>
      <c r="E104" s="16">
        <f t="shared" si="28"/>
        <v>3352</v>
      </c>
      <c r="F104" s="16">
        <f t="shared" si="28"/>
        <v>698</v>
      </c>
      <c r="G104" s="16">
        <f t="shared" si="28"/>
        <v>805</v>
      </c>
      <c r="H104" s="53">
        <f t="shared" si="28"/>
        <v>964.6227137974588</v>
      </c>
      <c r="I104" s="1"/>
      <c r="J104" s="1"/>
      <c r="K104" s="1"/>
      <c r="L104" s="1"/>
    </row>
    <row r="105" ht="15" customHeight="1">
      <c r="A105" s="1"/>
      <c r="B105" s="30" t="s">
        <v>241</v>
      </c>
      <c r="C105" s="16">
        <f t="shared" si="29" ref="C105:H105">C50</f>
        <v>-73</v>
      </c>
      <c r="D105" s="16">
        <f t="shared" si="29"/>
        <v>-8</v>
      </c>
      <c r="E105" s="16">
        <f t="shared" si="29"/>
        <v>259</v>
      </c>
      <c r="F105" s="16">
        <f t="shared" si="29"/>
        <v>-389</v>
      </c>
      <c r="G105" s="16">
        <f t="shared" si="29"/>
        <v>-145</v>
      </c>
      <c r="H105" s="53">
        <f t="shared" si="29"/>
        <v>-100</v>
      </c>
      <c r="I105" s="1"/>
      <c r="J105" s="1"/>
      <c r="K105" s="1"/>
      <c r="L105" s="1"/>
    </row>
    <row r="106" ht="15" customHeight="1">
      <c r="A106" s="1"/>
      <c r="B106" s="30" t="s">
        <v>242</v>
      </c>
      <c r="C106" s="16">
        <f t="shared" si="30" ref="C106:H106">-C78</f>
        <v>13</v>
      </c>
      <c r="D106" s="16">
        <f t="shared" si="30"/>
        <v>-13</v>
      </c>
      <c r="E106" s="16">
        <f t="shared" si="30"/>
        <v>-4</v>
      </c>
      <c r="F106" s="16">
        <f t="shared" si="30"/>
        <v>13</v>
      </c>
      <c r="G106" s="16">
        <f t="shared" si="30"/>
        <v>-40</v>
      </c>
      <c r="H106" s="53">
        <f t="shared" si="30"/>
        <v>0</v>
      </c>
      <c r="I106" s="1"/>
      <c r="J106" s="1"/>
      <c r="K106" s="1"/>
      <c r="L106" s="1"/>
    </row>
    <row r="107" ht="15" customHeight="1">
      <c r="A107" s="1"/>
      <c r="B107" s="30" t="s">
        <v>243</v>
      </c>
      <c r="C107" s="54">
        <v>20</v>
      </c>
      <c r="D107" s="54">
        <v>0</v>
      </c>
      <c r="E107" s="54">
        <v>20</v>
      </c>
      <c r="F107" s="54">
        <v>4</v>
      </c>
      <c r="G107" s="54">
        <v>1</v>
      </c>
      <c r="H107" s="55">
        <v>0</v>
      </c>
      <c r="I107" s="22" t="s">
        <v>244</v>
      </c>
      <c r="J107" s="1"/>
      <c r="K107" s="1"/>
      <c r="L107" s="1"/>
    </row>
    <row r="108" ht="15" customHeight="1">
      <c r="A108" s="1"/>
      <c r="B108" s="30" t="s">
        <v>245</v>
      </c>
      <c r="C108" s="54">
        <v>0</v>
      </c>
      <c r="D108" s="54">
        <v>-9</v>
      </c>
      <c r="E108" s="54">
        <v>-136</v>
      </c>
      <c r="F108" s="54">
        <v>62</v>
      </c>
      <c r="G108" s="54">
        <v>27</v>
      </c>
      <c r="H108" s="53">
        <f>-(H105+H106+H107)*H118</f>
        <v>15</v>
      </c>
      <c r="I108" s="1"/>
      <c r="J108" s="1"/>
      <c r="K108" s="1"/>
      <c r="L108" s="1"/>
    </row>
    <row r="109" ht="15" customHeight="1">
      <c r="A109" s="1"/>
      <c r="B109" s="3" t="s">
        <v>246</v>
      </c>
      <c r="C109" s="56">
        <f t="shared" si="19"/>
        <v>908</v>
      </c>
      <c r="D109" s="56">
        <f t="shared" si="19"/>
        <v>1015</v>
      </c>
      <c r="E109" s="56">
        <f t="shared" si="19"/>
        <v>3491</v>
      </c>
      <c r="F109" s="56">
        <f t="shared" si="19"/>
        <v>388</v>
      </c>
      <c r="G109" s="56">
        <f t="shared" si="19"/>
        <v>648</v>
      </c>
      <c r="H109" s="57">
        <f t="shared" si="19"/>
        <v>879.6227137974588</v>
      </c>
      <c r="I109" s="1"/>
      <c r="J109" s="1"/>
      <c r="K109" s="1"/>
      <c r="L109" s="1"/>
    </row>
    <row r="110" ht="15" customHeight="1">
      <c r="A110" s="1"/>
      <c r="B110" s="35" t="s">
        <v>72</v>
      </c>
      <c r="C110" s="29">
        <f>C109/Inputs!C150-1</f>
        <v>-0.181981981981982</v>
      </c>
      <c r="D110" s="29">
        <f>D109/Inputs!D150-1</f>
        <v>-0.06880733944954132</v>
      </c>
      <c r="E110" s="29">
        <f>E109/Inputs!E150-1</f>
        <v>-0.01216751556310125</v>
      </c>
      <c r="F110" s="29">
        <f>F109/Inputs!F150-1</f>
        <v>0.2847682119205297</v>
      </c>
      <c r="G110" s="29">
        <f>G109/Inputs!G150-1</f>
        <v>-0.4885556432517758</v>
      </c>
      <c r="H110" s="36">
        <f t="shared" si="5"/>
        <v>-0.03125251784420835</v>
      </c>
      <c r="I110" s="1"/>
      <c r="J110" s="1"/>
      <c r="K110" s="1"/>
      <c r="L110" s="1"/>
    </row>
    <row r="111" ht="15" customHeight="1">
      <c r="A111" s="1"/>
      <c r="B111" s="30" t="s">
        <v>247</v>
      </c>
      <c r="C111" s="54">
        <v>909</v>
      </c>
      <c r="D111" s="54">
        <v>1014</v>
      </c>
      <c r="E111" s="54">
        <v>3491</v>
      </c>
      <c r="F111" s="54">
        <v>389</v>
      </c>
      <c r="G111" s="54">
        <v>649</v>
      </c>
      <c r="H111" s="53" t="s">
        <v>41</v>
      </c>
      <c r="I111" s="1"/>
      <c r="J111" s="1"/>
      <c r="K111" s="1"/>
      <c r="L111" s="1"/>
    </row>
    <row r="112" ht="15" customHeight="1">
      <c r="A112" s="1"/>
      <c r="B112" s="49" t="s">
        <v>248</v>
      </c>
      <c r="C112" s="56">
        <f t="shared" si="31" ref="C112:H112">C81+C105+C106+C107</f>
        <v>1214</v>
      </c>
      <c r="D112" s="56">
        <f t="shared" si="31"/>
        <v>1305</v>
      </c>
      <c r="E112" s="56">
        <f t="shared" si="31"/>
        <v>4580</v>
      </c>
      <c r="F112" s="56">
        <f t="shared" si="31"/>
        <v>498</v>
      </c>
      <c r="G112" s="56">
        <f t="shared" si="31"/>
        <v>842</v>
      </c>
      <c r="H112" s="57">
        <f t="shared" si="31"/>
        <v>1142.3671607759206</v>
      </c>
      <c r="I112" s="1"/>
      <c r="J112" s="1"/>
      <c r="K112" s="1"/>
      <c r="L112" s="1"/>
    </row>
    <row r="113" ht="15" customHeight="1">
      <c r="A113" s="1"/>
      <c r="B113" s="35" t="s">
        <v>64</v>
      </c>
      <c r="C113" s="41">
        <f t="shared" si="32" ref="C113:H113">C112/C13</f>
        <v>0.07973727422003284</v>
      </c>
      <c r="D113" s="41">
        <f t="shared" si="32"/>
        <v>0.0847567707995064</v>
      </c>
      <c r="E113" s="41">
        <f t="shared" si="32"/>
        <v>0.07753512781445743</v>
      </c>
      <c r="F113" s="41">
        <f t="shared" si="32"/>
        <v>0.03409090909090909</v>
      </c>
      <c r="G113" s="41">
        <f t="shared" si="32"/>
        <v>0.04764599366229063</v>
      </c>
      <c r="H113" s="36">
        <f t="shared" si="32"/>
        <v>0.06379772221013522</v>
      </c>
      <c r="I113" s="1"/>
      <c r="J113" s="1"/>
      <c r="K113" s="1"/>
      <c r="L113" s="1"/>
    </row>
    <row r="114" ht="15" customHeight="1">
      <c r="A114" s="1"/>
      <c r="B114" s="64" t="s">
        <v>77</v>
      </c>
      <c r="C114" s="42">
        <f>(C113-Inputs!C152/Inputs!C122)*10000</f>
        <v>-176.82384878532145</v>
      </c>
      <c r="D114" s="42">
        <f>(D113-Inputs!D152/Inputs!D122)*10000</f>
        <v>-126.91340803079515</v>
      </c>
      <c r="E114" s="42">
        <f>(E113-Inputs!E152/Inputs!E122)*10000</f>
        <v>-32.001998058920066</v>
      </c>
      <c r="F114" s="42">
        <f>(F113-Inputs!F152/Inputs!F122)*10000</f>
        <v>44.98840673441442</v>
      </c>
      <c r="G114" s="42">
        <f>(G113-Inputs!G152/Inputs!G122)*10000</f>
        <v>-619.6282755062615</v>
      </c>
      <c r="H114" s="43">
        <f t="shared" si="15"/>
        <v>-159.3955200989762</v>
      </c>
      <c r="I114" s="1"/>
      <c r="J114" s="1"/>
      <c r="K114" s="1"/>
      <c r="L114" s="1"/>
    </row>
    <row r="115" ht="15" customHeight="1">
      <c r="A115" s="1"/>
      <c r="B115" s="35" t="s">
        <v>249</v>
      </c>
      <c r="C115" s="41">
        <f t="shared" si="33" ref="C115:G115">1-C109/C112</f>
        <v>0.25205930807248766</v>
      </c>
      <c r="D115" s="41">
        <f t="shared" si="33"/>
        <v>0.2222222222222222</v>
      </c>
      <c r="E115" s="41">
        <f t="shared" si="33"/>
        <v>0.23777292576419218</v>
      </c>
      <c r="F115" s="41">
        <f t="shared" si="33"/>
        <v>0.22088353413654616</v>
      </c>
      <c r="G115" s="41">
        <f t="shared" si="33"/>
        <v>0.23040380047505937</v>
      </c>
      <c r="H115" s="48">
        <v>0.23</v>
      </c>
      <c r="I115" s="22" t="s">
        <v>250</v>
      </c>
      <c r="J115" s="1"/>
      <c r="K115" s="1"/>
      <c r="L115" s="1"/>
    </row>
    <row r="116" ht="15" customHeight="1">
      <c r="A116" s="1"/>
      <c r="B116" s="64" t="s">
        <v>77</v>
      </c>
      <c r="C116" s="42">
        <f>(C115-(1-Inputs!C150/Inputs!C152))*10000</f>
        <v>196.94162844271946</v>
      </c>
      <c r="D116" s="42">
        <f>(D115-(1-Inputs!D150/Inputs!D152))*10000</f>
        <v>-166.04593420235904</v>
      </c>
      <c r="E116" s="42">
        <f>(E115-(1-Inputs!E150/Inputs!E152))*10000</f>
        <v>48.664790526662394</v>
      </c>
      <c r="F116" s="42">
        <f>(F115-(1-Inputs!F150/Inputs!F152))*10000</f>
        <v>-67.37949239412954</v>
      </c>
      <c r="G116" s="42">
        <f>(G115-(1-Inputs!G150/Inputs!G152))*10000</f>
        <v>-109.13564794401753</v>
      </c>
      <c r="H116" s="43">
        <f t="shared" si="15"/>
        <v>-220.59308072487656</v>
      </c>
      <c r="I116" s="1"/>
      <c r="J116" s="1"/>
      <c r="K116" s="1"/>
      <c r="L116" s="1"/>
    </row>
    <row r="117" ht="15" customHeight="1">
      <c r="A117" s="1"/>
      <c r="B117" s="64" t="s">
        <v>78</v>
      </c>
      <c r="C117" s="42">
        <f>(C115-(1-Inputs!G150/Inputs!G152))*10000</f>
        <v>107.41942803026538</v>
      </c>
      <c r="D117" s="44">
        <f t="shared" si="11"/>
        <v>-298.3708585026545</v>
      </c>
      <c r="E117" s="44" t="s">
        <v>74</v>
      </c>
      <c r="F117" s="44">
        <f t="shared" si="34"/>
        <v>-13.386880856760541</v>
      </c>
      <c r="G117" s="44">
        <f t="shared" si="11"/>
        <v>95.20266338513217</v>
      </c>
      <c r="H117" s="43">
        <f t="shared" si="11"/>
        <v>-4.038004750593627</v>
      </c>
      <c r="I117" s="1"/>
      <c r="J117" s="1"/>
      <c r="K117" s="1"/>
      <c r="L117" s="1"/>
    </row>
    <row r="118" ht="38.25" customHeight="1">
      <c r="A118" s="1"/>
      <c r="B118" s="35" t="s">
        <v>251</v>
      </c>
      <c r="C118" s="41">
        <f t="shared" si="35" ref="C118:G118">IF(ABS(C105+C106+C107)&lt;1,0,-C108/(C105+C106+C107))</f>
        <v>0</v>
      </c>
      <c r="D118" s="41">
        <f t="shared" si="35"/>
        <v>-0.42857142857142855</v>
      </c>
      <c r="E118" s="41">
        <f t="shared" si="35"/>
        <v>0.49454545454545457</v>
      </c>
      <c r="F118" s="41">
        <f t="shared" si="35"/>
        <v>0.16666666666666666</v>
      </c>
      <c r="G118" s="41">
        <f t="shared" si="35"/>
        <v>0.14673913043478262</v>
      </c>
      <c r="H118" s="48">
        <v>0.15</v>
      </c>
      <c r="I118" s="18" t="s">
        <v>252</v>
      </c>
      <c r="J118" s="1"/>
      <c r="K118" s="1"/>
      <c r="L118" s="1"/>
    </row>
    <row r="119" ht="25.5" customHeight="1">
      <c r="A119" s="1"/>
      <c r="B119" s="64" t="s">
        <v>77</v>
      </c>
      <c r="C119" s="44" t="s">
        <v>74</v>
      </c>
      <c r="D119" s="44" t="s">
        <v>74</v>
      </c>
      <c r="E119" s="44" t="s">
        <v>74</v>
      </c>
      <c r="F119" s="44" t="s">
        <v>74</v>
      </c>
      <c r="G119" s="44" t="s">
        <v>74</v>
      </c>
      <c r="H119" s="43" t="s">
        <v>74</v>
      </c>
      <c r="I119" s="18" t="s">
        <v>253</v>
      </c>
      <c r="J119" s="1"/>
      <c r="K119" s="1"/>
      <c r="L119" s="1"/>
    </row>
    <row r="120" ht="25.5" customHeight="1">
      <c r="A120" s="1"/>
      <c r="B120" s="64" t="s">
        <v>78</v>
      </c>
      <c r="C120" s="44" t="s">
        <v>74</v>
      </c>
      <c r="D120" s="44" t="s">
        <v>74</v>
      </c>
      <c r="E120" s="44" t="s">
        <v>74</v>
      </c>
      <c r="F120" s="44" t="s">
        <v>74</v>
      </c>
      <c r="G120" s="44" t="s">
        <v>74</v>
      </c>
      <c r="H120" s="43" t="s">
        <v>74</v>
      </c>
      <c r="I120" s="18" t="s">
        <v>253</v>
      </c>
      <c r="J120" s="1"/>
      <c r="K120" s="1"/>
      <c r="L120" s="1"/>
    </row>
    <row r="121" ht="15" customHeight="1">
      <c r="A121" s="1"/>
      <c r="B121" s="30" t="s">
        <v>234</v>
      </c>
      <c r="C121" s="16">
        <f t="shared" si="36" ref="C121:H121">C96</f>
        <v>326.9</v>
      </c>
      <c r="D121" s="16">
        <f t="shared" si="36"/>
        <v>327</v>
      </c>
      <c r="E121" s="16">
        <f t="shared" si="36"/>
        <v>328.5</v>
      </c>
      <c r="F121" s="16">
        <f t="shared" si="36"/>
        <v>326.8</v>
      </c>
      <c r="G121" s="16">
        <f t="shared" si="36"/>
        <v>326.6</v>
      </c>
      <c r="H121" s="53">
        <f t="shared" si="36"/>
        <v>326.59999999999997</v>
      </c>
      <c r="I121" s="1"/>
      <c r="J121" s="1"/>
      <c r="K121" s="1"/>
      <c r="L121" s="1"/>
    </row>
    <row r="122" ht="15" customHeight="1">
      <c r="A122" s="1"/>
      <c r="B122" s="37" t="s">
        <v>254</v>
      </c>
      <c r="C122" s="24">
        <f t="shared" si="37" ref="C122:H122">C105/C96</f>
        <v>-0.22330988069746102</v>
      </c>
      <c r="D122" s="24">
        <f t="shared" si="37"/>
        <v>-0.024464831804281346</v>
      </c>
      <c r="E122" s="24">
        <f t="shared" si="37"/>
        <v>0.7884322678843226</v>
      </c>
      <c r="F122" s="24">
        <f t="shared" si="37"/>
        <v>-1.1903304773561811</v>
      </c>
      <c r="G122" s="24">
        <f t="shared" si="37"/>
        <v>-0.44396815676668705</v>
      </c>
      <c r="H122" s="73">
        <f t="shared" si="37"/>
        <v>-0.3061849357011635</v>
      </c>
      <c r="I122" s="1"/>
      <c r="J122" s="1"/>
      <c r="K122" s="1"/>
      <c r="L122" s="1"/>
    </row>
    <row r="123" ht="15" customHeight="1">
      <c r="A123" s="1"/>
      <c r="B123" s="37" t="s">
        <v>255</v>
      </c>
      <c r="C123" s="24">
        <f t="shared" si="38" ref="C123:H123">C106/C96</f>
        <v>0.039767513000917715</v>
      </c>
      <c r="D123" s="24">
        <f t="shared" si="38"/>
        <v>-0.039755351681957186</v>
      </c>
      <c r="E123" s="24">
        <f t="shared" si="38"/>
        <v>-0.0121765601217656</v>
      </c>
      <c r="F123" s="24">
        <f t="shared" si="38"/>
        <v>0.0397796817625459</v>
      </c>
      <c r="G123" s="24">
        <f t="shared" si="38"/>
        <v>-0.12247397428046539</v>
      </c>
      <c r="H123" s="73">
        <f t="shared" si="38"/>
        <v>0</v>
      </c>
      <c r="I123" s="1"/>
      <c r="J123" s="1"/>
      <c r="K123" s="1"/>
      <c r="L123" s="1"/>
    </row>
    <row r="124" ht="15" customHeight="1">
      <c r="A124" s="1"/>
      <c r="B124" s="37" t="s">
        <v>256</v>
      </c>
      <c r="C124" s="24">
        <f t="shared" si="39" ref="C124:H124">C107/C96</f>
        <v>0.0611807892321811</v>
      </c>
      <c r="D124" s="24">
        <f t="shared" si="39"/>
        <v>0</v>
      </c>
      <c r="E124" s="24">
        <f t="shared" si="39"/>
        <v>0.060882800608828</v>
      </c>
      <c r="F124" s="24">
        <f t="shared" si="39"/>
        <v>0.012239902080783353</v>
      </c>
      <c r="G124" s="24">
        <f t="shared" si="39"/>
        <v>0.003061849357011635</v>
      </c>
      <c r="H124" s="73">
        <f t="shared" si="39"/>
        <v>0</v>
      </c>
      <c r="I124" s="1"/>
      <c r="J124" s="1"/>
      <c r="K124" s="1"/>
      <c r="L124" s="1"/>
    </row>
    <row r="125" ht="15" customHeight="1">
      <c r="A125" s="1"/>
      <c r="B125" s="37" t="s">
        <v>257</v>
      </c>
      <c r="C125" s="24">
        <f t="shared" si="40" ref="C125:H125">C108/C96</f>
        <v>0</v>
      </c>
      <c r="D125" s="24">
        <f t="shared" si="40"/>
        <v>-0.027522935779816515</v>
      </c>
      <c r="E125" s="24">
        <f t="shared" si="40"/>
        <v>-0.4140030441400304</v>
      </c>
      <c r="F125" s="24">
        <f t="shared" si="40"/>
        <v>0.18971848225214197</v>
      </c>
      <c r="G125" s="24">
        <f t="shared" si="40"/>
        <v>0.08266993263931414</v>
      </c>
      <c r="H125" s="73">
        <f t="shared" si="40"/>
        <v>0.04592774035517453</v>
      </c>
      <c r="I125" s="1"/>
      <c r="J125" s="1"/>
      <c r="K125" s="1"/>
      <c r="L125" s="1"/>
    </row>
    <row r="126" ht="15" customHeight="1">
      <c r="A126" s="1"/>
      <c r="B126" s="3" t="s">
        <v>258</v>
      </c>
      <c r="C126" s="74">
        <f t="shared" si="41" ref="C126:H126">C109/C96</f>
        <v>2.777607831141022</v>
      </c>
      <c r="D126" s="74">
        <f t="shared" si="41"/>
        <v>3.1039755351681957</v>
      </c>
      <c r="E126" s="74">
        <f t="shared" si="41"/>
        <v>10.627092846270928</v>
      </c>
      <c r="F126" s="74">
        <f t="shared" si="41"/>
        <v>1.1872705018359853</v>
      </c>
      <c r="G126" s="74">
        <f t="shared" si="41"/>
        <v>1.9840783833435394</v>
      </c>
      <c r="H126" s="75">
        <f t="shared" si="41"/>
        <v>2.693272240653579</v>
      </c>
      <c r="I126" s="22" t="s">
        <v>259</v>
      </c>
      <c r="J126" s="1"/>
      <c r="K126" s="1"/>
      <c r="L126" s="1"/>
    </row>
    <row r="127" ht="15" customHeight="1">
      <c r="A127" s="1"/>
      <c r="B127" s="35" t="s">
        <v>72</v>
      </c>
      <c r="C127" s="29">
        <f>C126/Inputs!C151-1</f>
        <v>-0.16588353419188528</v>
      </c>
      <c r="D127" s="29">
        <f>D126/Inputs!D151-1</f>
        <v>-0.04786026528582943</v>
      </c>
      <c r="E127" s="29">
        <f>E126/Inputs!E151-1</f>
        <v>0.0016110128436312987</v>
      </c>
      <c r="F127" s="29">
        <f>F126/Inputs!F151-1</f>
        <v>0.3046928591604232</v>
      </c>
      <c r="G127" s="29">
        <f>G126/Inputs!G151-1</f>
        <v>-0.48731824719805183</v>
      </c>
      <c r="H127" s="36">
        <f t="shared" si="5"/>
        <v>-0.030362670187604635</v>
      </c>
      <c r="I127" s="1"/>
      <c r="J127" s="1"/>
      <c r="K127" s="1"/>
      <c r="L127" s="1"/>
    </row>
    <row r="128" ht="15" customHeight="1">
      <c r="A128" s="1"/>
      <c r="B128" s="30" t="s">
        <v>260</v>
      </c>
      <c r="C128" s="76">
        <v>2.78</v>
      </c>
      <c r="D128" s="76">
        <v>3.1</v>
      </c>
      <c r="E128" s="76">
        <v>10.62</v>
      </c>
      <c r="F128" s="76">
        <v>1.19</v>
      </c>
      <c r="G128" s="76">
        <v>1.99</v>
      </c>
      <c r="H128" s="73" t="s">
        <v>41</v>
      </c>
      <c r="I128" s="1"/>
      <c r="J128" s="1"/>
      <c r="K128" s="1"/>
      <c r="L128" s="1"/>
    </row>
    <row r="129" ht="38.25" customHeight="1">
      <c r="A129" s="1"/>
      <c r="B129" s="77" t="s">
        <v>261</v>
      </c>
      <c r="C129" s="23">
        <f>Inputs!E105</f>
        <v>2.78</v>
      </c>
      <c r="D129" s="23">
        <f>Inputs!E106</f>
        <v>3.1</v>
      </c>
      <c r="E129" s="24" t="s">
        <v>41</v>
      </c>
      <c r="F129" s="23">
        <f>Inputs!E107</f>
        <v>1.19</v>
      </c>
      <c r="G129" s="23">
        <f>Inputs!E108</f>
        <v>1.99</v>
      </c>
      <c r="H129" s="78">
        <f>Inputs!C45</f>
        <v>2.59</v>
      </c>
      <c r="I129" s="18" t="s">
        <v>262</v>
      </c>
      <c r="J129" s="1"/>
      <c r="K129" s="1"/>
      <c r="L129" s="1"/>
    </row>
    <row r="130" ht="25.5" customHeight="1">
      <c r="A130" s="1"/>
      <c r="B130" s="1" t="s">
        <v>263</v>
      </c>
      <c r="C130" s="62" t="b">
        <f t="shared" si="42" ref="C130:G130">AND(ABS(C109-C111)&lt;=2,ABS(C126-C128)&lt;=0.011,ABS(C128-C129)&lt;=0.011)</f>
        <v>1</v>
      </c>
      <c r="D130" s="62" t="b">
        <f t="shared" si="42"/>
        <v>1</v>
      </c>
      <c r="E130" s="62" t="b">
        <f>AND(ABS(E109-E111)&lt;=2,ABS(E126-E128)&lt;=0.011)</f>
        <v>1</v>
      </c>
      <c r="F130" s="62" t="b">
        <f t="shared" si="42"/>
        <v>1</v>
      </c>
      <c r="G130" s="62" t="b">
        <f t="shared" si="42"/>
        <v>1</v>
      </c>
      <c r="H130" s="63" t="b">
        <f>ABS(H126-H109/H96)&lt;0.0001</f>
        <v>1</v>
      </c>
      <c r="I130" s="18" t="s">
        <v>264</v>
      </c>
      <c r="J130" s="1"/>
      <c r="K130" s="1"/>
      <c r="L130" s="1"/>
    </row>
    <row r="131" ht="15" customHeight="1">
      <c r="A131" s="1"/>
      <c r="B131" s="1"/>
      <c r="C131" s="1"/>
      <c r="D131" s="1"/>
      <c r="E131" s="1"/>
      <c r="F131" s="1"/>
      <c r="G131" s="1"/>
      <c r="H131" s="32"/>
      <c r="I131" s="1"/>
      <c r="J131" s="1"/>
      <c r="K131" s="1"/>
      <c r="L131" s="1"/>
    </row>
    <row r="132" ht="15" customHeight="1">
      <c r="A132" s="1"/>
      <c r="B132" s="3" t="s">
        <v>265</v>
      </c>
      <c r="C132" s="1"/>
      <c r="D132" s="1"/>
      <c r="E132" s="1"/>
      <c r="F132" s="1"/>
      <c r="G132" s="1"/>
      <c r="H132" s="32"/>
      <c r="I132" s="1"/>
      <c r="J132" s="1"/>
      <c r="K132" s="1"/>
      <c r="L132" s="1"/>
    </row>
    <row r="133" ht="15" customHeight="1">
      <c r="A133" s="1"/>
      <c r="B133" s="49" t="s">
        <v>266</v>
      </c>
      <c r="C133" s="56">
        <f t="shared" si="43" ref="C133:H133">C88+C39-(C75+C76+C77)+C85+C105+C106+C107</f>
        <v>2080</v>
      </c>
      <c r="D133" s="56">
        <f t="shared" si="43"/>
        <v>2186</v>
      </c>
      <c r="E133" s="56">
        <f t="shared" si="43"/>
        <v>8075</v>
      </c>
      <c r="F133" s="56">
        <f t="shared" si="43"/>
        <v>1392</v>
      </c>
      <c r="G133" s="56">
        <f t="shared" si="43"/>
        <v>1740</v>
      </c>
      <c r="H133" s="57">
        <f t="shared" si="43"/>
        <v>2053.3271607759207</v>
      </c>
      <c r="I133" s="22" t="s">
        <v>267</v>
      </c>
      <c r="J133" s="1"/>
      <c r="K133" s="1"/>
      <c r="L133" s="1"/>
    </row>
    <row r="134" ht="15" customHeight="1">
      <c r="A134" s="1"/>
      <c r="B134" s="35" t="s">
        <v>72</v>
      </c>
      <c r="C134" s="29">
        <f>C133/Inputs!C153-1</f>
        <v>-0.1061452513966481</v>
      </c>
      <c r="D134" s="29">
        <f>D133/Inputs!D153-1</f>
        <v>-0.06381156316916492</v>
      </c>
      <c r="E134" s="29">
        <f>E133/Inputs!E153-1</f>
        <v>-0.0165631469979296</v>
      </c>
      <c r="F134" s="29">
        <f>F133/Inputs!F153-1</f>
        <v>0.10213776722090251</v>
      </c>
      <c r="G134" s="29">
        <f>G133/Inputs!G153-1</f>
        <v>-0.3168433451118964</v>
      </c>
      <c r="H134" s="36">
        <f t="shared" si="5"/>
        <v>-0.012823480396191966</v>
      </c>
      <c r="I134" s="1"/>
      <c r="J134" s="1"/>
      <c r="K134" s="1"/>
      <c r="L134" s="1"/>
    </row>
    <row r="135" ht="15" customHeight="1">
      <c r="A135" s="1"/>
      <c r="B135" s="35" t="s">
        <v>268</v>
      </c>
      <c r="C135" s="41">
        <f t="shared" si="44" ref="C135:H135">C133/C13</f>
        <v>0.13661740558292282</v>
      </c>
      <c r="D135" s="41">
        <f t="shared" si="44"/>
        <v>0.14197570955380917</v>
      </c>
      <c r="E135" s="41">
        <f t="shared" si="44"/>
        <v>0.1367022177078043</v>
      </c>
      <c r="F135" s="41">
        <f t="shared" si="44"/>
        <v>0.09529025191675794</v>
      </c>
      <c r="G135" s="41">
        <f t="shared" si="44"/>
        <v>0.09846084200995926</v>
      </c>
      <c r="H135" s="36">
        <f t="shared" si="44"/>
        <v>0.11467206018136186</v>
      </c>
      <c r="I135" s="1"/>
      <c r="J135" s="1"/>
      <c r="K135" s="1"/>
      <c r="L135" s="1"/>
    </row>
    <row r="136" ht="15" customHeight="1">
      <c r="A136" s="1"/>
      <c r="B136" s="64" t="s">
        <v>77</v>
      </c>
      <c r="C136" s="42">
        <f>(C135-Inputs!C153/Inputs!C122)*10000</f>
        <v>-201.568314311579</v>
      </c>
      <c r="D136" s="42">
        <f>(D135-Inputs!D153/Inputs!D122)*10000</f>
        <v>-169.21874658507946</v>
      </c>
      <c r="E136" s="42">
        <f>(E135-Inputs!E153/Inputs!E122)*10000</f>
        <v>-71.91373586028837</v>
      </c>
      <c r="F136" s="42">
        <f>(F135-Inputs!F153/Inputs!F122)*10000</f>
        <v>-2.9742688442271903</v>
      </c>
      <c r="G136" s="42">
        <f>(G135-Inputs!G153/Inputs!G122)*10000</f>
        <v>-687.0901884590843</v>
      </c>
      <c r="H136" s="43">
        <f t="shared" si="15"/>
        <v>-219.45345401560957</v>
      </c>
      <c r="I136" s="1"/>
      <c r="J136" s="1"/>
      <c r="K136" s="1"/>
      <c r="L136" s="1"/>
    </row>
    <row r="137" ht="15" customHeight="1">
      <c r="A137" s="1"/>
      <c r="B137" s="64" t="s">
        <v>78</v>
      </c>
      <c r="C137" s="42">
        <f>(C135-Inputs!G153/Inputs!G122)*10000</f>
        <v>-305.52455272944866</v>
      </c>
      <c r="D137" s="44">
        <f t="shared" si="11"/>
        <v>53.583039708863524</v>
      </c>
      <c r="E137" s="44" t="s">
        <v>74</v>
      </c>
      <c r="F137" s="44">
        <f t="shared" si="34"/>
        <v>-466.8545763705123</v>
      </c>
      <c r="G137" s="44">
        <f t="shared" si="11"/>
        <v>31.705900932013225</v>
      </c>
      <c r="H137" s="43">
        <f t="shared" si="11"/>
        <v>162.112181714026</v>
      </c>
      <c r="I137" s="1"/>
      <c r="J137" s="1"/>
      <c r="K137" s="1"/>
      <c r="L137" s="1"/>
    </row>
    <row r="138" ht="15" customHeight="1">
      <c r="A138" s="1"/>
      <c r="B138" s="30" t="s">
        <v>269</v>
      </c>
      <c r="C138" s="54">
        <v>2081</v>
      </c>
      <c r="D138" s="54">
        <v>2185</v>
      </c>
      <c r="E138" s="54">
        <v>8076</v>
      </c>
      <c r="F138" s="54">
        <v>1392</v>
      </c>
      <c r="G138" s="54">
        <v>1740</v>
      </c>
      <c r="H138" s="53" t="s">
        <v>41</v>
      </c>
      <c r="I138" s="1"/>
      <c r="J138" s="1"/>
      <c r="K138" s="1"/>
      <c r="L138" s="1"/>
    </row>
    <row r="139" ht="15" customHeight="1">
      <c r="A139" s="1"/>
      <c r="B139" s="1" t="s">
        <v>270</v>
      </c>
      <c r="C139" s="62" t="b">
        <f t="shared" si="45" ref="C139:G139">ABS(C133-C138)&lt;=3</f>
        <v>1</v>
      </c>
      <c r="D139" s="62" t="b">
        <f t="shared" si="45"/>
        <v>1</v>
      </c>
      <c r="E139" s="62" t="b">
        <f t="shared" si="45"/>
        <v>1</v>
      </c>
      <c r="F139" s="62" t="b">
        <f t="shared" si="45"/>
        <v>1</v>
      </c>
      <c r="G139" s="62" t="b">
        <f t="shared" si="45"/>
        <v>1</v>
      </c>
      <c r="H139" s="63" t="b">
        <f>ABS(H133-(H112+H39-H75-H76-H77))&lt;0.001</f>
        <v>1</v>
      </c>
      <c r="I139" s="22" t="s">
        <v>271</v>
      </c>
      <c r="J139" s="1"/>
      <c r="K139" s="1"/>
      <c r="L139" s="1"/>
    </row>
    <row r="140" ht="15" customHeight="1">
      <c r="A140" s="1"/>
      <c r="B140" s="1"/>
      <c r="C140" s="1"/>
      <c r="D140" s="1"/>
      <c r="E140" s="1"/>
      <c r="F140" s="1"/>
      <c r="G140" s="1"/>
      <c r="H140" s="32"/>
      <c r="I140" s="1"/>
      <c r="J140" s="1"/>
      <c r="K140" s="1"/>
      <c r="L140" s="1"/>
    </row>
    <row r="141" ht="15" customHeight="1">
      <c r="A141" s="1"/>
      <c r="B141" s="3" t="s">
        <v>272</v>
      </c>
      <c r="C141" s="1"/>
      <c r="D141" s="1"/>
      <c r="E141" s="1"/>
      <c r="F141" s="1"/>
      <c r="G141" s="1"/>
      <c r="H141" s="32"/>
      <c r="I141" s="1"/>
      <c r="J141" s="1"/>
      <c r="K141" s="1"/>
      <c r="L141" s="1"/>
    </row>
    <row r="142" ht="15" customHeight="1">
      <c r="A142" s="1"/>
      <c r="B142" s="30" t="s">
        <v>273</v>
      </c>
      <c r="C142" s="16">
        <f t="shared" si="46" ref="C142:H142">C13-(C19+C33+C35+C37+C39+C41+C43+C48+C51)+(C75+C76+C77+C79+C107)</f>
        <v>1442</v>
      </c>
      <c r="D142" s="16">
        <f t="shared" si="46"/>
        <v>1549</v>
      </c>
      <c r="E142" s="16">
        <f t="shared" si="46"/>
        <v>5284</v>
      </c>
      <c r="F142" s="16">
        <f t="shared" si="46"/>
        <v>557</v>
      </c>
      <c r="G142" s="16">
        <f t="shared" si="46"/>
        <v>932</v>
      </c>
      <c r="H142" s="53">
        <f t="shared" si="46"/>
        <v>1293.5215175070152</v>
      </c>
      <c r="I142" s="1"/>
      <c r="J142" s="1"/>
      <c r="K142" s="1"/>
      <c r="L142" s="1"/>
    </row>
    <row r="143" ht="15" customHeight="1">
      <c r="A143" s="1"/>
      <c r="B143" s="30" t="s">
        <v>274</v>
      </c>
      <c r="C143" s="16" t="s">
        <v>102</v>
      </c>
      <c r="D143" s="16" t="s">
        <v>102</v>
      </c>
      <c r="E143" s="16" t="s">
        <v>102</v>
      </c>
      <c r="F143" s="16" t="s">
        <v>102</v>
      </c>
      <c r="G143" s="16" t="s">
        <v>102</v>
      </c>
      <c r="H143" s="67">
        <f>Guidance!E21</f>
        <v>40</v>
      </c>
      <c r="I143" s="22" t="s">
        <v>275</v>
      </c>
      <c r="J143" s="1"/>
      <c r="K143" s="1"/>
      <c r="L143" s="1"/>
    </row>
    <row r="144" ht="15" customHeight="1">
      <c r="A144" s="1"/>
      <c r="B144" s="49" t="s">
        <v>276</v>
      </c>
      <c r="C144" s="56" t="s">
        <v>102</v>
      </c>
      <c r="D144" s="56" t="s">
        <v>102</v>
      </c>
      <c r="E144" s="56" t="s">
        <v>102</v>
      </c>
      <c r="F144" s="56" t="s">
        <v>102</v>
      </c>
      <c r="G144" s="56" t="s">
        <v>102</v>
      </c>
      <c r="H144" s="57">
        <f>H142+H143</f>
        <v>1333.5215175070152</v>
      </c>
      <c r="I144" s="1"/>
      <c r="J144" s="1"/>
      <c r="K144" s="1"/>
      <c r="L144" s="1"/>
    </row>
    <row r="145" ht="63.75" customHeight="1">
      <c r="A145" s="1"/>
      <c r="B145" s="28" t="s">
        <v>277</v>
      </c>
      <c r="C145" s="41">
        <f t="shared" si="47" ref="C145:G145">C21/C142</f>
        <v>0.15811373092926492</v>
      </c>
      <c r="D145" s="41">
        <f t="shared" si="47"/>
        <v>0.15752098127824402</v>
      </c>
      <c r="E145" s="41">
        <f t="shared" si="47"/>
        <v>0.1332323996971991</v>
      </c>
      <c r="F145" s="41">
        <f t="shared" si="47"/>
        <v>0.1059245960502693</v>
      </c>
      <c r="G145" s="41">
        <f t="shared" si="47"/>
        <v>0.09656652360515021</v>
      </c>
      <c r="H145" s="48">
        <v>0.096</v>
      </c>
      <c r="I145" s="18" t="s">
        <v>278</v>
      </c>
      <c r="J145" s="1"/>
      <c r="K145" s="1"/>
      <c r="L145" s="1"/>
    </row>
    <row r="146" ht="51" customHeight="1">
      <c r="A146" s="1"/>
      <c r="B146" s="35" t="s">
        <v>77</v>
      </c>
      <c r="C146" s="44" t="s">
        <v>74</v>
      </c>
      <c r="D146" s="44" t="s">
        <v>74</v>
      </c>
      <c r="E146" s="44" t="s">
        <v>74</v>
      </c>
      <c r="F146" s="44" t="s">
        <v>74</v>
      </c>
      <c r="G146" s="44" t="s">
        <v>74</v>
      </c>
      <c r="H146" s="43" t="s">
        <v>74</v>
      </c>
      <c r="I146" s="18" t="s">
        <v>279</v>
      </c>
      <c r="J146" s="1"/>
      <c r="K146" s="1"/>
      <c r="L146" s="1"/>
    </row>
    <row r="147" ht="15" customHeight="1">
      <c r="A147" s="1"/>
      <c r="B147" s="35" t="s">
        <v>78</v>
      </c>
      <c r="C147" s="44" t="s">
        <v>41</v>
      </c>
      <c r="D147" s="44">
        <f t="shared" si="11"/>
        <v>-5.927496510209074</v>
      </c>
      <c r="E147" s="44" t="s">
        <v>74</v>
      </c>
      <c r="F147" s="44">
        <f t="shared" si="34"/>
        <v>-515.9638522797471</v>
      </c>
      <c r="G147" s="44">
        <f t="shared" si="11"/>
        <v>-93.58072445119089</v>
      </c>
      <c r="H147" s="43" t="s">
        <v>74</v>
      </c>
      <c r="I147" s="1"/>
      <c r="J147" s="1"/>
      <c r="K147" s="1"/>
      <c r="L147" s="1"/>
    </row>
    <row r="148" ht="38.25" customHeight="1">
      <c r="A148" s="1"/>
      <c r="B148" s="30" t="s">
        <v>280</v>
      </c>
      <c r="C148" s="1"/>
      <c r="D148" s="1"/>
      <c r="E148" s="1"/>
      <c r="F148" s="1"/>
      <c r="G148" s="1"/>
      <c r="H148" s="16">
        <f>(F21+G21)/H145</f>
        <v>1552.0833333333333</v>
      </c>
      <c r="I148" s="18" t="s">
        <v>281</v>
      </c>
      <c r="J148" s="1"/>
      <c r="K148" s="1"/>
      <c r="L148" s="1"/>
    </row>
    <row r="149" ht="15" customHeight="1">
      <c r="A149" s="1"/>
      <c r="B149" s="49" t="s">
        <v>282</v>
      </c>
      <c r="C149" s="1"/>
      <c r="D149" s="1"/>
      <c r="E149" s="1"/>
      <c r="F149" s="1"/>
      <c r="G149" s="1"/>
      <c r="H149" s="79">
        <f>H148+H144</f>
        <v>2885.6048508403483</v>
      </c>
      <c r="I149" s="22" t="s">
        <v>283</v>
      </c>
      <c r="J149" s="1"/>
      <c r="K149" s="1"/>
      <c r="L149" s="1"/>
    </row>
    <row r="150" ht="15" customHeight="1">
      <c r="B150" s="80" t="s">
        <v>284</v>
      </c>
      <c r="H150" s="81">
        <v>2500</v>
      </c>
      <c r="I150" s="82" t="s">
        <v>285</v>
      </c>
    </row>
    <row r="151" ht="15" customHeight="1">
      <c r="B151" s="80" t="s">
        <v>286</v>
      </c>
      <c r="H151" s="83">
        <v>0.06</v>
      </c>
      <c r="I151" s="82" t="s">
        <v>287</v>
      </c>
    </row>
    <row r="152" ht="38.25" customHeight="1">
      <c r="B152" s="80" t="s">
        <v>288</v>
      </c>
      <c r="H152" s="84">
        <f>H151*MAX(0,H149-H150)</f>
        <v>23.136291050420894</v>
      </c>
      <c r="I152" s="85" t="s">
        <v>289</v>
      </c>
    </row>
    <row r="154" ht="38.25" customHeight="1">
      <c r="B154" s="80" t="s">
        <v>290</v>
      </c>
      <c r="C154" s="86" t="s">
        <v>41</v>
      </c>
      <c r="D154" s="86" t="s">
        <v>41</v>
      </c>
      <c r="E154" s="86" t="s">
        <v>41</v>
      </c>
      <c r="F154" s="86" t="s">
        <v>41</v>
      </c>
      <c r="G154" s="86" t="s">
        <v>41</v>
      </c>
      <c r="H154" s="87" t="s">
        <v>41</v>
      </c>
      <c r="I154" s="85" t="s">
        <v>291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2219C8-E8FB-98BB-6858-43A393B73A24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  <col min="10" max="11" width="12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3" t="s">
        <v>292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1"/>
      <c r="J5" s="1"/>
      <c r="K5" s="1"/>
      <c r="L5" s="1"/>
    </row>
    <row r="6" ht="15" customHeight="1">
      <c r="A6" s="1"/>
      <c r="B6" s="7" t="s">
        <v>10</v>
      </c>
      <c r="C6" s="8">
        <f>DATE(2025,9,30)</f>
        <v>45930</v>
      </c>
      <c r="D6" s="8">
        <f t="shared" si="0" ref="D6:E6">DATE(2025,12,31)</f>
        <v>46022</v>
      </c>
      <c r="E6" s="8">
        <f t="shared" si="0"/>
        <v>46022</v>
      </c>
      <c r="F6" s="8">
        <f>DATE(2026,3,31)</f>
        <v>46112</v>
      </c>
      <c r="G6" s="8">
        <f>DATE(2026,6,30)</f>
        <v>46203</v>
      </c>
      <c r="H6" s="8">
        <f>DATE(2026,9,30)</f>
        <v>46295</v>
      </c>
      <c r="I6" s="1"/>
      <c r="J6" s="1"/>
      <c r="K6" s="1"/>
      <c r="L6" s="1"/>
    </row>
    <row r="7" ht="15" customHeight="1">
      <c r="A7" s="1"/>
      <c r="B7" s="9" t="s">
        <v>11</v>
      </c>
      <c r="C7" s="10">
        <f t="shared" si="1" ref="C7:H7">C6-EOMONTH(C6,-3)</f>
        <v>92</v>
      </c>
      <c r="D7" s="10">
        <f t="shared" si="1"/>
        <v>92</v>
      </c>
      <c r="E7" s="10">
        <f>E6-EOMONTH(E6,-12)</f>
        <v>365</v>
      </c>
      <c r="F7" s="10">
        <f t="shared" si="1"/>
        <v>90</v>
      </c>
      <c r="G7" s="10">
        <f t="shared" si="1"/>
        <v>91</v>
      </c>
      <c r="H7" s="10">
        <f t="shared" si="1"/>
        <v>92</v>
      </c>
      <c r="I7" s="1"/>
      <c r="J7" s="1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5" customHeight="1">
      <c r="A9" s="1"/>
      <c r="B9" s="1" t="s">
        <v>293</v>
      </c>
      <c r="C9" s="1"/>
      <c r="D9" s="1"/>
      <c r="E9" s="1"/>
      <c r="F9" s="1"/>
      <c r="G9" s="1"/>
      <c r="H9" s="32"/>
      <c r="I9" s="1"/>
      <c r="J9" s="1"/>
      <c r="K9" s="1"/>
      <c r="L9" s="1"/>
    </row>
    <row r="10" ht="15" customHeight="1">
      <c r="A10" s="1"/>
      <c r="B10" s="3" t="s">
        <v>294</v>
      </c>
      <c r="C10" s="1"/>
      <c r="D10" s="1"/>
      <c r="E10" s="1"/>
      <c r="F10" s="1"/>
      <c r="G10" s="1"/>
      <c r="H10" s="32"/>
      <c r="I10" s="1"/>
      <c r="J10" s="1"/>
      <c r="K10" s="1"/>
      <c r="L10" s="1"/>
    </row>
    <row r="11" ht="15" customHeight="1">
      <c r="A11" s="1"/>
      <c r="B11" s="30" t="s">
        <v>295</v>
      </c>
      <c r="C11" s="54">
        <v>6730</v>
      </c>
      <c r="D11" s="54">
        <v>5942</v>
      </c>
      <c r="E11" s="16">
        <f t="shared" si="2" ref="E11:H45">D11</f>
        <v>5942</v>
      </c>
      <c r="F11" s="54">
        <v>7869</v>
      </c>
      <c r="G11" s="54">
        <v>10166</v>
      </c>
      <c r="H11" s="67">
        <f>'Cash Flow Statement'!H36</f>
        <v>8749.902713797459</v>
      </c>
      <c r="I11" s="1"/>
      <c r="J11" s="1"/>
      <c r="K11" s="1"/>
      <c r="L11" s="1"/>
    </row>
    <row r="12" ht="15" customHeight="1">
      <c r="A12" s="1"/>
      <c r="B12" s="30" t="s">
        <v>296</v>
      </c>
      <c r="C12" s="54">
        <v>6599</v>
      </c>
      <c r="D12" s="54">
        <v>6298</v>
      </c>
      <c r="E12" s="16">
        <f t="shared" si="2"/>
        <v>6298</v>
      </c>
      <c r="F12" s="54">
        <v>6298</v>
      </c>
      <c r="G12" s="54">
        <v>6471</v>
      </c>
      <c r="H12" s="67">
        <f>G12-'Cash Flow Statement'!H20-'Cash Flow Statement'!H21</f>
        <v>6471</v>
      </c>
      <c r="I12" s="1"/>
      <c r="J12" s="1"/>
      <c r="K12" s="1"/>
      <c r="L12" s="1"/>
    </row>
    <row r="13" ht="15" customHeight="1">
      <c r="A13" s="1"/>
      <c r="B13" s="30" t="s">
        <v>297</v>
      </c>
      <c r="C13" s="54">
        <v>2433</v>
      </c>
      <c r="D13" s="54">
        <v>2391</v>
      </c>
      <c r="E13" s="16">
        <f t="shared" si="2"/>
        <v>2391</v>
      </c>
      <c r="F13" s="54">
        <v>2660</v>
      </c>
      <c r="G13" s="54">
        <v>2473</v>
      </c>
      <c r="H13" s="53">
        <f t="shared" si="2"/>
        <v>2473</v>
      </c>
      <c r="I13" s="1"/>
      <c r="J13" s="1"/>
      <c r="K13" s="1"/>
      <c r="L13" s="1"/>
    </row>
    <row r="14" ht="15" customHeight="1">
      <c r="A14" s="1"/>
      <c r="B14" s="30" t="s">
        <v>298</v>
      </c>
      <c r="C14" s="54">
        <v>1588</v>
      </c>
      <c r="D14" s="54">
        <v>1556</v>
      </c>
      <c r="E14" s="16">
        <f t="shared" si="2"/>
        <v>1556</v>
      </c>
      <c r="F14" s="54">
        <v>1718</v>
      </c>
      <c r="G14" s="54">
        <v>1795</v>
      </c>
      <c r="H14" s="53">
        <f t="shared" si="2"/>
        <v>1795</v>
      </c>
      <c r="I14" s="1"/>
      <c r="J14" s="1"/>
      <c r="K14" s="1"/>
      <c r="L14" s="1"/>
    </row>
    <row r="15" ht="15" customHeight="1">
      <c r="A15" s="1"/>
      <c r="B15" s="30" t="s">
        <v>299</v>
      </c>
      <c r="C15" s="54">
        <v>744</v>
      </c>
      <c r="D15" s="54">
        <v>671</v>
      </c>
      <c r="E15" s="16">
        <f t="shared" si="2"/>
        <v>671</v>
      </c>
      <c r="F15" s="54">
        <v>847</v>
      </c>
      <c r="G15" s="54">
        <v>759</v>
      </c>
      <c r="H15" s="53">
        <f t="shared" si="2"/>
        <v>759</v>
      </c>
      <c r="I15" s="1"/>
      <c r="J15" s="1"/>
      <c r="K15" s="1"/>
      <c r="L15" s="1"/>
    </row>
    <row r="16" ht="15" customHeight="1">
      <c r="A16" s="1"/>
      <c r="B16" s="3" t="s">
        <v>300</v>
      </c>
      <c r="C16" s="56">
        <f t="shared" si="3" ref="C16:H22">SUM(C11:C15)</f>
        <v>18094</v>
      </c>
      <c r="D16" s="56">
        <f t="shared" si="3"/>
        <v>16858</v>
      </c>
      <c r="E16" s="56">
        <f t="shared" si="3"/>
        <v>16858</v>
      </c>
      <c r="F16" s="56">
        <f t="shared" si="3"/>
        <v>19392</v>
      </c>
      <c r="G16" s="56">
        <f t="shared" si="3"/>
        <v>21664</v>
      </c>
      <c r="H16" s="57">
        <f t="shared" si="3"/>
        <v>20247.90271379746</v>
      </c>
      <c r="I16" s="1"/>
      <c r="J16" s="1"/>
      <c r="K16" s="1"/>
      <c r="L16" s="1"/>
    </row>
    <row r="17" ht="15" customHeight="1">
      <c r="A17" s="1"/>
      <c r="B17" s="30" t="s">
        <v>301</v>
      </c>
      <c r="C17" s="54">
        <v>44968</v>
      </c>
      <c r="D17" s="54">
        <v>46121</v>
      </c>
      <c r="E17" s="16">
        <f t="shared" si="2"/>
        <v>46121</v>
      </c>
      <c r="F17" s="54">
        <v>47071</v>
      </c>
      <c r="G17" s="54">
        <v>47958</v>
      </c>
      <c r="H17" s="67">
        <f>G17-'Cash Flow Statement'!H19-'Income Statement'!H39</f>
        <v>49140.04</v>
      </c>
      <c r="I17" s="1"/>
      <c r="J17" s="1"/>
      <c r="K17" s="1"/>
      <c r="L17" s="1"/>
    </row>
    <row r="18" ht="15" customHeight="1">
      <c r="A18" s="1"/>
      <c r="B18" s="30" t="s">
        <v>302</v>
      </c>
      <c r="C18" s="54">
        <v>4821</v>
      </c>
      <c r="D18" s="54">
        <v>4958</v>
      </c>
      <c r="E18" s="16">
        <f t="shared" si="2"/>
        <v>4958</v>
      </c>
      <c r="F18" s="54">
        <v>5740</v>
      </c>
      <c r="G18" s="54">
        <v>6161</v>
      </c>
      <c r="H18" s="53">
        <f t="shared" si="2"/>
        <v>6161</v>
      </c>
      <c r="I18" s="1"/>
      <c r="J18" s="1"/>
      <c r="K18" s="1"/>
      <c r="L18" s="1"/>
    </row>
    <row r="19" ht="15" customHeight="1">
      <c r="A19" s="1"/>
      <c r="B19" s="30" t="s">
        <v>303</v>
      </c>
      <c r="C19" s="54">
        <v>4527</v>
      </c>
      <c r="D19" s="54">
        <v>4527</v>
      </c>
      <c r="E19" s="16">
        <f t="shared" si="2"/>
        <v>4527</v>
      </c>
      <c r="F19" s="54">
        <v>4527</v>
      </c>
      <c r="G19" s="54">
        <v>4527</v>
      </c>
      <c r="H19" s="53">
        <f t="shared" si="2"/>
        <v>4527</v>
      </c>
      <c r="I19" s="1"/>
      <c r="J19" s="1"/>
      <c r="K19" s="1"/>
      <c r="L19" s="1"/>
    </row>
    <row r="20" ht="15" customHeight="1">
      <c r="A20" s="1"/>
      <c r="B20" s="30" t="s">
        <v>304</v>
      </c>
      <c r="C20" s="54">
        <v>2662</v>
      </c>
      <c r="D20" s="54">
        <v>2655</v>
      </c>
      <c r="E20" s="16">
        <f t="shared" si="2"/>
        <v>2655</v>
      </c>
      <c r="F20" s="54">
        <v>2650</v>
      </c>
      <c r="G20" s="54">
        <v>2645</v>
      </c>
      <c r="H20" s="53">
        <f t="shared" si="2"/>
        <v>2645</v>
      </c>
      <c r="I20" s="1"/>
      <c r="J20" s="1"/>
      <c r="K20" s="1"/>
      <c r="L20" s="1"/>
    </row>
    <row r="21" ht="15" customHeight="1">
      <c r="A21" s="1"/>
      <c r="B21" s="30" t="s">
        <v>305</v>
      </c>
      <c r="C21" s="54">
        <v>1242</v>
      </c>
      <c r="D21" s="54">
        <v>1330</v>
      </c>
      <c r="E21" s="16">
        <f t="shared" si="2"/>
        <v>1330</v>
      </c>
      <c r="F21" s="54">
        <v>1561</v>
      </c>
      <c r="G21" s="54">
        <v>1614</v>
      </c>
      <c r="H21" s="53">
        <f t="shared" si="2"/>
        <v>1614</v>
      </c>
      <c r="I21" s="1"/>
      <c r="J21" s="1"/>
      <c r="K21" s="1"/>
      <c r="L21" s="1"/>
    </row>
    <row r="22" ht="15" customHeight="1">
      <c r="A22" s="1"/>
      <c r="B22" s="3" t="s">
        <v>306</v>
      </c>
      <c r="C22" s="56">
        <f t="shared" si="3"/>
        <v>58220</v>
      </c>
      <c r="D22" s="56">
        <f t="shared" si="3"/>
        <v>59591</v>
      </c>
      <c r="E22" s="56">
        <f t="shared" si="3"/>
        <v>59591</v>
      </c>
      <c r="F22" s="56">
        <f t="shared" si="3"/>
        <v>61549</v>
      </c>
      <c r="G22" s="56">
        <f t="shared" si="3"/>
        <v>62905</v>
      </c>
      <c r="H22" s="57">
        <f t="shared" si="3"/>
        <v>64087.04</v>
      </c>
      <c r="I22" s="1"/>
      <c r="J22" s="1"/>
      <c r="K22" s="1"/>
      <c r="L22" s="1"/>
    </row>
    <row r="23" ht="15" customHeight="1">
      <c r="A23" s="1"/>
      <c r="B23" s="3" t="s">
        <v>307</v>
      </c>
      <c r="C23" s="56">
        <f t="shared" si="4" ref="C23:H23">C16+C22</f>
        <v>76314</v>
      </c>
      <c r="D23" s="56">
        <f t="shared" si="4"/>
        <v>76449</v>
      </c>
      <c r="E23" s="56">
        <f t="shared" si="4"/>
        <v>76449</v>
      </c>
      <c r="F23" s="56">
        <f t="shared" si="4"/>
        <v>80941</v>
      </c>
      <c r="G23" s="56">
        <f t="shared" si="4"/>
        <v>84569</v>
      </c>
      <c r="H23" s="57">
        <f t="shared" si="4"/>
        <v>84334.94271379746</v>
      </c>
      <c r="I23" s="1"/>
      <c r="J23" s="1"/>
      <c r="K23" s="1"/>
      <c r="L23" s="1"/>
    </row>
    <row r="24" ht="15" customHeight="1">
      <c r="A24" s="1"/>
      <c r="B24" s="3" t="s">
        <v>308</v>
      </c>
      <c r="C24" s="1"/>
      <c r="D24" s="1"/>
      <c r="E24" s="1"/>
      <c r="F24" s="1"/>
      <c r="G24" s="1"/>
      <c r="H24" s="32"/>
      <c r="I24" s="1"/>
      <c r="J24" s="1"/>
      <c r="K24" s="1"/>
      <c r="L24" s="1"/>
    </row>
    <row r="25" ht="15" customHeight="1">
      <c r="A25" s="1"/>
      <c r="B25" s="30" t="s">
        <v>309</v>
      </c>
      <c r="C25" s="54">
        <v>4636</v>
      </c>
      <c r="D25" s="54">
        <v>4567</v>
      </c>
      <c r="E25" s="16">
        <f t="shared" si="2"/>
        <v>4567</v>
      </c>
      <c r="F25" s="54">
        <v>5377</v>
      </c>
      <c r="G25" s="54">
        <v>5772</v>
      </c>
      <c r="H25" s="53">
        <f t="shared" si="2"/>
        <v>5772</v>
      </c>
      <c r="I25" s="1"/>
      <c r="J25" s="1"/>
      <c r="K25" s="1"/>
      <c r="L25" s="1"/>
    </row>
    <row r="26" ht="15" customHeight="1">
      <c r="A26" s="1"/>
      <c r="B26" s="30" t="s">
        <v>310</v>
      </c>
      <c r="C26" s="54">
        <v>3555</v>
      </c>
      <c r="D26" s="54">
        <v>3900</v>
      </c>
      <c r="E26" s="16">
        <f t="shared" si="2"/>
        <v>3900</v>
      </c>
      <c r="F26" s="54">
        <v>3071</v>
      </c>
      <c r="G26" s="54">
        <v>3458</v>
      </c>
      <c r="H26" s="53">
        <f t="shared" si="2"/>
        <v>3458</v>
      </c>
      <c r="I26" s="1"/>
      <c r="J26" s="1"/>
      <c r="K26" s="1"/>
      <c r="L26" s="1"/>
    </row>
    <row r="27" ht="15" customHeight="1">
      <c r="A27" s="1"/>
      <c r="B27" s="30" t="s">
        <v>311</v>
      </c>
      <c r="C27" s="54">
        <v>9338</v>
      </c>
      <c r="D27" s="54">
        <v>8131</v>
      </c>
      <c r="E27" s="16">
        <f t="shared" si="2"/>
        <v>8131</v>
      </c>
      <c r="F27" s="54">
        <v>11670</v>
      </c>
      <c r="G27" s="54">
        <v>10752</v>
      </c>
      <c r="H27" s="67">
        <f>G27+'Cash Flow Statement'!H14</f>
        <v>10152</v>
      </c>
      <c r="I27" s="1"/>
      <c r="J27" s="1"/>
      <c r="K27" s="1"/>
      <c r="L27" s="1"/>
    </row>
    <row r="28" ht="15" customHeight="1">
      <c r="A28" s="1"/>
      <c r="B28" s="30" t="s">
        <v>312</v>
      </c>
      <c r="C28" s="54">
        <v>3642</v>
      </c>
      <c r="D28" s="54">
        <v>3721</v>
      </c>
      <c r="E28" s="16">
        <f t="shared" si="2"/>
        <v>3721</v>
      </c>
      <c r="F28" s="54">
        <v>3832</v>
      </c>
      <c r="G28" s="54">
        <v>3939</v>
      </c>
      <c r="H28" s="67">
        <f>'Revenue summary'!H72-H35</f>
        <v>3955.3200000000006</v>
      </c>
      <c r="I28" s="1"/>
      <c r="J28" s="1"/>
      <c r="K28" s="1"/>
      <c r="L28" s="1"/>
    </row>
    <row r="29" ht="15" customHeight="1">
      <c r="A29" s="1"/>
      <c r="B29" s="30" t="s">
        <v>313</v>
      </c>
      <c r="C29" s="54">
        <v>4621</v>
      </c>
      <c r="D29" s="54">
        <v>4426</v>
      </c>
      <c r="E29" s="16">
        <f t="shared" si="2"/>
        <v>4426</v>
      </c>
      <c r="F29" s="54">
        <v>2253</v>
      </c>
      <c r="G29" s="54">
        <v>2170</v>
      </c>
      <c r="H29" s="67">
        <f>G29+'Cash Flow Statement'!H26+'Cash Flow Statement'!H27</f>
        <v>1570</v>
      </c>
      <c r="I29" s="1"/>
      <c r="J29" s="1"/>
      <c r="K29" s="1"/>
      <c r="L29" s="1"/>
    </row>
    <row r="30" ht="15" customHeight="1">
      <c r="A30" s="1"/>
      <c r="B30" s="30" t="s">
        <v>314</v>
      </c>
      <c r="C30" s="54">
        <v>563</v>
      </c>
      <c r="D30" s="54">
        <v>631</v>
      </c>
      <c r="E30" s="16">
        <f t="shared" si="2"/>
        <v>631</v>
      </c>
      <c r="F30" s="54">
        <v>748</v>
      </c>
      <c r="G30" s="54">
        <v>818</v>
      </c>
      <c r="H30" s="53">
        <f t="shared" si="2"/>
        <v>818</v>
      </c>
      <c r="I30" s="1"/>
      <c r="J30" s="1"/>
      <c r="K30" s="1"/>
      <c r="L30" s="1"/>
    </row>
    <row r="31" ht="15" customHeight="1">
      <c r="A31" s="1"/>
      <c r="B31" s="30" t="s">
        <v>315</v>
      </c>
      <c r="C31" s="54">
        <v>763</v>
      </c>
      <c r="D31" s="54">
        <v>757</v>
      </c>
      <c r="E31" s="16">
        <f t="shared" si="2"/>
        <v>757</v>
      </c>
      <c r="F31" s="54">
        <v>830</v>
      </c>
      <c r="G31" s="54">
        <v>854</v>
      </c>
      <c r="H31" s="53">
        <f t="shared" si="2"/>
        <v>854</v>
      </c>
      <c r="I31" s="1"/>
      <c r="J31" s="1"/>
      <c r="K31" s="1"/>
      <c r="L31" s="1"/>
    </row>
    <row r="32" ht="15" customHeight="1">
      <c r="A32" s="1"/>
      <c r="B32" s="3" t="s">
        <v>316</v>
      </c>
      <c r="C32" s="56">
        <f t="shared" si="5" ref="C32:H32">SUM(C25:C31)</f>
        <v>27118</v>
      </c>
      <c r="D32" s="56">
        <f t="shared" si="5"/>
        <v>26133</v>
      </c>
      <c r="E32" s="56">
        <f t="shared" si="5"/>
        <v>26133</v>
      </c>
      <c r="F32" s="56">
        <f t="shared" si="5"/>
        <v>27781</v>
      </c>
      <c r="G32" s="56">
        <f t="shared" si="5"/>
        <v>27763</v>
      </c>
      <c r="H32" s="57">
        <f t="shared" si="5"/>
        <v>26579.32</v>
      </c>
      <c r="I32" s="1"/>
      <c r="J32" s="1"/>
      <c r="K32" s="1"/>
      <c r="L32" s="1"/>
    </row>
    <row r="33" ht="15" customHeight="1">
      <c r="A33" s="1"/>
      <c r="B33" s="30" t="s">
        <v>317</v>
      </c>
      <c r="C33" s="54">
        <v>20807</v>
      </c>
      <c r="D33" s="54">
        <v>20562</v>
      </c>
      <c r="E33" s="16">
        <f t="shared" si="2"/>
        <v>20562</v>
      </c>
      <c r="F33" s="54">
        <v>21940</v>
      </c>
      <c r="G33" s="54">
        <v>24294</v>
      </c>
      <c r="H33" s="53">
        <f t="shared" si="2"/>
        <v>24294</v>
      </c>
      <c r="I33" s="1"/>
      <c r="J33" s="1"/>
      <c r="K33" s="1"/>
      <c r="L33" s="1"/>
    </row>
    <row r="34" ht="15" customHeight="1">
      <c r="A34" s="1"/>
      <c r="B34" s="30" t="s">
        <v>318</v>
      </c>
      <c r="C34" s="54">
        <v>5331</v>
      </c>
      <c r="D34" s="54">
        <v>5417</v>
      </c>
      <c r="E34" s="16">
        <f t="shared" si="2"/>
        <v>5417</v>
      </c>
      <c r="F34" s="54">
        <v>6030</v>
      </c>
      <c r="G34" s="54">
        <v>6386</v>
      </c>
      <c r="H34" s="53">
        <f t="shared" si="2"/>
        <v>6386</v>
      </c>
      <c r="I34" s="1"/>
      <c r="J34" s="1"/>
      <c r="K34" s="1"/>
      <c r="L34" s="1"/>
    </row>
    <row r="35" ht="15" customHeight="1">
      <c r="A35" s="1"/>
      <c r="B35" s="30" t="s">
        <v>319</v>
      </c>
      <c r="C35" s="54">
        <v>4060</v>
      </c>
      <c r="D35" s="54">
        <v>4056</v>
      </c>
      <c r="E35" s="16">
        <f t="shared" si="2"/>
        <v>4056</v>
      </c>
      <c r="F35" s="54">
        <v>4103</v>
      </c>
      <c r="G35" s="54">
        <v>4032</v>
      </c>
      <c r="H35" s="53">
        <f t="shared" si="2"/>
        <v>4032</v>
      </c>
      <c r="I35" s="1"/>
      <c r="J35" s="1"/>
      <c r="K35" s="1"/>
      <c r="L35" s="1"/>
    </row>
    <row r="36" ht="15" customHeight="1">
      <c r="A36" s="1"/>
      <c r="B36" s="30" t="s">
        <v>320</v>
      </c>
      <c r="C36" s="54">
        <v>974</v>
      </c>
      <c r="D36" s="54">
        <v>1058</v>
      </c>
      <c r="E36" s="16">
        <f t="shared" si="2"/>
        <v>1058</v>
      </c>
      <c r="F36" s="54">
        <v>1077</v>
      </c>
      <c r="G36" s="54">
        <v>1074</v>
      </c>
      <c r="H36" s="53">
        <f t="shared" si="2"/>
        <v>1074</v>
      </c>
      <c r="I36" s="1"/>
      <c r="J36" s="1"/>
      <c r="K36" s="1"/>
      <c r="L36" s="1"/>
    </row>
    <row r="37" ht="15" customHeight="1">
      <c r="A37" s="1"/>
      <c r="B37" s="30" t="s">
        <v>321</v>
      </c>
      <c r="C37" s="54">
        <v>2206</v>
      </c>
      <c r="D37" s="54">
        <v>2463</v>
      </c>
      <c r="E37" s="16">
        <f t="shared" si="2"/>
        <v>2463</v>
      </c>
      <c r="F37" s="54">
        <v>2617</v>
      </c>
      <c r="G37" s="54">
        <v>2822</v>
      </c>
      <c r="H37" s="53">
        <f t="shared" si="2"/>
        <v>2822</v>
      </c>
      <c r="I37" s="1"/>
      <c r="J37" s="1"/>
      <c r="K37" s="1"/>
      <c r="L37" s="1"/>
    </row>
    <row r="38" ht="15" customHeight="1">
      <c r="A38" s="1"/>
      <c r="B38" s="30" t="s">
        <v>322</v>
      </c>
      <c r="C38" s="54">
        <v>1508</v>
      </c>
      <c r="D38" s="54">
        <v>1478</v>
      </c>
      <c r="E38" s="16">
        <f t="shared" si="2"/>
        <v>1478</v>
      </c>
      <c r="F38" s="54">
        <v>1518</v>
      </c>
      <c r="G38" s="54">
        <v>1500</v>
      </c>
      <c r="H38" s="53">
        <f t="shared" si="2"/>
        <v>1500</v>
      </c>
      <c r="I38" s="1"/>
      <c r="J38" s="1"/>
      <c r="K38" s="1"/>
      <c r="L38" s="1"/>
    </row>
    <row r="39" ht="15" customHeight="1">
      <c r="A39" s="1"/>
      <c r="B39" s="3" t="s">
        <v>323</v>
      </c>
      <c r="C39" s="56">
        <f t="shared" si="6" ref="C39:H39">SUM(C33:C38)</f>
        <v>34886</v>
      </c>
      <c r="D39" s="56">
        <f t="shared" si="6"/>
        <v>35034</v>
      </c>
      <c r="E39" s="56">
        <f t="shared" si="6"/>
        <v>35034</v>
      </c>
      <c r="F39" s="56">
        <f t="shared" si="6"/>
        <v>37285</v>
      </c>
      <c r="G39" s="56">
        <f t="shared" si="6"/>
        <v>40108</v>
      </c>
      <c r="H39" s="57">
        <f t="shared" si="6"/>
        <v>40108</v>
      </c>
      <c r="I39" s="1"/>
      <c r="J39" s="1"/>
      <c r="K39" s="1"/>
      <c r="L39" s="1"/>
    </row>
    <row r="40" ht="15" customHeight="1">
      <c r="A40" s="1"/>
      <c r="B40" s="3" t="s">
        <v>324</v>
      </c>
      <c r="C40" s="56">
        <f t="shared" si="7" ref="C40:H40">C32+C39</f>
        <v>62004</v>
      </c>
      <c r="D40" s="56">
        <f t="shared" si="7"/>
        <v>61167</v>
      </c>
      <c r="E40" s="56">
        <f t="shared" si="7"/>
        <v>61167</v>
      </c>
      <c r="F40" s="56">
        <f t="shared" si="7"/>
        <v>65066</v>
      </c>
      <c r="G40" s="56">
        <f t="shared" si="7"/>
        <v>67871</v>
      </c>
      <c r="H40" s="57">
        <f t="shared" si="7"/>
        <v>66687.32</v>
      </c>
      <c r="I40" s="1"/>
      <c r="J40" s="1"/>
      <c r="K40" s="1"/>
      <c r="L40" s="1"/>
    </row>
    <row r="41" ht="15" customHeight="1">
      <c r="A41" s="1"/>
      <c r="B41" s="49" t="s">
        <v>325</v>
      </c>
      <c r="C41" s="65">
        <v>14309</v>
      </c>
      <c r="D41" s="65">
        <v>15282</v>
      </c>
      <c r="E41" s="56">
        <f t="shared" si="2"/>
        <v>15282</v>
      </c>
      <c r="F41" s="65">
        <v>15876</v>
      </c>
      <c r="G41" s="65">
        <v>16697</v>
      </c>
      <c r="H41" s="66">
        <f>G41+'Income Statement'!H88+'Cash Flow Statement'!H28+'Cash Flow Statement'!H29</f>
        <v>17646.62271379746</v>
      </c>
      <c r="I41" s="1"/>
      <c r="J41" s="1"/>
      <c r="K41" s="1"/>
      <c r="L41" s="1"/>
    </row>
    <row r="42" ht="15" customHeight="1">
      <c r="A42" s="1"/>
      <c r="B42" s="3" t="s">
        <v>326</v>
      </c>
      <c r="C42" s="56">
        <f t="shared" si="8" ref="C42:H42">C40+C41</f>
        <v>76313</v>
      </c>
      <c r="D42" s="56">
        <f t="shared" si="8"/>
        <v>76449</v>
      </c>
      <c r="E42" s="56">
        <f t="shared" si="8"/>
        <v>76449</v>
      </c>
      <c r="F42" s="56">
        <f t="shared" si="8"/>
        <v>80942</v>
      </c>
      <c r="G42" s="56">
        <f t="shared" si="8"/>
        <v>84568</v>
      </c>
      <c r="H42" s="57">
        <f t="shared" si="8"/>
        <v>84333.94271379747</v>
      </c>
      <c r="I42" s="1"/>
      <c r="J42" s="1"/>
      <c r="K42" s="1"/>
      <c r="L42" s="1"/>
    </row>
    <row r="43" ht="15" customHeight="1">
      <c r="A43" s="1"/>
      <c r="B43" s="3" t="s">
        <v>327</v>
      </c>
      <c r="C43" s="79">
        <f t="shared" si="9" ref="C43:H43">C23-C40-C41</f>
        <v>1</v>
      </c>
      <c r="D43" s="79">
        <f t="shared" si="9"/>
        <v>0</v>
      </c>
      <c r="E43" s="79">
        <f t="shared" si="9"/>
        <v>0</v>
      </c>
      <c r="F43" s="79">
        <f t="shared" si="9"/>
        <v>-1</v>
      </c>
      <c r="G43" s="79">
        <f t="shared" si="9"/>
        <v>1</v>
      </c>
      <c r="H43" s="88">
        <f t="shared" si="9"/>
        <v>0.9999999999890861</v>
      </c>
      <c r="I43" s="22" t="s">
        <v>328</v>
      </c>
      <c r="J43" s="1"/>
      <c r="K43" s="1"/>
      <c r="L43" s="1"/>
    </row>
    <row r="44" ht="15" customHeight="1">
      <c r="A44" s="1"/>
      <c r="B44" s="1" t="s">
        <v>329</v>
      </c>
      <c r="C44" s="62" t="b">
        <f t="shared" si="10" ref="C44:G44">ABS(C43)&lt;=1</f>
        <v>1</v>
      </c>
      <c r="D44" s="62" t="b">
        <f t="shared" si="10"/>
        <v>1</v>
      </c>
      <c r="E44" s="62" t="b">
        <f t="shared" si="10"/>
        <v>1</v>
      </c>
      <c r="F44" s="62" t="b">
        <f t="shared" si="10"/>
        <v>1</v>
      </c>
      <c r="G44" s="62" t="b">
        <f t="shared" si="10"/>
        <v>1</v>
      </c>
      <c r="H44" s="63" t="b">
        <f>AND(ABS(H43)&lt;=1,ABS(H43-G43)&lt;0.001)</f>
        <v>1</v>
      </c>
      <c r="I44" s="22" t="s">
        <v>330</v>
      </c>
      <c r="J44" s="1"/>
      <c r="K44" s="1"/>
      <c r="L44" s="1"/>
    </row>
    <row r="45" ht="15" customHeight="1">
      <c r="A45" s="1"/>
      <c r="B45" s="30" t="s">
        <v>331</v>
      </c>
      <c r="C45" s="54">
        <v>76313</v>
      </c>
      <c r="D45" s="54">
        <v>76448</v>
      </c>
      <c r="E45" s="16">
        <f t="shared" si="2"/>
        <v>76448</v>
      </c>
      <c r="F45" s="54">
        <v>80941</v>
      </c>
      <c r="G45" s="54">
        <v>84569</v>
      </c>
      <c r="H45" s="53" t="s">
        <v>41</v>
      </c>
      <c r="I45" s="1"/>
      <c r="J45" s="1"/>
      <c r="K45" s="1"/>
      <c r="L45" s="1"/>
    </row>
    <row r="46" ht="15" customHeight="1">
      <c r="A46" s="1"/>
      <c r="B46" s="1" t="s">
        <v>332</v>
      </c>
      <c r="C46" s="62" t="b">
        <f t="shared" si="11" ref="C46:G46">ABS(C23-C45)&lt;=1</f>
        <v>1</v>
      </c>
      <c r="D46" s="62" t="b">
        <f t="shared" si="11"/>
        <v>1</v>
      </c>
      <c r="E46" s="62" t="b">
        <f t="shared" si="11"/>
        <v>1</v>
      </c>
      <c r="F46" s="62" t="b">
        <f t="shared" si="11"/>
        <v>1</v>
      </c>
      <c r="G46" s="62" t="b">
        <f t="shared" si="11"/>
        <v>1</v>
      </c>
      <c r="H46" s="63" t="b">
        <f>ABS((H23-G23)-((H11-G11)+(H12-G12)+(H17-G17)))&lt;0.001</f>
        <v>1</v>
      </c>
      <c r="I46" s="22" t="s">
        <v>333</v>
      </c>
      <c r="J46" s="1"/>
      <c r="K46" s="1"/>
      <c r="L46" s="1"/>
    </row>
    <row r="47" ht="15" customHeight="1">
      <c r="A47" s="1"/>
      <c r="B47" s="3" t="s">
        <v>334</v>
      </c>
      <c r="C47" s="1"/>
      <c r="D47" s="1"/>
      <c r="E47" s="1"/>
      <c r="F47" s="1"/>
      <c r="G47" s="1"/>
      <c r="H47" s="32"/>
      <c r="I47" s="1"/>
      <c r="J47" s="1"/>
      <c r="K47" s="1"/>
      <c r="L47" s="1"/>
    </row>
    <row r="48" ht="15" customHeight="1">
      <c r="A48" s="1"/>
      <c r="B48" s="49" t="s">
        <v>335</v>
      </c>
      <c r="C48" s="56">
        <f t="shared" si="12" ref="C48:H48">C29+C33</f>
        <v>25428</v>
      </c>
      <c r="D48" s="56">
        <f t="shared" si="12"/>
        <v>24988</v>
      </c>
      <c r="E48" s="56">
        <f t="shared" si="12"/>
        <v>24988</v>
      </c>
      <c r="F48" s="56">
        <f t="shared" si="12"/>
        <v>24193</v>
      </c>
      <c r="G48" s="56">
        <f t="shared" si="12"/>
        <v>26464</v>
      </c>
      <c r="H48" s="57">
        <f t="shared" si="12"/>
        <v>25864</v>
      </c>
      <c r="I48" s="1"/>
      <c r="J48" s="1"/>
      <c r="K48" s="1"/>
      <c r="L48" s="1"/>
    </row>
    <row r="49" ht="15" customHeight="1">
      <c r="A49" s="1"/>
      <c r="B49" s="49" t="s">
        <v>336</v>
      </c>
      <c r="C49" s="56">
        <f t="shared" si="13" ref="C49:H49">C11+C12</f>
        <v>13329</v>
      </c>
      <c r="D49" s="56">
        <f t="shared" si="13"/>
        <v>12240</v>
      </c>
      <c r="E49" s="56">
        <f t="shared" si="13"/>
        <v>12240</v>
      </c>
      <c r="F49" s="56">
        <f t="shared" si="13"/>
        <v>14167</v>
      </c>
      <c r="G49" s="56">
        <f t="shared" si="13"/>
        <v>16637</v>
      </c>
      <c r="H49" s="57">
        <f t="shared" si="13"/>
        <v>15220.902713797459</v>
      </c>
      <c r="I49" s="1"/>
      <c r="J49" s="1"/>
      <c r="K49" s="1"/>
      <c r="L49" s="1"/>
    </row>
    <row r="50" ht="15" customHeight="1">
      <c r="A50" s="1"/>
      <c r="B50" s="49" t="s">
        <v>337</v>
      </c>
      <c r="C50" s="56">
        <f t="shared" si="14" ref="C50:H50">C48-C49</f>
        <v>12099</v>
      </c>
      <c r="D50" s="56">
        <f t="shared" si="14"/>
        <v>12748</v>
      </c>
      <c r="E50" s="56">
        <f t="shared" si="14"/>
        <v>12748</v>
      </c>
      <c r="F50" s="56">
        <f t="shared" si="14"/>
        <v>10026</v>
      </c>
      <c r="G50" s="56">
        <f t="shared" si="14"/>
        <v>9827</v>
      </c>
      <c r="H50" s="57">
        <f t="shared" si="14"/>
        <v>10643.097286202541</v>
      </c>
      <c r="I50" s="22" t="s">
        <v>338</v>
      </c>
      <c r="J50" s="1"/>
      <c r="K50" s="1"/>
      <c r="L50" s="1"/>
    </row>
    <row r="51" ht="15" customHeight="1">
      <c r="A51" s="1"/>
      <c r="B51" s="49" t="s">
        <v>339</v>
      </c>
      <c r="C51" s="56">
        <f t="shared" si="15" ref="C51:H51">C28+C35</f>
        <v>7702</v>
      </c>
      <c r="D51" s="56">
        <f t="shared" si="15"/>
        <v>7777</v>
      </c>
      <c r="E51" s="56">
        <f t="shared" si="15"/>
        <v>7777</v>
      </c>
      <c r="F51" s="56">
        <f t="shared" si="15"/>
        <v>7935</v>
      </c>
      <c r="G51" s="56">
        <f t="shared" si="15"/>
        <v>7971</v>
      </c>
      <c r="H51" s="57">
        <f t="shared" si="15"/>
        <v>7987.320000000001</v>
      </c>
      <c r="I51" s="1"/>
      <c r="J51" s="1"/>
      <c r="K51" s="1"/>
      <c r="L51" s="1"/>
    </row>
    <row r="52" ht="1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ht="1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D4DC628-05E4-2E7C-8E8B-3E5EDB7B13B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  <col min="10" max="11" width="12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3" t="s">
        <v>340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1"/>
      <c r="J5" s="1"/>
      <c r="K5" s="1"/>
      <c r="L5" s="1"/>
    </row>
    <row r="6" ht="15" customHeight="1">
      <c r="A6" s="1"/>
      <c r="B6" s="7" t="s">
        <v>10</v>
      </c>
      <c r="C6" s="8">
        <f>DATE(2025,9,30)</f>
        <v>45930</v>
      </c>
      <c r="D6" s="8">
        <f t="shared" si="0" ref="D6:E6">DATE(2025,12,31)</f>
        <v>46022</v>
      </c>
      <c r="E6" s="8">
        <f t="shared" si="0"/>
        <v>46022</v>
      </c>
      <c r="F6" s="8">
        <f>DATE(2026,3,31)</f>
        <v>46112</v>
      </c>
      <c r="G6" s="8">
        <f>DATE(2026,6,30)</f>
        <v>46203</v>
      </c>
      <c r="H6" s="8">
        <f>DATE(2026,9,30)</f>
        <v>46295</v>
      </c>
      <c r="I6" s="1"/>
      <c r="J6" s="1"/>
      <c r="K6" s="1"/>
      <c r="L6" s="1"/>
    </row>
    <row r="7" ht="15" customHeight="1">
      <c r="A7" s="1"/>
      <c r="B7" s="9" t="s">
        <v>11</v>
      </c>
      <c r="C7" s="10">
        <f t="shared" si="1" ref="C7:H7">C6-EOMONTH(C6,-3)</f>
        <v>92</v>
      </c>
      <c r="D7" s="10">
        <f t="shared" si="1"/>
        <v>92</v>
      </c>
      <c r="E7" s="10">
        <f>E6-EOMONTH(E6,-12)</f>
        <v>365</v>
      </c>
      <c r="F7" s="10">
        <f t="shared" si="1"/>
        <v>90</v>
      </c>
      <c r="G7" s="10">
        <f t="shared" si="1"/>
        <v>91</v>
      </c>
      <c r="H7" s="10">
        <f t="shared" si="1"/>
        <v>92</v>
      </c>
      <c r="I7" s="1"/>
      <c r="J7" s="1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5" customHeight="1">
      <c r="A9" s="1"/>
      <c r="B9" s="1" t="s">
        <v>341</v>
      </c>
      <c r="C9" s="1"/>
      <c r="D9" s="1"/>
      <c r="E9" s="1"/>
      <c r="F9" s="1"/>
      <c r="G9" s="1"/>
      <c r="H9" s="32"/>
      <c r="I9" s="1"/>
      <c r="J9" s="1"/>
      <c r="K9" s="1"/>
      <c r="L9" s="1"/>
    </row>
    <row r="10" ht="15" customHeight="1">
      <c r="A10" s="1"/>
      <c r="B10" s="3" t="s">
        <v>342</v>
      </c>
      <c r="C10" s="1"/>
      <c r="D10" s="1"/>
      <c r="E10" s="1"/>
      <c r="F10" s="1"/>
      <c r="G10" s="1"/>
      <c r="H10" s="32"/>
      <c r="I10" s="1"/>
      <c r="J10" s="1"/>
      <c r="K10" s="1"/>
      <c r="L10" s="1"/>
    </row>
    <row r="11" ht="15" customHeight="1">
      <c r="A11" s="1"/>
      <c r="B11" s="30" t="s">
        <v>343</v>
      </c>
      <c r="C11" s="15">
        <f>'Income Statement'!C88</f>
        <v>948</v>
      </c>
      <c r="D11" s="15">
        <f>'Income Statement'!D88</f>
        <v>1045</v>
      </c>
      <c r="E11" s="15">
        <f>'Income Statement'!E88</f>
        <v>3352</v>
      </c>
      <c r="F11" s="15">
        <f>'Income Statement'!F88</f>
        <v>698</v>
      </c>
      <c r="G11" s="15">
        <f>'Income Statement'!G88</f>
        <v>805</v>
      </c>
      <c r="H11" s="67">
        <f>'Income Statement'!H88</f>
        <v>964.6227137974588</v>
      </c>
      <c r="I11" s="1"/>
      <c r="J11" s="1"/>
      <c r="K11" s="1"/>
      <c r="L11" s="1"/>
    </row>
    <row r="12" ht="15" customHeight="1">
      <c r="A12" s="1"/>
      <c r="B12" s="30" t="s">
        <v>184</v>
      </c>
      <c r="C12" s="15">
        <f>'Income Statement'!C39</f>
        <v>730</v>
      </c>
      <c r="D12" s="15">
        <f>'Income Statement'!D39</f>
        <v>748</v>
      </c>
      <c r="E12" s="15">
        <f>'Income Statement'!E39</f>
        <v>2939</v>
      </c>
      <c r="F12" s="15">
        <f>'Income Statement'!F39</f>
        <v>756</v>
      </c>
      <c r="G12" s="15">
        <f>'Income Statement'!G39</f>
        <v>762</v>
      </c>
      <c r="H12" s="67">
        <f>'Income Statement'!H39</f>
        <v>767.96</v>
      </c>
      <c r="I12" s="1"/>
      <c r="J12" s="1"/>
      <c r="K12" s="1"/>
      <c r="L12" s="1"/>
    </row>
    <row r="13" ht="15" customHeight="1">
      <c r="A13" s="1"/>
      <c r="B13" s="37" t="s">
        <v>344</v>
      </c>
      <c r="C13" s="16" t="s">
        <v>102</v>
      </c>
      <c r="D13" s="16" t="s">
        <v>102</v>
      </c>
      <c r="E13" s="16" t="s">
        <v>102</v>
      </c>
      <c r="F13" s="16" t="s">
        <v>102</v>
      </c>
      <c r="G13" s="16" t="s">
        <v>102</v>
      </c>
      <c r="H13" s="67">
        <f>'Income Statement'!H50</f>
        <v>-100</v>
      </c>
      <c r="I13" s="1"/>
      <c r="J13" s="1"/>
      <c r="K13" s="1"/>
      <c r="L13" s="1"/>
    </row>
    <row r="14" ht="25.5" customHeight="1">
      <c r="A14" s="1"/>
      <c r="B14" s="37" t="s">
        <v>345</v>
      </c>
      <c r="C14" s="16" t="s">
        <v>102</v>
      </c>
      <c r="D14" s="16" t="s">
        <v>102</v>
      </c>
      <c r="E14" s="16" t="s">
        <v>102</v>
      </c>
      <c r="F14" s="16" t="s">
        <v>102</v>
      </c>
      <c r="G14" s="16" t="s">
        <v>102</v>
      </c>
      <c r="H14" s="55">
        <v>-600</v>
      </c>
      <c r="I14" s="18" t="s">
        <v>346</v>
      </c>
      <c r="J14" s="1"/>
      <c r="K14" s="1"/>
      <c r="L14" s="1"/>
    </row>
    <row r="15" ht="15" customHeight="1">
      <c r="A15" s="1"/>
      <c r="B15" s="37" t="s">
        <v>347</v>
      </c>
      <c r="C15" s="16" t="s">
        <v>102</v>
      </c>
      <c r="D15" s="16" t="s">
        <v>102</v>
      </c>
      <c r="E15" s="16" t="s">
        <v>102</v>
      </c>
      <c r="F15" s="16" t="s">
        <v>102</v>
      </c>
      <c r="G15" s="16" t="s">
        <v>102</v>
      </c>
      <c r="H15" s="67">
        <f>'Revenue summary'!H72-'Revenue summary'!G72</f>
        <v>16.32000000000062</v>
      </c>
      <c r="I15" s="1"/>
      <c r="J15" s="1"/>
      <c r="K15" s="1"/>
      <c r="L15" s="1"/>
    </row>
    <row r="16" ht="63.75" customHeight="1">
      <c r="A16" s="1"/>
      <c r="B16" s="77" t="s">
        <v>348</v>
      </c>
      <c r="C16" s="16">
        <f t="shared" si="2" ref="C16:G16">C17-C11-C12</f>
        <v>-460</v>
      </c>
      <c r="D16" s="16">
        <f t="shared" si="2"/>
        <v>-507</v>
      </c>
      <c r="E16" s="16">
        <f t="shared" si="2"/>
        <v>2140</v>
      </c>
      <c r="F16" s="16">
        <f t="shared" si="2"/>
        <v>3345</v>
      </c>
      <c r="G16" s="16">
        <f t="shared" si="2"/>
        <v>43</v>
      </c>
      <c r="H16" s="53">
        <f>H13+H14+H15</f>
        <v>-683.6799999999994</v>
      </c>
      <c r="I16" s="18" t="s">
        <v>349</v>
      </c>
      <c r="J16" s="1"/>
      <c r="K16" s="1"/>
      <c r="L16" s="1"/>
    </row>
    <row r="17" ht="15" customHeight="1">
      <c r="A17" s="1"/>
      <c r="B17" s="3" t="s">
        <v>350</v>
      </c>
      <c r="C17" s="89">
        <f>Inputs!D190-Inputs!C190</f>
        <v>1218</v>
      </c>
      <c r="D17" s="89">
        <f>E17-Inputs!D190</f>
        <v>1286</v>
      </c>
      <c r="E17" s="65">
        <v>8431</v>
      </c>
      <c r="F17" s="65">
        <v>4799</v>
      </c>
      <c r="G17" s="89">
        <f>Inputs!E190-F17</f>
        <v>1610</v>
      </c>
      <c r="H17" s="57">
        <f>H11+H12+H16</f>
        <v>1048.9027137974595</v>
      </c>
      <c r="I17" s="22" t="s">
        <v>351</v>
      </c>
      <c r="J17" s="1"/>
      <c r="K17" s="1"/>
      <c r="L17" s="1"/>
    </row>
    <row r="18" ht="15" customHeight="1">
      <c r="A18" s="1"/>
      <c r="B18" s="3" t="s">
        <v>352</v>
      </c>
      <c r="C18" s="1"/>
      <c r="D18" s="1"/>
      <c r="E18" s="1"/>
      <c r="F18" s="1"/>
      <c r="G18" s="1"/>
      <c r="H18" s="32"/>
      <c r="I18" s="1"/>
      <c r="J18" s="1"/>
      <c r="K18" s="1"/>
      <c r="L18" s="1"/>
    </row>
    <row r="19" ht="38.25" customHeight="1">
      <c r="A19" s="1"/>
      <c r="B19" s="30" t="s">
        <v>353</v>
      </c>
      <c r="C19" s="15">
        <f>Inputs!D191-Inputs!C191</f>
        <v>-1464</v>
      </c>
      <c r="D19" s="15">
        <f>E19-Inputs!D191</f>
        <v>-1890</v>
      </c>
      <c r="E19" s="54">
        <v>-5874</v>
      </c>
      <c r="F19" s="54">
        <v>-1672</v>
      </c>
      <c r="G19" s="15">
        <f>Inputs!E191-F19</f>
        <v>-1343</v>
      </c>
      <c r="H19" s="55">
        <v>-1950</v>
      </c>
      <c r="I19" s="18" t="s">
        <v>354</v>
      </c>
      <c r="J19" s="1"/>
      <c r="K19" s="1"/>
      <c r="L19" s="1"/>
    </row>
    <row r="20" ht="25.5" customHeight="1">
      <c r="A20" s="1"/>
      <c r="B20" s="30" t="s">
        <v>355</v>
      </c>
      <c r="C20" s="15">
        <f>Inputs!D192-Inputs!C192</f>
        <v>-1732</v>
      </c>
      <c r="D20" s="15">
        <f>E20-Inputs!D192</f>
        <v>-1309</v>
      </c>
      <c r="E20" s="54">
        <v>-7763</v>
      </c>
      <c r="F20" s="54">
        <v>-2356</v>
      </c>
      <c r="G20" s="15">
        <f>Inputs!E192-F20</f>
        <v>-2083</v>
      </c>
      <c r="H20" s="55">
        <v>-2200</v>
      </c>
      <c r="I20" s="18" t="s">
        <v>356</v>
      </c>
      <c r="J20" s="1"/>
      <c r="K20" s="1"/>
      <c r="L20" s="1"/>
    </row>
    <row r="21" ht="15" customHeight="1">
      <c r="A21" s="1"/>
      <c r="B21" s="30" t="s">
        <v>357</v>
      </c>
      <c r="C21" s="15">
        <f>Inputs!D193-Inputs!C193</f>
        <v>1432</v>
      </c>
      <c r="D21" s="15">
        <f>E21-Inputs!D193</f>
        <v>1630</v>
      </c>
      <c r="E21" s="54">
        <v>7284</v>
      </c>
      <c r="F21" s="54">
        <v>2269</v>
      </c>
      <c r="G21" s="15">
        <f>Inputs!E193-F21</f>
        <v>1910</v>
      </c>
      <c r="H21" s="55">
        <v>2200</v>
      </c>
      <c r="I21" s="22" t="s">
        <v>358</v>
      </c>
      <c r="J21" s="1"/>
      <c r="K21" s="1"/>
      <c r="L21" s="1"/>
    </row>
    <row r="22" ht="15" customHeight="1">
      <c r="A22" s="1"/>
      <c r="B22" s="30" t="s">
        <v>359</v>
      </c>
      <c r="C22" s="15">
        <f>Inputs!D194-Inputs!C194</f>
        <v>15</v>
      </c>
      <c r="D22" s="15">
        <f>E22-Inputs!D194</f>
        <v>35</v>
      </c>
      <c r="E22" s="54">
        <v>98</v>
      </c>
      <c r="F22" s="54">
        <v>9</v>
      </c>
      <c r="G22" s="15">
        <f>Inputs!E194-F22</f>
        <v>24</v>
      </c>
      <c r="H22" s="67">
        <f>-'Income Statement'!H50</f>
        <v>100</v>
      </c>
      <c r="I22" s="22" t="s">
        <v>360</v>
      </c>
      <c r="J22" s="1"/>
      <c r="K22" s="1"/>
      <c r="L22" s="1"/>
    </row>
    <row r="23" ht="15" customHeight="1">
      <c r="A23" s="1"/>
      <c r="B23" s="30" t="s">
        <v>361</v>
      </c>
      <c r="C23" s="15">
        <f>Inputs!D195-Inputs!C195</f>
        <v>6</v>
      </c>
      <c r="D23" s="15">
        <f>E23-Inputs!D195</f>
        <v>-32</v>
      </c>
      <c r="E23" s="54">
        <v>-96</v>
      </c>
      <c r="F23" s="54">
        <v>-144</v>
      </c>
      <c r="G23" s="15">
        <f>Inputs!E195-F23</f>
        <v>33</v>
      </c>
      <c r="H23" s="55">
        <v>0</v>
      </c>
      <c r="I23" s="1"/>
      <c r="J23" s="1"/>
      <c r="K23" s="1"/>
      <c r="L23" s="1"/>
    </row>
    <row r="24" ht="15" customHeight="1">
      <c r="A24" s="1"/>
      <c r="B24" s="3" t="s">
        <v>362</v>
      </c>
      <c r="C24" s="56">
        <f t="shared" si="3" ref="C24:H24">SUM(C19:C23)</f>
        <v>-1743</v>
      </c>
      <c r="D24" s="56">
        <f t="shared" si="3"/>
        <v>-1566</v>
      </c>
      <c r="E24" s="56">
        <f t="shared" si="3"/>
        <v>-6351</v>
      </c>
      <c r="F24" s="56">
        <f t="shared" si="3"/>
        <v>-1894</v>
      </c>
      <c r="G24" s="56">
        <f t="shared" si="3"/>
        <v>-1459</v>
      </c>
      <c r="H24" s="57">
        <f t="shared" si="3"/>
        <v>-1850</v>
      </c>
      <c r="I24" s="1"/>
      <c r="J24" s="1"/>
      <c r="K24" s="1"/>
      <c r="L24" s="1"/>
    </row>
    <row r="25" ht="15" customHeight="1">
      <c r="A25" s="1"/>
      <c r="B25" s="3" t="s">
        <v>363</v>
      </c>
      <c r="C25" s="1"/>
      <c r="D25" s="1"/>
      <c r="E25" s="1"/>
      <c r="F25" s="1"/>
      <c r="G25" s="1"/>
      <c r="H25" s="32"/>
      <c r="I25" s="1"/>
      <c r="J25" s="1"/>
      <c r="K25" s="1"/>
      <c r="L25" s="1"/>
    </row>
    <row r="26" ht="15" customHeight="1">
      <c r="A26" s="1"/>
      <c r="B26" s="30" t="s">
        <v>364</v>
      </c>
      <c r="C26" s="15">
        <f>Inputs!D197-Inputs!C197</f>
        <v>485</v>
      </c>
      <c r="D26" s="15">
        <f>E26-Inputs!D197</f>
        <v>93</v>
      </c>
      <c r="E26" s="54">
        <v>578</v>
      </c>
      <c r="F26" s="54">
        <v>2233</v>
      </c>
      <c r="G26" s="15">
        <f>Inputs!E197-F26</f>
        <v>3596</v>
      </c>
      <c r="H26" s="55">
        <v>0</v>
      </c>
      <c r="I26" s="1"/>
      <c r="J26" s="1"/>
      <c r="K26" s="1"/>
      <c r="L26" s="1"/>
    </row>
    <row r="27" ht="15" customHeight="1">
      <c r="A27" s="1"/>
      <c r="B27" s="30" t="s">
        <v>365</v>
      </c>
      <c r="C27" s="15">
        <f>Inputs!D198-Inputs!C198</f>
        <v>-2585</v>
      </c>
      <c r="D27" s="15">
        <f>E27-Inputs!D198</f>
        <v>-575</v>
      </c>
      <c r="E27" s="54">
        <v>-4771</v>
      </c>
      <c r="F27" s="54">
        <v>-3092</v>
      </c>
      <c r="G27" s="15">
        <f>Inputs!E198-F27</f>
        <v>-1445</v>
      </c>
      <c r="H27" s="55">
        <v>-600</v>
      </c>
      <c r="I27" s="22" t="s">
        <v>366</v>
      </c>
      <c r="J27" s="1"/>
      <c r="K27" s="1"/>
      <c r="L27" s="1"/>
    </row>
    <row r="28" ht="15" customHeight="1">
      <c r="A28" s="1"/>
      <c r="B28" s="30" t="s">
        <v>367</v>
      </c>
      <c r="C28" s="15">
        <f>Inputs!D199-Inputs!C199</f>
        <v>-21</v>
      </c>
      <c r="D28" s="15">
        <f>E28-Inputs!D199</f>
        <v>-27</v>
      </c>
      <c r="E28" s="54">
        <v>-637</v>
      </c>
      <c r="F28" s="54">
        <v>-27</v>
      </c>
      <c r="G28" s="15">
        <f>Inputs!E199-F28</f>
        <v>0</v>
      </c>
      <c r="H28" s="55">
        <v>0</v>
      </c>
      <c r="I28" s="22" t="s">
        <v>368</v>
      </c>
      <c r="J28" s="1"/>
      <c r="K28" s="1"/>
      <c r="L28" s="1"/>
    </row>
    <row r="29" ht="15" customHeight="1">
      <c r="A29" s="1"/>
      <c r="B29" s="30" t="s">
        <v>369</v>
      </c>
      <c r="C29" s="15">
        <f>Inputs!D200-Inputs!C200</f>
        <v>-15</v>
      </c>
      <c r="D29" s="15">
        <f>E29-Inputs!D200</f>
        <v>-1</v>
      </c>
      <c r="E29" s="54">
        <v>-115</v>
      </c>
      <c r="F29" s="54">
        <v>-90</v>
      </c>
      <c r="G29" s="15">
        <f>Inputs!E200-F29</f>
        <v>-3</v>
      </c>
      <c r="H29" s="55">
        <v>-15</v>
      </c>
      <c r="I29" s="22" t="s">
        <v>370</v>
      </c>
      <c r="J29" s="1"/>
      <c r="K29" s="1"/>
      <c r="L29" s="1"/>
    </row>
    <row r="30" ht="15" customHeight="1">
      <c r="A30" s="1"/>
      <c r="B30" s="3" t="s">
        <v>371</v>
      </c>
      <c r="C30" s="56">
        <f t="shared" si="4" ref="C30:H30">SUM(C26:C29)</f>
        <v>-2136</v>
      </c>
      <c r="D30" s="56">
        <f t="shared" si="4"/>
        <v>-510</v>
      </c>
      <c r="E30" s="56">
        <f t="shared" si="4"/>
        <v>-4945</v>
      </c>
      <c r="F30" s="56">
        <f t="shared" si="4"/>
        <v>-976</v>
      </c>
      <c r="G30" s="56">
        <f t="shared" si="4"/>
        <v>2148</v>
      </c>
      <c r="H30" s="57">
        <f t="shared" si="4"/>
        <v>-615</v>
      </c>
      <c r="I30" s="1"/>
      <c r="J30" s="1"/>
      <c r="K30" s="1"/>
      <c r="L30" s="1"/>
    </row>
    <row r="31" ht="15" customHeight="1">
      <c r="A31" s="1"/>
      <c r="B31" s="3" t="s">
        <v>372</v>
      </c>
      <c r="C31" s="56">
        <f t="shared" si="5" ref="C31:H31">C17+C24+C30</f>
        <v>-2661</v>
      </c>
      <c r="D31" s="56">
        <f t="shared" si="5"/>
        <v>-790</v>
      </c>
      <c r="E31" s="56">
        <f t="shared" si="5"/>
        <v>-2865</v>
      </c>
      <c r="F31" s="56">
        <f t="shared" si="5"/>
        <v>1929</v>
      </c>
      <c r="G31" s="56">
        <f t="shared" si="5"/>
        <v>2299</v>
      </c>
      <c r="H31" s="57">
        <f t="shared" si="5"/>
        <v>-1416.0972862025405</v>
      </c>
      <c r="I31" s="22" t="s">
        <v>373</v>
      </c>
      <c r="J31" s="1"/>
      <c r="K31" s="1"/>
      <c r="L31" s="1"/>
    </row>
    <row r="32" ht="15" customHeight="1">
      <c r="A32" s="1"/>
      <c r="B32" s="30" t="s">
        <v>374</v>
      </c>
      <c r="C32" s="15">
        <f>Inputs!C204</f>
        <v>9531</v>
      </c>
      <c r="D32" s="16">
        <f t="shared" si="6" ref="D32:H32">C34</f>
        <v>6871</v>
      </c>
      <c r="E32" s="15">
        <f>Inputs!C203</f>
        <v>8946</v>
      </c>
      <c r="F32" s="16">
        <f>D34</f>
        <v>6081</v>
      </c>
      <c r="G32" s="16">
        <f t="shared" si="6"/>
        <v>8011</v>
      </c>
      <c r="H32" s="53">
        <f t="shared" si="6"/>
        <v>10308</v>
      </c>
      <c r="I32" s="22" t="s">
        <v>375</v>
      </c>
      <c r="J32" s="1"/>
      <c r="K32" s="1"/>
      <c r="L32" s="1"/>
    </row>
    <row r="33" ht="15" customHeight="1">
      <c r="A33" s="1"/>
      <c r="B33" s="3" t="s">
        <v>376</v>
      </c>
      <c r="C33" s="56">
        <f t="shared" si="7" ref="C33:H33">C32+C31</f>
        <v>6870</v>
      </c>
      <c r="D33" s="56">
        <f t="shared" si="7"/>
        <v>6081</v>
      </c>
      <c r="E33" s="56">
        <f t="shared" si="7"/>
        <v>6081</v>
      </c>
      <c r="F33" s="56">
        <f t="shared" si="7"/>
        <v>8010</v>
      </c>
      <c r="G33" s="56">
        <f t="shared" si="7"/>
        <v>10310</v>
      </c>
      <c r="H33" s="57">
        <f t="shared" si="7"/>
        <v>8891.902713797459</v>
      </c>
      <c r="I33" s="1"/>
      <c r="J33" s="1"/>
      <c r="K33" s="1"/>
      <c r="L33" s="1"/>
    </row>
    <row r="34" ht="15" customHeight="1">
      <c r="A34" s="1"/>
      <c r="B34" s="30" t="s">
        <v>377</v>
      </c>
      <c r="C34" s="15">
        <f>Inputs!D204</f>
        <v>6871</v>
      </c>
      <c r="D34" s="16">
        <f>E34</f>
        <v>6081</v>
      </c>
      <c r="E34" s="15">
        <f>Inputs!E203</f>
        <v>6081</v>
      </c>
      <c r="F34" s="54">
        <v>8011</v>
      </c>
      <c r="G34" s="15">
        <f>Inputs!E204</f>
        <v>10308</v>
      </c>
      <c r="H34" s="53" t="s">
        <v>41</v>
      </c>
      <c r="I34" s="1"/>
      <c r="J34" s="1"/>
      <c r="K34" s="1"/>
      <c r="L34" s="1"/>
    </row>
    <row r="35" ht="15" customHeight="1">
      <c r="A35" s="1"/>
      <c r="B35" s="30" t="s">
        <v>378</v>
      </c>
      <c r="C35" s="54">
        <v>141</v>
      </c>
      <c r="D35" s="54">
        <v>139</v>
      </c>
      <c r="E35" s="16">
        <f t="shared" si="8" ref="E35:H35">D35</f>
        <v>139</v>
      </c>
      <c r="F35" s="54">
        <v>142</v>
      </c>
      <c r="G35" s="54">
        <v>142</v>
      </c>
      <c r="H35" s="53">
        <f t="shared" si="8"/>
        <v>142</v>
      </c>
      <c r="I35" s="22" t="s">
        <v>379</v>
      </c>
      <c r="J35" s="1"/>
      <c r="K35" s="1"/>
      <c r="L35" s="1"/>
    </row>
    <row r="36" ht="15" customHeight="1">
      <c r="A36" s="1"/>
      <c r="B36" s="49" t="s">
        <v>380</v>
      </c>
      <c r="C36" s="56">
        <f t="shared" si="9" ref="C36:H36">C33-C35</f>
        <v>6729</v>
      </c>
      <c r="D36" s="56">
        <f t="shared" si="9"/>
        <v>5942</v>
      </c>
      <c r="E36" s="56">
        <f t="shared" si="9"/>
        <v>5942</v>
      </c>
      <c r="F36" s="56">
        <f t="shared" si="9"/>
        <v>7868</v>
      </c>
      <c r="G36" s="56">
        <f t="shared" si="9"/>
        <v>10168</v>
      </c>
      <c r="H36" s="57">
        <f t="shared" si="9"/>
        <v>8749.902713797459</v>
      </c>
      <c r="I36" s="1"/>
      <c r="J36" s="1"/>
      <c r="K36" s="1"/>
      <c r="L36" s="1"/>
    </row>
    <row r="37" ht="38.25" customHeight="1">
      <c r="A37" s="1"/>
      <c r="B37" s="1" t="s">
        <v>381</v>
      </c>
      <c r="C37" s="25" t="b">
        <f>AND(ABS(C36-'Balance Sheet'!C11)&lt;=2,ABS(C33-C34)&lt;=2)</f>
        <v>1</v>
      </c>
      <c r="D37" s="25" t="b">
        <f>AND(ABS(D36-'Balance Sheet'!D11)&lt;=2,ABS(D33-D34)&lt;=2)</f>
        <v>1</v>
      </c>
      <c r="E37" s="25" t="b">
        <f>AND(ABS(E36-'Balance Sheet'!E11)&lt;=2,ABS(E33-E34)&lt;=2)</f>
        <v>1</v>
      </c>
      <c r="F37" s="25" t="b">
        <f>AND(ABS(F36-'Balance Sheet'!F11)&lt;=2,ABS(F33-F34)&lt;=2)</f>
        <v>1</v>
      </c>
      <c r="G37" s="25" t="b">
        <f>AND(ABS(G36-'Balance Sheet'!G11)&lt;=2,ABS(G33-G34)&lt;=2)</f>
        <v>1</v>
      </c>
      <c r="H37" s="61" t="b">
        <f>ABS(H36-'Balance Sheet'!H11)&lt;0.5</f>
        <v>1</v>
      </c>
      <c r="I37" s="18" t="s">
        <v>382</v>
      </c>
      <c r="J37" s="1"/>
      <c r="K37" s="1"/>
      <c r="L37" s="1"/>
    </row>
    <row r="38" ht="15" customHeight="1">
      <c r="A38" s="1"/>
      <c r="B38" s="3" t="s">
        <v>383</v>
      </c>
      <c r="C38" s="1"/>
      <c r="D38" s="1"/>
      <c r="E38" s="1"/>
      <c r="F38" s="1"/>
      <c r="G38" s="1"/>
      <c r="H38" s="32"/>
      <c r="I38" s="1"/>
      <c r="J38" s="1"/>
      <c r="K38" s="1"/>
      <c r="L38" s="1"/>
    </row>
    <row r="39" ht="15" customHeight="1">
      <c r="A39" s="1"/>
      <c r="B39" s="30" t="s">
        <v>384</v>
      </c>
      <c r="C39" s="54">
        <v>337</v>
      </c>
      <c r="D39" s="54">
        <v>-302</v>
      </c>
      <c r="E39" s="54">
        <v>591</v>
      </c>
      <c r="F39" s="54">
        <v>0</v>
      </c>
      <c r="G39" s="54">
        <v>173</v>
      </c>
      <c r="H39" s="53">
        <f>-(H20+H21)</f>
        <v>0</v>
      </c>
      <c r="I39" s="1"/>
      <c r="J39" s="1"/>
      <c r="K39" s="1"/>
      <c r="L39" s="1"/>
    </row>
    <row r="40" ht="15" customHeight="1">
      <c r="A40" s="1"/>
      <c r="B40" s="30" t="s">
        <v>385</v>
      </c>
      <c r="C40" s="54">
        <v>35</v>
      </c>
      <c r="D40" s="54">
        <v>2</v>
      </c>
      <c r="E40" s="54">
        <v>38</v>
      </c>
      <c r="F40" s="54">
        <v>-2</v>
      </c>
      <c r="G40" s="54">
        <v>-1</v>
      </c>
      <c r="H40" s="55">
        <v>0</v>
      </c>
      <c r="I40" s="1"/>
      <c r="J40" s="1"/>
      <c r="K40" s="1"/>
      <c r="L40" s="1"/>
    </row>
    <row r="41" ht="38.25" customHeight="1">
      <c r="A41" s="1"/>
      <c r="B41" s="3" t="s">
        <v>386</v>
      </c>
      <c r="C41" s="56">
        <f t="shared" si="10" ref="C41:H41">C17+C24+C39+C40</f>
        <v>-153</v>
      </c>
      <c r="D41" s="56">
        <f t="shared" si="10"/>
        <v>-580</v>
      </c>
      <c r="E41" s="56">
        <f t="shared" si="10"/>
        <v>2709</v>
      </c>
      <c r="F41" s="56">
        <f t="shared" si="10"/>
        <v>2903</v>
      </c>
      <c r="G41" s="56">
        <f t="shared" si="10"/>
        <v>323</v>
      </c>
      <c r="H41" s="57">
        <f t="shared" si="10"/>
        <v>-801.0972862025405</v>
      </c>
      <c r="I41" s="18" t="s">
        <v>387</v>
      </c>
      <c r="J41" s="1"/>
      <c r="K41" s="1"/>
      <c r="L41" s="1"/>
    </row>
    <row r="42" ht="15" customHeight="1">
      <c r="A42" s="1"/>
      <c r="B42" s="30" t="s">
        <v>388</v>
      </c>
      <c r="C42" s="54">
        <v>-153</v>
      </c>
      <c r="D42" s="54">
        <v>-579</v>
      </c>
      <c r="E42" s="54">
        <v>2710</v>
      </c>
      <c r="F42" s="54">
        <v>2903</v>
      </c>
      <c r="G42" s="54">
        <v>322</v>
      </c>
      <c r="H42" s="53" t="s">
        <v>41</v>
      </c>
      <c r="I42" s="1"/>
      <c r="J42" s="1"/>
      <c r="K42" s="1"/>
      <c r="L42" s="1"/>
    </row>
    <row r="43" ht="15" customHeight="1">
      <c r="A43" s="1"/>
      <c r="B43" s="1" t="s">
        <v>389</v>
      </c>
      <c r="C43" s="62" t="b">
        <f t="shared" si="11" ref="C43:G43">ABS(C41-C42)&lt;=2</f>
        <v>1</v>
      </c>
      <c r="D43" s="62" t="b">
        <f t="shared" si="11"/>
        <v>1</v>
      </c>
      <c r="E43" s="62" t="b">
        <f t="shared" si="11"/>
        <v>1</v>
      </c>
      <c r="F43" s="62" t="b">
        <f t="shared" si="11"/>
        <v>1</v>
      </c>
      <c r="G43" s="62" t="b">
        <f t="shared" si="11"/>
        <v>1</v>
      </c>
      <c r="H43" s="63" t="b">
        <f>ABS(H41-(H17+H19+H22+H23+H40))&lt;0.001</f>
        <v>1</v>
      </c>
      <c r="I43" s="22" t="s">
        <v>390</v>
      </c>
      <c r="J43" s="1"/>
      <c r="K43" s="1"/>
      <c r="L43" s="1"/>
    </row>
    <row r="44" ht="15" customHeight="1">
      <c r="A44" s="1"/>
      <c r="B44" s="30" t="s">
        <v>391</v>
      </c>
      <c r="C44" s="16">
        <f t="shared" si="12" ref="C44:H44">-C19</f>
        <v>1464</v>
      </c>
      <c r="D44" s="16">
        <f t="shared" si="12"/>
        <v>1890</v>
      </c>
      <c r="E44" s="16">
        <f t="shared" si="12"/>
        <v>5874</v>
      </c>
      <c r="F44" s="16">
        <f t="shared" si="12"/>
        <v>1672</v>
      </c>
      <c r="G44" s="16">
        <f t="shared" si="12"/>
        <v>1343</v>
      </c>
      <c r="H44" s="53">
        <f t="shared" si="12"/>
        <v>1950</v>
      </c>
      <c r="I44" s="1"/>
      <c r="J44" s="1"/>
      <c r="K44" s="1"/>
      <c r="L44" s="1"/>
    </row>
    <row r="45" ht="15" customHeight="1">
      <c r="A45" s="1"/>
      <c r="B45" s="30" t="s">
        <v>392</v>
      </c>
      <c r="C45" s="54">
        <v>1881</v>
      </c>
      <c r="D45" s="54">
        <v>1916</v>
      </c>
      <c r="E45" s="54">
        <v>6266</v>
      </c>
      <c r="F45" s="54">
        <v>1719</v>
      </c>
      <c r="G45" s="54">
        <v>1448</v>
      </c>
      <c r="H45" s="53">
        <f>H44</f>
        <v>1950</v>
      </c>
      <c r="I45" s="22" t="s">
        <v>393</v>
      </c>
      <c r="J45" s="1"/>
      <c r="K45" s="1"/>
      <c r="L45" s="1"/>
    </row>
    <row r="46" ht="1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1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B1A5BB8-3A48-704D-2C92-0CCE610321DD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  <col min="10" max="11" width="12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3" t="s">
        <v>394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1"/>
      <c r="J5" s="1"/>
      <c r="K5" s="1"/>
      <c r="L5" s="1"/>
    </row>
    <row r="6" ht="15" customHeight="1">
      <c r="A6" s="1"/>
      <c r="B6" s="7" t="s">
        <v>10</v>
      </c>
      <c r="C6" s="8">
        <f>DATE(2025,9,30)</f>
        <v>45930</v>
      </c>
      <c r="D6" s="8">
        <f t="shared" si="0" ref="D6:E6">DATE(2025,12,31)</f>
        <v>46022</v>
      </c>
      <c r="E6" s="8">
        <f t="shared" si="0"/>
        <v>46022</v>
      </c>
      <c r="F6" s="8">
        <f>DATE(2026,3,31)</f>
        <v>46112</v>
      </c>
      <c r="G6" s="8">
        <f>DATE(2026,6,30)</f>
        <v>46203</v>
      </c>
      <c r="H6" s="8">
        <f>DATE(2026,9,30)</f>
        <v>46295</v>
      </c>
      <c r="I6" s="1"/>
      <c r="J6" s="1"/>
      <c r="K6" s="1"/>
      <c r="L6" s="1"/>
    </row>
    <row r="7" ht="15" customHeight="1">
      <c r="A7" s="1"/>
      <c r="B7" s="9" t="s">
        <v>11</v>
      </c>
      <c r="C7" s="10">
        <f t="shared" si="1" ref="C7:H7">C6-EOMONTH(C6,-3)</f>
        <v>92</v>
      </c>
      <c r="D7" s="10">
        <f t="shared" si="1"/>
        <v>92</v>
      </c>
      <c r="E7" s="10">
        <f>E6-EOMONTH(E6,-12)</f>
        <v>365</v>
      </c>
      <c r="F7" s="10">
        <f t="shared" si="1"/>
        <v>90</v>
      </c>
      <c r="G7" s="10">
        <f t="shared" si="1"/>
        <v>91</v>
      </c>
      <c r="H7" s="10">
        <f t="shared" si="1"/>
        <v>92</v>
      </c>
      <c r="I7" s="1"/>
      <c r="J7" s="1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5" customHeight="1">
      <c r="A9" s="1"/>
      <c r="B9" s="3" t="s">
        <v>395</v>
      </c>
      <c r="C9" s="1"/>
      <c r="D9" s="1"/>
      <c r="E9" s="1"/>
      <c r="F9" s="1"/>
      <c r="G9" s="1"/>
      <c r="H9" s="32"/>
      <c r="I9" s="1"/>
      <c r="J9" s="1"/>
      <c r="K9" s="1"/>
      <c r="L9" s="1"/>
    </row>
    <row r="10" ht="15" customHeight="1">
      <c r="A10" s="1"/>
      <c r="B10" s="3" t="s">
        <v>396</v>
      </c>
      <c r="C10" s="1"/>
      <c r="D10" s="1"/>
      <c r="E10" s="1"/>
      <c r="F10" s="1"/>
      <c r="G10" s="1"/>
      <c r="H10" s="32"/>
      <c r="I10" s="1"/>
      <c r="J10" s="1"/>
      <c r="K10" s="1"/>
      <c r="L10" s="1"/>
    </row>
    <row r="11" ht="15" customHeight="1">
      <c r="A11" s="1"/>
      <c r="B11" s="1" t="s">
        <v>397</v>
      </c>
      <c r="C11" s="54">
        <v>8099</v>
      </c>
      <c r="D11" s="54">
        <v>8301</v>
      </c>
      <c r="E11" s="15">
        <f>Inputs!F172+Inputs!G172+C11+D11</f>
        <v>31487</v>
      </c>
      <c r="F11" s="54">
        <v>7915</v>
      </c>
      <c r="G11" s="54">
        <v>9506</v>
      </c>
      <c r="H11" s="53">
        <f t="shared" si="12" ref="H11:H126">H18*H27/100</f>
        <v>9859.925075000001</v>
      </c>
      <c r="I11" s="1"/>
      <c r="J11" s="1"/>
      <c r="K11" s="1"/>
      <c r="L11" s="1"/>
    </row>
    <row r="12" ht="15" customHeight="1">
      <c r="A12" s="1"/>
      <c r="B12" s="35" t="s">
        <v>134</v>
      </c>
      <c r="C12" s="90">
        <v>0.031</v>
      </c>
      <c r="D12" s="90">
        <v>0.02</v>
      </c>
      <c r="E12" s="41" t="s">
        <v>41</v>
      </c>
      <c r="F12" s="29">
        <f>F11/Inputs!F172-1</f>
        <v>0.1020607073238653</v>
      </c>
      <c r="G12" s="29">
        <f>G11/Inputs!G172-1</f>
        <v>0.20253004427577492</v>
      </c>
      <c r="H12" s="36">
        <f t="shared" si="5" ref="H12:H220">H11/C11-1</f>
        <v>0.2174250000000002</v>
      </c>
      <c r="I12" s="1"/>
      <c r="J12" s="1"/>
      <c r="K12" s="1"/>
      <c r="L12" s="1"/>
    </row>
    <row r="13" ht="15" customHeight="1">
      <c r="A13" s="1"/>
      <c r="B13" s="35" t="s">
        <v>135</v>
      </c>
      <c r="C13" s="29">
        <f>C11/(Inputs!G172)-1</f>
        <v>0.02454142947501592</v>
      </c>
      <c r="D13" s="41">
        <f t="shared" si="2" ref="D13:H221">D11/C11-1</f>
        <v>0.024941350784047467</v>
      </c>
      <c r="E13" s="41" t="s">
        <v>74</v>
      </c>
      <c r="F13" s="41">
        <f t="shared" si="13" ref="F13:F221">F11/D11-1</f>
        <v>-0.046500421635947475</v>
      </c>
      <c r="G13" s="41">
        <f t="shared" si="2"/>
        <v>0.20101073910296896</v>
      </c>
      <c r="H13" s="36">
        <f t="shared" si="2"/>
        <v>0.03723175625920483</v>
      </c>
      <c r="I13" s="1"/>
      <c r="J13" s="1"/>
      <c r="K13" s="1"/>
      <c r="L13" s="1"/>
    </row>
    <row r="14" ht="15" customHeight="1">
      <c r="A14" s="1"/>
      <c r="B14" s="35" t="s">
        <v>398</v>
      </c>
      <c r="C14" s="41">
        <f t="shared" si="3" ref="C14:H14">C11/C172</f>
        <v>0.5862044006948466</v>
      </c>
      <c r="D14" s="41">
        <f t="shared" si="3"/>
        <v>0.5959936817920736</v>
      </c>
      <c r="E14" s="41">
        <f t="shared" si="3"/>
        <v>0.5892028443113773</v>
      </c>
      <c r="F14" s="41">
        <f t="shared" si="3"/>
        <v>0.6012153437143942</v>
      </c>
      <c r="G14" s="41">
        <f t="shared" si="3"/>
        <v>0.5904347826086956</v>
      </c>
      <c r="H14" s="36">
        <f t="shared" si="3"/>
        <v>0.6049667231184366</v>
      </c>
      <c r="I14" s="1"/>
      <c r="J14" s="1"/>
      <c r="K14" s="1"/>
      <c r="L14" s="1"/>
    </row>
    <row r="15" ht="25.5" customHeight="1">
      <c r="A15" s="1"/>
      <c r="B15" s="37" t="s">
        <v>137</v>
      </c>
      <c r="C15" s="62" t="s">
        <v>138</v>
      </c>
      <c r="D15" s="62" t="s">
        <v>138</v>
      </c>
      <c r="E15" s="62" t="s">
        <v>138</v>
      </c>
      <c r="F15" s="62" t="s">
        <v>138</v>
      </c>
      <c r="G15" s="62" t="s">
        <v>138</v>
      </c>
      <c r="H15" s="63" t="s">
        <v>138</v>
      </c>
      <c r="I15" s="18" t="s">
        <v>139</v>
      </c>
      <c r="J15" s="1"/>
      <c r="K15" s="1"/>
      <c r="L15" s="1"/>
    </row>
    <row r="16" ht="15" customHeight="1">
      <c r="A16" s="1"/>
      <c r="B16" s="37" t="s">
        <v>140</v>
      </c>
      <c r="C16" s="62" t="s">
        <v>138</v>
      </c>
      <c r="D16" s="62" t="s">
        <v>138</v>
      </c>
      <c r="E16" s="62" t="s">
        <v>138</v>
      </c>
      <c r="F16" s="62" t="s">
        <v>138</v>
      </c>
      <c r="G16" s="62" t="s">
        <v>138</v>
      </c>
      <c r="H16" s="63" t="s">
        <v>138</v>
      </c>
      <c r="I16" s="1"/>
      <c r="J16" s="1"/>
      <c r="K16" s="1"/>
      <c r="L16" s="1"/>
    </row>
    <row r="17" ht="15" customHeight="1">
      <c r="A17" s="1"/>
      <c r="B17" s="37" t="s">
        <v>141</v>
      </c>
      <c r="C17" s="62" t="s">
        <v>138</v>
      </c>
      <c r="D17" s="62" t="s">
        <v>138</v>
      </c>
      <c r="E17" s="62" t="s">
        <v>138</v>
      </c>
      <c r="F17" s="62" t="s">
        <v>138</v>
      </c>
      <c r="G17" s="62" t="s">
        <v>138</v>
      </c>
      <c r="H17" s="63" t="s">
        <v>138</v>
      </c>
      <c r="I17" s="1"/>
      <c r="J17" s="1"/>
      <c r="K17" s="1"/>
      <c r="L17" s="1"/>
    </row>
    <row r="18" ht="15" customHeight="1">
      <c r="A18" s="1"/>
      <c r="B18" s="30" t="s">
        <v>399</v>
      </c>
      <c r="C18" s="33">
        <v>46648</v>
      </c>
      <c r="D18" s="33">
        <v>45230</v>
      </c>
      <c r="E18" s="38">
        <f>Inputs!F173+Inputs!G173+C18+D18</f>
        <v>178788</v>
      </c>
      <c r="F18" s="33">
        <v>42713</v>
      </c>
      <c r="G18" s="33">
        <v>48330</v>
      </c>
      <c r="H18" s="40">
        <f t="shared" si="10" ref="H18:H142">C18*(1+H19)</f>
        <v>48747.159999999996</v>
      </c>
      <c r="I18" s="1"/>
      <c r="J18" s="1"/>
      <c r="K18" s="1"/>
      <c r="L18" s="1"/>
    </row>
    <row r="19" ht="38.25" customHeight="1">
      <c r="A19" s="1"/>
      <c r="B19" s="35" t="s">
        <v>72</v>
      </c>
      <c r="C19" s="90">
        <v>0.066</v>
      </c>
      <c r="D19" s="90">
        <v>0.04</v>
      </c>
      <c r="E19" s="41" t="s">
        <v>41</v>
      </c>
      <c r="F19" s="29">
        <f>F18/Inputs!F173-1</f>
        <v>0.021597703898588838</v>
      </c>
      <c r="G19" s="29">
        <f>G18/Inputs!G173-1</f>
        <v>0.07161862527716178</v>
      </c>
      <c r="H19" s="48">
        <v>0.045</v>
      </c>
      <c r="I19" s="18" t="s">
        <v>400</v>
      </c>
      <c r="J19" s="1"/>
      <c r="K19" s="1"/>
      <c r="L19" s="1"/>
    </row>
    <row r="20" ht="15" customHeight="1">
      <c r="A20" s="1"/>
      <c r="B20" s="37" t="s">
        <v>73</v>
      </c>
      <c r="C20" s="38">
        <f>C18-(Inputs!G173)</f>
        <v>1548</v>
      </c>
      <c r="D20" s="39">
        <f t="shared" si="4" ref="D20:H193">D18-C18</f>
        <v>-1418</v>
      </c>
      <c r="E20" s="39" t="s">
        <v>74</v>
      </c>
      <c r="F20" s="39">
        <f t="shared" si="6" ref="F20:F193">F18-D18</f>
        <v>-2517</v>
      </c>
      <c r="G20" s="39">
        <f t="shared" si="4"/>
        <v>5617</v>
      </c>
      <c r="H20" s="40">
        <f t="shared" si="4"/>
        <v>417.1599999999962</v>
      </c>
      <c r="I20" s="1"/>
      <c r="J20" s="1"/>
      <c r="K20" s="1"/>
      <c r="L20" s="1"/>
    </row>
    <row r="21" ht="15" customHeight="1">
      <c r="A21" s="1"/>
      <c r="B21" s="30" t="s">
        <v>401</v>
      </c>
      <c r="C21" s="33">
        <v>39815</v>
      </c>
      <c r="D21" s="33">
        <v>37442</v>
      </c>
      <c r="E21" s="38">
        <f>Inputs!F174+Inputs!G174+C21+D21</f>
        <v>148750</v>
      </c>
      <c r="F21" s="33">
        <v>34915</v>
      </c>
      <c r="G21" s="33">
        <v>40375</v>
      </c>
      <c r="H21" s="40">
        <f t="shared" si="15" ref="H21:H136">H18*H24</f>
        <v>41606.674999999996</v>
      </c>
      <c r="I21" s="1"/>
      <c r="J21" s="1"/>
      <c r="K21" s="1"/>
      <c r="L21" s="1"/>
    </row>
    <row r="22" ht="15" customHeight="1">
      <c r="A22" s="1"/>
      <c r="B22" s="35" t="s">
        <v>72</v>
      </c>
      <c r="C22" s="41" t="s">
        <v>41</v>
      </c>
      <c r="D22" s="41" t="s">
        <v>41</v>
      </c>
      <c r="E22" s="41" t="s">
        <v>41</v>
      </c>
      <c r="F22" s="29">
        <f>F21/Inputs!F174-1</f>
        <v>0.04046845665583931</v>
      </c>
      <c r="G22" s="29">
        <f>G21/Inputs!G174-1</f>
        <v>0.06429249261914793</v>
      </c>
      <c r="H22" s="36">
        <f t="shared" si="5"/>
        <v>0.04499999999999993</v>
      </c>
      <c r="I22" s="1"/>
      <c r="J22" s="1"/>
      <c r="K22" s="1"/>
      <c r="L22" s="1"/>
    </row>
    <row r="23" ht="15" customHeight="1">
      <c r="A23" s="1"/>
      <c r="B23" s="37" t="s">
        <v>73</v>
      </c>
      <c r="C23" s="38">
        <f>C21-(Inputs!G174)</f>
        <v>1879</v>
      </c>
      <c r="D23" s="39">
        <f t="shared" si="4"/>
        <v>-2373</v>
      </c>
      <c r="E23" s="39" t="s">
        <v>74</v>
      </c>
      <c r="F23" s="39">
        <f t="shared" si="6"/>
        <v>-2527</v>
      </c>
      <c r="G23" s="39">
        <f t="shared" si="4"/>
        <v>5460</v>
      </c>
      <c r="H23" s="40">
        <f t="shared" si="4"/>
        <v>1231.6749999999956</v>
      </c>
      <c r="I23" s="1"/>
      <c r="J23" s="1"/>
      <c r="K23" s="1"/>
      <c r="L23" s="1"/>
    </row>
    <row r="24" ht="15" customHeight="1">
      <c r="A24" s="1"/>
      <c r="B24" s="28" t="s">
        <v>402</v>
      </c>
      <c r="C24" s="41">
        <f t="shared" si="7" ref="C24:H185">C21/C18</f>
        <v>0.8535199794203395</v>
      </c>
      <c r="D24" s="41">
        <f t="shared" si="7"/>
        <v>0.827813398187044</v>
      </c>
      <c r="E24" s="41">
        <f t="shared" si="7"/>
        <v>0.8319909613620601</v>
      </c>
      <c r="F24" s="41">
        <f t="shared" si="7"/>
        <v>0.8174326317514574</v>
      </c>
      <c r="G24" s="41">
        <f t="shared" si="7"/>
        <v>0.8354024415476929</v>
      </c>
      <c r="H24" s="36">
        <f t="shared" si="16" ref="H24:H139">C24+H25/10000</f>
        <v>0.8535199794203395</v>
      </c>
      <c r="I24" s="1"/>
      <c r="J24" s="1"/>
      <c r="K24" s="1"/>
      <c r="L24" s="1"/>
    </row>
    <row r="25" ht="15" customHeight="1">
      <c r="A25" s="1"/>
      <c r="B25" s="35" t="s">
        <v>77</v>
      </c>
      <c r="C25" s="91">
        <v>-100</v>
      </c>
      <c r="D25" s="91">
        <v>-110</v>
      </c>
      <c r="E25" s="44" t="s">
        <v>41</v>
      </c>
      <c r="F25" s="42">
        <f>(F24-Inputs!F174/Inputs!F173)*10000</f>
        <v>148.25599940885837</v>
      </c>
      <c r="G25" s="42">
        <f>(G24-Inputs!G174/Inputs!G173)*10000</f>
        <v>-57.50551800422387</v>
      </c>
      <c r="H25" s="92">
        <v>0</v>
      </c>
      <c r="I25" s="1"/>
      <c r="J25" s="1"/>
      <c r="K25" s="1"/>
      <c r="L25" s="1"/>
    </row>
    <row r="26" ht="15" customHeight="1">
      <c r="A26" s="1"/>
      <c r="B26" s="35" t="s">
        <v>78</v>
      </c>
      <c r="C26" s="42">
        <f>(C24-(Inputs!G174)/(Inputs!G173))*10000</f>
        <v>123.66986072224195</v>
      </c>
      <c r="D26" s="44">
        <f t="shared" si="8" ref="D26:H164">(D24-C24)*10000</f>
        <v>-257.065812332955</v>
      </c>
      <c r="E26" s="44" t="s">
        <v>74</v>
      </c>
      <c r="F26" s="44">
        <f t="shared" si="17" ref="F26:F164">(F24-D24)*10000</f>
        <v>-103.80766435586608</v>
      </c>
      <c r="G26" s="44">
        <f t="shared" si="8"/>
        <v>179.69809796235526</v>
      </c>
      <c r="H26" s="43">
        <f t="shared" si="8"/>
        <v>181.17537872646582</v>
      </c>
      <c r="I26" s="1"/>
      <c r="J26" s="1"/>
      <c r="K26" s="1"/>
      <c r="L26" s="1"/>
    </row>
    <row r="27" ht="15" customHeight="1">
      <c r="A27" s="1"/>
      <c r="B27" s="30" t="s">
        <v>86</v>
      </c>
      <c r="C27" s="46">
        <f t="shared" si="9" ref="C27:H188">C11/C18*100</f>
        <v>17.361944777911166</v>
      </c>
      <c r="D27" s="46">
        <f t="shared" si="9"/>
        <v>18.35286314393102</v>
      </c>
      <c r="E27" s="46">
        <f t="shared" si="9"/>
        <v>17.61136094145021</v>
      </c>
      <c r="F27" s="46">
        <f t="shared" si="9"/>
        <v>18.53065811345492</v>
      </c>
      <c r="G27" s="46">
        <f t="shared" si="9"/>
        <v>19.66894268570246</v>
      </c>
      <c r="H27" s="47">
        <f t="shared" si="10"/>
        <v>20.22666566626651</v>
      </c>
      <c r="I27" s="1"/>
      <c r="J27" s="1"/>
      <c r="K27" s="1"/>
      <c r="L27" s="1"/>
    </row>
    <row r="28" ht="15" customHeight="1">
      <c r="A28" s="1"/>
      <c r="B28" s="35" t="s">
        <v>72</v>
      </c>
      <c r="C28" s="90">
        <v>-0.033</v>
      </c>
      <c r="D28" s="90">
        <v>-0.019</v>
      </c>
      <c r="E28" s="41" t="s">
        <v>41</v>
      </c>
      <c r="F28" s="29">
        <f>F27/(Inputs!F172/Inputs!F173*100)-1</f>
        <v>0.07876192665490134</v>
      </c>
      <c r="G28" s="29">
        <f>G27/(Inputs!G172/Inputs!G173*100)-1</f>
        <v>0.12216232147397976</v>
      </c>
      <c r="H28" s="48">
        <v>0.165</v>
      </c>
      <c r="I28" s="1"/>
      <c r="J28" s="1"/>
      <c r="K28" s="1"/>
      <c r="L28" s="1"/>
    </row>
    <row r="29" ht="15" customHeight="1">
      <c r="A29" s="1"/>
      <c r="B29" s="37" t="s">
        <v>85</v>
      </c>
      <c r="C29" s="31">
        <f>C27-(Inputs!G172)/(Inputs!G173)*100</f>
        <v>-0.1657714083416053</v>
      </c>
      <c r="D29" s="46">
        <f t="shared" si="4"/>
        <v>0.9909183660198551</v>
      </c>
      <c r="E29" s="46" t="s">
        <v>74</v>
      </c>
      <c r="F29" s="46">
        <f t="shared" si="6"/>
        <v>0.17779496952389806</v>
      </c>
      <c r="G29" s="46">
        <f t="shared" si="4"/>
        <v>1.1382845722475423</v>
      </c>
      <c r="H29" s="47">
        <f t="shared" si="4"/>
        <v>0.5577229805640478</v>
      </c>
      <c r="I29" s="1"/>
      <c r="J29" s="1"/>
      <c r="K29" s="1"/>
      <c r="L29" s="1"/>
    </row>
    <row r="30" ht="15" customHeight="1">
      <c r="A30" s="1"/>
      <c r="B30" s="30" t="s">
        <v>84</v>
      </c>
      <c r="C30" s="46">
        <f t="shared" si="11" ref="C30:H191">C11/C21*100</f>
        <v>20.34157980660555</v>
      </c>
      <c r="D30" s="46">
        <f t="shared" si="11"/>
        <v>22.170290048608514</v>
      </c>
      <c r="E30" s="46">
        <f t="shared" si="11"/>
        <v>21.167731092436977</v>
      </c>
      <c r="F30" s="46">
        <f t="shared" si="11"/>
        <v>22.66933982528999</v>
      </c>
      <c r="G30" s="46">
        <f t="shared" si="11"/>
        <v>23.544272445820432</v>
      </c>
      <c r="H30" s="47">
        <f t="shared" si="11"/>
        <v>23.69794047469547</v>
      </c>
      <c r="I30" s="1"/>
      <c r="J30" s="1"/>
      <c r="K30" s="1"/>
      <c r="L30" s="1"/>
    </row>
    <row r="31" ht="15" customHeight="1">
      <c r="A31" s="1"/>
      <c r="B31" s="35" t="s">
        <v>72</v>
      </c>
      <c r="C31" s="90">
        <v>-0.022</v>
      </c>
      <c r="D31" s="90">
        <v>-0.005</v>
      </c>
      <c r="E31" s="41" t="s">
        <v>41</v>
      </c>
      <c r="F31" s="29">
        <f>F30/(Inputs!F172/Inputs!F174*100)-1</f>
        <v>0.05919665346318026</v>
      </c>
      <c r="G31" s="29">
        <f>G30/(Inputs!G172/Inputs!G174*100)-1</f>
        <v>0.12988680519246554</v>
      </c>
      <c r="H31" s="36">
        <f t="shared" si="18" ref="H31:H169">H30/(C11/C21*100)-1</f>
        <v>0.16500000000000026</v>
      </c>
      <c r="I31" s="1"/>
      <c r="J31" s="1"/>
      <c r="K31" s="1"/>
      <c r="L31" s="1"/>
    </row>
    <row r="32" ht="15" customHeight="1">
      <c r="A32" s="1"/>
      <c r="B32" s="37" t="s">
        <v>85</v>
      </c>
      <c r="C32" s="31">
        <f>C30-(Inputs!G172)/(Inputs!G174)*100</f>
        <v>-0.4961468909903992</v>
      </c>
      <c r="D32" s="46">
        <f t="shared" si="4"/>
        <v>1.8287102420029626</v>
      </c>
      <c r="E32" s="46" t="s">
        <v>74</v>
      </c>
      <c r="F32" s="46">
        <f t="shared" si="6"/>
        <v>0.4990497766814741</v>
      </c>
      <c r="G32" s="46">
        <f t="shared" si="4"/>
        <v>0.8749326205304442</v>
      </c>
      <c r="H32" s="47">
        <f t="shared" si="4"/>
        <v>0.15366802887503894</v>
      </c>
      <c r="I32" s="1"/>
      <c r="J32" s="1"/>
      <c r="K32" s="1"/>
      <c r="L32" s="1"/>
    </row>
    <row r="33" ht="15" customHeight="1">
      <c r="A33" s="1"/>
      <c r="B33" s="3" t="s">
        <v>403</v>
      </c>
      <c r="C33" s="1"/>
      <c r="D33" s="1"/>
      <c r="E33" s="1"/>
      <c r="F33" s="1"/>
      <c r="G33" s="1"/>
      <c r="H33" s="32"/>
      <c r="I33" s="1"/>
      <c r="J33" s="1"/>
      <c r="K33" s="1"/>
      <c r="L33" s="1"/>
    </row>
    <row r="34" ht="15" customHeight="1">
      <c r="A34" s="1"/>
      <c r="B34" s="1" t="s">
        <v>404</v>
      </c>
      <c r="C34" s="54">
        <v>2933</v>
      </c>
      <c r="D34" s="54">
        <v>2274</v>
      </c>
      <c r="E34" s="15">
        <f>Inputs!F175+Inputs!G175+C34+D34</f>
        <v>9587</v>
      </c>
      <c r="F34" s="54">
        <v>1742</v>
      </c>
      <c r="G34" s="54">
        <v>3199</v>
      </c>
      <c r="H34" s="53">
        <f t="shared" si="12"/>
        <v>3248.0041999999994</v>
      </c>
      <c r="I34" s="1"/>
      <c r="J34" s="1"/>
      <c r="K34" s="1"/>
      <c r="L34" s="1"/>
    </row>
    <row r="35" ht="15" customHeight="1">
      <c r="A35" s="1"/>
      <c r="B35" s="35" t="s">
        <v>134</v>
      </c>
      <c r="C35" s="90">
        <v>-0.013</v>
      </c>
      <c r="D35" s="90">
        <v>0.087</v>
      </c>
      <c r="E35" s="41" t="s">
        <v>41</v>
      </c>
      <c r="F35" s="29">
        <f>F34/Inputs!F175-1</f>
        <v>0.18021680216802172</v>
      </c>
      <c r="G35" s="29">
        <f>G34/Inputs!G175-1</f>
        <v>0.10158402203856753</v>
      </c>
      <c r="H35" s="36">
        <f t="shared" si="5"/>
        <v>0.10739999999999972</v>
      </c>
      <c r="I35" s="1"/>
      <c r="J35" s="1"/>
      <c r="K35" s="1"/>
      <c r="L35" s="1"/>
    </row>
    <row r="36" ht="15" customHeight="1">
      <c r="A36" s="1"/>
      <c r="B36" s="35" t="s">
        <v>135</v>
      </c>
      <c r="C36" s="29">
        <f>C34/(Inputs!G175)-1</f>
        <v>0.009986225895316725</v>
      </c>
      <c r="D36" s="41">
        <f t="shared" si="2"/>
        <v>-0.22468462325264238</v>
      </c>
      <c r="E36" s="41" t="s">
        <v>74</v>
      </c>
      <c r="F36" s="41">
        <f t="shared" si="13"/>
        <v>-0.23394898856640278</v>
      </c>
      <c r="G36" s="41">
        <f t="shared" si="2"/>
        <v>0.8363949483352469</v>
      </c>
      <c r="H36" s="36">
        <f t="shared" si="2"/>
        <v>0.015318599562363033</v>
      </c>
      <c r="I36" s="1"/>
      <c r="J36" s="1"/>
      <c r="K36" s="1"/>
      <c r="L36" s="1"/>
    </row>
    <row r="37" ht="15" customHeight="1">
      <c r="A37" s="1"/>
      <c r="B37" s="35" t="s">
        <v>398</v>
      </c>
      <c r="C37" s="41">
        <f t="shared" si="14" ref="C37:H37">C34/C172</f>
        <v>0.21229009843659524</v>
      </c>
      <c r="D37" s="41">
        <f t="shared" si="14"/>
        <v>0.16326823664560597</v>
      </c>
      <c r="E37" s="41">
        <f t="shared" si="14"/>
        <v>0.17939745508982036</v>
      </c>
      <c r="F37" s="41">
        <f t="shared" si="14"/>
        <v>0.1323205469046715</v>
      </c>
      <c r="G37" s="41">
        <f t="shared" si="14"/>
        <v>0.19869565217391305</v>
      </c>
      <c r="H37" s="36">
        <f t="shared" si="14"/>
        <v>0.19928492788764102</v>
      </c>
      <c r="I37" s="1"/>
      <c r="J37" s="1"/>
      <c r="K37" s="1"/>
      <c r="L37" s="1"/>
    </row>
    <row r="38" ht="25.5" customHeight="1">
      <c r="A38" s="1"/>
      <c r="B38" s="37" t="s">
        <v>137</v>
      </c>
      <c r="C38" s="62" t="s">
        <v>138</v>
      </c>
      <c r="D38" s="62" t="s">
        <v>138</v>
      </c>
      <c r="E38" s="62" t="s">
        <v>138</v>
      </c>
      <c r="F38" s="62" t="s">
        <v>138</v>
      </c>
      <c r="G38" s="62" t="s">
        <v>138</v>
      </c>
      <c r="H38" s="63" t="s">
        <v>138</v>
      </c>
      <c r="I38" s="18" t="s">
        <v>139</v>
      </c>
      <c r="J38" s="1"/>
      <c r="K38" s="1"/>
      <c r="L38" s="1"/>
    </row>
    <row r="39" ht="15" customHeight="1">
      <c r="A39" s="1"/>
      <c r="B39" s="37" t="s">
        <v>140</v>
      </c>
      <c r="C39" s="62" t="s">
        <v>138</v>
      </c>
      <c r="D39" s="62" t="s">
        <v>138</v>
      </c>
      <c r="E39" s="62" t="s">
        <v>138</v>
      </c>
      <c r="F39" s="62" t="s">
        <v>138</v>
      </c>
      <c r="G39" s="62" t="s">
        <v>138</v>
      </c>
      <c r="H39" s="63" t="s">
        <v>138</v>
      </c>
      <c r="I39" s="1"/>
      <c r="J39" s="1"/>
      <c r="K39" s="1"/>
      <c r="L39" s="1"/>
    </row>
    <row r="40" ht="15" customHeight="1">
      <c r="A40" s="1"/>
      <c r="B40" s="37" t="s">
        <v>141</v>
      </c>
      <c r="C40" s="62" t="s">
        <v>138</v>
      </c>
      <c r="D40" s="62" t="s">
        <v>138</v>
      </c>
      <c r="E40" s="62" t="s">
        <v>138</v>
      </c>
      <c r="F40" s="62" t="s">
        <v>138</v>
      </c>
      <c r="G40" s="62" t="s">
        <v>138</v>
      </c>
      <c r="H40" s="63" t="s">
        <v>138</v>
      </c>
      <c r="I40" s="1"/>
      <c r="J40" s="1"/>
      <c r="K40" s="1"/>
      <c r="L40" s="1"/>
    </row>
    <row r="41" ht="15" customHeight="1">
      <c r="A41" s="1"/>
      <c r="B41" s="30" t="s">
        <v>399</v>
      </c>
      <c r="C41" s="33">
        <v>19063</v>
      </c>
      <c r="D41" s="33">
        <v>13945</v>
      </c>
      <c r="E41" s="38">
        <f>Inputs!F176+Inputs!G176+C41+D41</f>
        <v>60503</v>
      </c>
      <c r="F41" s="33">
        <v>10677</v>
      </c>
      <c r="G41" s="33">
        <v>17270</v>
      </c>
      <c r="H41" s="40">
        <f t="shared" si="10"/>
        <v>18681.739999999998</v>
      </c>
      <c r="I41" s="1"/>
      <c r="J41" s="1"/>
      <c r="K41" s="1"/>
      <c r="L41" s="1"/>
    </row>
    <row r="42" ht="25.5" customHeight="1">
      <c r="A42" s="1"/>
      <c r="B42" s="35" t="s">
        <v>72</v>
      </c>
      <c r="C42" s="90">
        <v>0.065</v>
      </c>
      <c r="D42" s="90">
        <v>0.073</v>
      </c>
      <c r="E42" s="41" t="s">
        <v>41</v>
      </c>
      <c r="F42" s="29">
        <f>F41/Inputs!F176-1</f>
        <v>0.048409269442262426</v>
      </c>
      <c r="G42" s="29">
        <f>G41/Inputs!G176-1</f>
        <v>-0.002368436254404749</v>
      </c>
      <c r="H42" s="48">
        <v>-0.02</v>
      </c>
      <c r="I42" s="18" t="s">
        <v>405</v>
      </c>
      <c r="J42" s="1"/>
      <c r="K42" s="1"/>
      <c r="L42" s="1"/>
    </row>
    <row r="43" ht="15" customHeight="1">
      <c r="A43" s="1"/>
      <c r="B43" s="37" t="s">
        <v>73</v>
      </c>
      <c r="C43" s="38">
        <f>C41-(Inputs!G176)</f>
        <v>1752</v>
      </c>
      <c r="D43" s="39">
        <f t="shared" si="4"/>
        <v>-5118</v>
      </c>
      <c r="E43" s="39" t="s">
        <v>74</v>
      </c>
      <c r="F43" s="39">
        <f t="shared" si="6"/>
        <v>-3268</v>
      </c>
      <c r="G43" s="39">
        <f t="shared" si="4"/>
        <v>6593</v>
      </c>
      <c r="H43" s="40">
        <f t="shared" si="4"/>
        <v>1411.739999999998</v>
      </c>
      <c r="I43" s="1"/>
      <c r="J43" s="1"/>
      <c r="K43" s="1"/>
      <c r="L43" s="1"/>
    </row>
    <row r="44" ht="15" customHeight="1">
      <c r="A44" s="1"/>
      <c r="B44" s="30" t="s">
        <v>401</v>
      </c>
      <c r="C44" s="33">
        <v>16238</v>
      </c>
      <c r="D44" s="33">
        <v>11336</v>
      </c>
      <c r="E44" s="38">
        <f>Inputs!F177+Inputs!G177+C44+D44</f>
        <v>48976</v>
      </c>
      <c r="F44" s="33">
        <v>8328</v>
      </c>
      <c r="G44" s="33">
        <v>14119</v>
      </c>
      <c r="H44" s="40">
        <f t="shared" si="15"/>
        <v>16006.648699999998</v>
      </c>
      <c r="I44" s="1"/>
      <c r="J44" s="1"/>
      <c r="K44" s="1"/>
      <c r="L44" s="1"/>
    </row>
    <row r="45" ht="15" customHeight="1">
      <c r="A45" s="1"/>
      <c r="B45" s="35" t="s">
        <v>72</v>
      </c>
      <c r="C45" s="41" t="s">
        <v>41</v>
      </c>
      <c r="D45" s="41" t="s">
        <v>41</v>
      </c>
      <c r="E45" s="41" t="s">
        <v>41</v>
      </c>
      <c r="F45" s="29">
        <f>F44/Inputs!F177-1</f>
        <v>0.1204089869500875</v>
      </c>
      <c r="G45" s="29">
        <f>G44/Inputs!G177-1</f>
        <v>0.010738062853461239</v>
      </c>
      <c r="H45" s="36">
        <f t="shared" si="5"/>
        <v>-0.014247524325656014</v>
      </c>
      <c r="I45" s="1"/>
      <c r="J45" s="1"/>
      <c r="K45" s="1"/>
      <c r="L45" s="1"/>
    </row>
    <row r="46" ht="15" customHeight="1">
      <c r="A46" s="1"/>
      <c r="B46" s="37" t="s">
        <v>73</v>
      </c>
      <c r="C46" s="38">
        <f>C44-(Inputs!G177)</f>
        <v>2269</v>
      </c>
      <c r="D46" s="39">
        <f t="shared" si="4"/>
        <v>-4902</v>
      </c>
      <c r="E46" s="39" t="s">
        <v>74</v>
      </c>
      <c r="F46" s="39">
        <f t="shared" si="6"/>
        <v>-3008</v>
      </c>
      <c r="G46" s="39">
        <f t="shared" si="4"/>
        <v>5791</v>
      </c>
      <c r="H46" s="40">
        <f t="shared" si="4"/>
        <v>1887.648699999998</v>
      </c>
      <c r="I46" s="1"/>
      <c r="J46" s="1"/>
      <c r="K46" s="1"/>
      <c r="L46" s="1"/>
    </row>
    <row r="47" ht="15" customHeight="1">
      <c r="A47" s="1"/>
      <c r="B47" s="28" t="s">
        <v>402</v>
      </c>
      <c r="C47" s="41">
        <f t="shared" si="7"/>
        <v>0.8518071657136862</v>
      </c>
      <c r="D47" s="41">
        <f t="shared" si="7"/>
        <v>0.8129078522768017</v>
      </c>
      <c r="E47" s="41">
        <f t="shared" si="7"/>
        <v>0.8094805216270268</v>
      </c>
      <c r="F47" s="41">
        <f t="shared" si="7"/>
        <v>0.779994380443945</v>
      </c>
      <c r="G47" s="41">
        <f t="shared" si="7"/>
        <v>0.817544875506659</v>
      </c>
      <c r="H47" s="36">
        <f t="shared" si="16"/>
        <v>0.8568071657136862</v>
      </c>
      <c r="I47" s="1"/>
      <c r="J47" s="1"/>
      <c r="K47" s="1"/>
      <c r="L47" s="1"/>
    </row>
    <row r="48" ht="15" customHeight="1">
      <c r="A48" s="1"/>
      <c r="B48" s="35" t="s">
        <v>77</v>
      </c>
      <c r="C48" s="44" t="s">
        <v>41</v>
      </c>
      <c r="D48" s="44" t="s">
        <v>41</v>
      </c>
      <c r="E48" s="44" t="s">
        <v>41</v>
      </c>
      <c r="F48" s="42">
        <f>(F47-Inputs!F177/Inputs!F176)*10000</f>
        <v>501.23995526427325</v>
      </c>
      <c r="G48" s="42">
        <f>(G47-Inputs!G177/Inputs!G176)*10000</f>
        <v>106.01313609599372</v>
      </c>
      <c r="H48" s="92">
        <v>50</v>
      </c>
      <c r="I48" s="1"/>
      <c r="J48" s="1"/>
      <c r="K48" s="1"/>
      <c r="L48" s="1"/>
    </row>
    <row r="49" ht="15" customHeight="1">
      <c r="A49" s="1"/>
      <c r="B49" s="35" t="s">
        <v>78</v>
      </c>
      <c r="C49" s="42">
        <f>(C47-(Inputs!G177)/(Inputs!G176))*10000</f>
        <v>448.63603816626573</v>
      </c>
      <c r="D49" s="44">
        <f t="shared" si="8"/>
        <v>-388.99313436884466</v>
      </c>
      <c r="E49" s="44" t="s">
        <v>74</v>
      </c>
      <c r="F49" s="44">
        <f t="shared" si="17"/>
        <v>-329.13471832856754</v>
      </c>
      <c r="G49" s="44">
        <f t="shared" si="8"/>
        <v>375.5049506271402</v>
      </c>
      <c r="H49" s="43">
        <f t="shared" si="8"/>
        <v>392.62290207027206</v>
      </c>
      <c r="I49" s="1"/>
      <c r="J49" s="1"/>
      <c r="K49" s="1"/>
      <c r="L49" s="1"/>
    </row>
    <row r="50" ht="15" customHeight="1">
      <c r="A50" s="1"/>
      <c r="B50" s="30" t="s">
        <v>86</v>
      </c>
      <c r="C50" s="46">
        <f t="shared" si="9"/>
        <v>15.38582594554897</v>
      </c>
      <c r="D50" s="46">
        <f t="shared" si="9"/>
        <v>16.306920043026174</v>
      </c>
      <c r="E50" s="46">
        <f t="shared" si="9"/>
        <v>15.845495264697618</v>
      </c>
      <c r="F50" s="46">
        <f t="shared" si="9"/>
        <v>16.31544441322469</v>
      </c>
      <c r="G50" s="46">
        <f t="shared" si="9"/>
        <v>18.52345107122177</v>
      </c>
      <c r="H50" s="47">
        <f t="shared" si="10"/>
        <v>17.385983318470334</v>
      </c>
      <c r="I50" s="1"/>
      <c r="J50" s="1"/>
      <c r="K50" s="1"/>
      <c r="L50" s="1"/>
    </row>
    <row r="51" ht="15" customHeight="1">
      <c r="A51" s="1"/>
      <c r="B51" s="35" t="s">
        <v>72</v>
      </c>
      <c r="C51" s="90">
        <v>-0.073</v>
      </c>
      <c r="D51" s="90">
        <v>0.013</v>
      </c>
      <c r="E51" s="41" t="s">
        <v>41</v>
      </c>
      <c r="F51" s="29">
        <f>F50/(Inputs!F175/Inputs!F176*100)-1</f>
        <v>0.1257214492159906</v>
      </c>
      <c r="G51" s="29">
        <f>G50/(Inputs!G175/Inputs!G176*100)-1</f>
        <v>0.10419924756859533</v>
      </c>
      <c r="H51" s="48">
        <v>0.13</v>
      </c>
      <c r="I51" s="1"/>
      <c r="J51" s="1"/>
      <c r="K51" s="1"/>
      <c r="L51" s="1"/>
    </row>
    <row r="52" ht="15" customHeight="1">
      <c r="A52" s="1"/>
      <c r="B52" s="37" t="s">
        <v>85</v>
      </c>
      <c r="C52" s="31">
        <f>C50-(Inputs!G175)/(Inputs!G176)*100</f>
        <v>-1.38963474418588</v>
      </c>
      <c r="D52" s="46">
        <f t="shared" si="4"/>
        <v>0.921094097477205</v>
      </c>
      <c r="E52" s="46" t="s">
        <v>74</v>
      </c>
      <c r="F52" s="46">
        <f t="shared" si="6"/>
        <v>0.00852437019851493</v>
      </c>
      <c r="G52" s="46">
        <f t="shared" si="4"/>
        <v>2.208006657997082</v>
      </c>
      <c r="H52" s="47">
        <f t="shared" si="4"/>
        <v>-1.1374677527514372</v>
      </c>
      <c r="I52" s="1"/>
      <c r="J52" s="1"/>
      <c r="K52" s="1"/>
      <c r="L52" s="1"/>
    </row>
    <row r="53" ht="15" customHeight="1">
      <c r="A53" s="1"/>
      <c r="B53" s="30" t="s">
        <v>84</v>
      </c>
      <c r="C53" s="46">
        <f t="shared" si="11"/>
        <v>18.062569281931275</v>
      </c>
      <c r="D53" s="46">
        <f t="shared" si="11"/>
        <v>20.05998588567396</v>
      </c>
      <c r="E53" s="46">
        <f t="shared" si="11"/>
        <v>19.574893825547207</v>
      </c>
      <c r="F53" s="46">
        <f t="shared" si="11"/>
        <v>20.917387127761767</v>
      </c>
      <c r="G53" s="46">
        <f t="shared" si="11"/>
        <v>22.65741199801686</v>
      </c>
      <c r="H53" s="47">
        <f t="shared" si="11"/>
        <v>20.29159420485064</v>
      </c>
      <c r="I53" s="1"/>
      <c r="J53" s="1"/>
      <c r="K53" s="1"/>
      <c r="L53" s="1"/>
    </row>
    <row r="54" ht="15" customHeight="1">
      <c r="A54" s="1"/>
      <c r="B54" s="35" t="s">
        <v>72</v>
      </c>
      <c r="C54" s="90">
        <v>-0.06</v>
      </c>
      <c r="D54" s="90">
        <v>0.016</v>
      </c>
      <c r="E54" s="41" t="s">
        <v>41</v>
      </c>
      <c r="F54" s="29">
        <f>F53/(Inputs!F175/Inputs!F177*100)-1</f>
        <v>0.053380342280848314</v>
      </c>
      <c r="G54" s="29">
        <f>G53/(Inputs!G175/Inputs!G177*100)-1</f>
        <v>0.08988081336190601</v>
      </c>
      <c r="H54" s="36">
        <f t="shared" si="18"/>
        <v>0.12340575076155691</v>
      </c>
      <c r="I54" s="1"/>
      <c r="J54" s="1"/>
      <c r="K54" s="1"/>
      <c r="L54" s="1"/>
    </row>
    <row r="55" ht="15" customHeight="1">
      <c r="A55" s="1"/>
      <c r="B55" s="37" t="s">
        <v>85</v>
      </c>
      <c r="C55" s="31">
        <f>C53-(Inputs!G175)/(Inputs!G177)*100</f>
        <v>-2.7263204023696765</v>
      </c>
      <c r="D55" s="46">
        <f t="shared" si="4"/>
        <v>1.9974166037426855</v>
      </c>
      <c r="E55" s="46" t="s">
        <v>74</v>
      </c>
      <c r="F55" s="46">
        <f t="shared" si="6"/>
        <v>0.857401242087807</v>
      </c>
      <c r="G55" s="46">
        <f t="shared" si="4"/>
        <v>1.7400248702550911</v>
      </c>
      <c r="H55" s="47">
        <f t="shared" si="4"/>
        <v>-2.3658177931662188</v>
      </c>
      <c r="I55" s="1"/>
      <c r="J55" s="1"/>
      <c r="K55" s="1"/>
      <c r="L55" s="1"/>
    </row>
    <row r="56" ht="15" customHeight="1">
      <c r="A56" s="1"/>
      <c r="B56" s="3" t="s">
        <v>406</v>
      </c>
      <c r="C56" s="1"/>
      <c r="D56" s="1"/>
      <c r="E56" s="1"/>
      <c r="F56" s="1"/>
      <c r="G56" s="1"/>
      <c r="H56" s="32"/>
      <c r="I56" s="1"/>
      <c r="J56" s="1"/>
      <c r="K56" s="1"/>
      <c r="L56" s="1"/>
    </row>
    <row r="57" ht="15" customHeight="1">
      <c r="A57" s="1"/>
      <c r="B57" s="1" t="s">
        <v>407</v>
      </c>
      <c r="C57" s="54">
        <v>347</v>
      </c>
      <c r="D57" s="54">
        <v>410</v>
      </c>
      <c r="E57" s="15">
        <f>Inputs!F178+Inputs!G178+C57+D57</f>
        <v>1286</v>
      </c>
      <c r="F57" s="54">
        <v>322</v>
      </c>
      <c r="G57" s="54">
        <v>225</v>
      </c>
      <c r="H57" s="53">
        <f t="shared" si="12"/>
        <v>249.83999999999997</v>
      </c>
      <c r="I57" s="1"/>
      <c r="J57" s="1"/>
      <c r="K57" s="1"/>
      <c r="L57" s="1"/>
    </row>
    <row r="58" ht="15" customHeight="1">
      <c r="A58" s="1"/>
      <c r="B58" s="35" t="s">
        <v>134</v>
      </c>
      <c r="C58" s="90">
        <v>0.308</v>
      </c>
      <c r="D58" s="90">
        <v>0.5870000000000001</v>
      </c>
      <c r="E58" s="41" t="s">
        <v>41</v>
      </c>
      <c r="F58" s="29">
        <f>F57/Inputs!F178-1</f>
        <v>0.2384615384615385</v>
      </c>
      <c r="G58" s="29">
        <f>G57/Inputs!G178-1</f>
        <v>-0.16356877323420072</v>
      </c>
      <c r="H58" s="36">
        <f t="shared" si="5"/>
        <v>-0.28</v>
      </c>
      <c r="I58" s="1"/>
      <c r="J58" s="1"/>
      <c r="K58" s="1"/>
      <c r="L58" s="1"/>
    </row>
    <row r="59" ht="15" customHeight="1">
      <c r="A59" s="1"/>
      <c r="B59" s="35" t="s">
        <v>135</v>
      </c>
      <c r="C59" s="29">
        <f>C57/(Inputs!G178)-1</f>
        <v>0.28996282527881045</v>
      </c>
      <c r="D59" s="41">
        <f t="shared" si="2"/>
        <v>0.18155619596541794</v>
      </c>
      <c r="E59" s="41" t="s">
        <v>74</v>
      </c>
      <c r="F59" s="41">
        <f t="shared" si="13"/>
        <v>-0.21463414634146338</v>
      </c>
      <c r="G59" s="41">
        <f t="shared" si="2"/>
        <v>-0.3012422360248447</v>
      </c>
      <c r="H59" s="36">
        <f t="shared" si="2"/>
        <v>0.11039999999999983</v>
      </c>
      <c r="I59" s="1"/>
      <c r="J59" s="1"/>
      <c r="K59" s="1"/>
      <c r="L59" s="1"/>
    </row>
    <row r="60" ht="15" customHeight="1">
      <c r="A60" s="1"/>
      <c r="B60" s="35" t="s">
        <v>398</v>
      </c>
      <c r="C60" s="41">
        <f t="shared" si="19" ref="C60:H60">C57/C172</f>
        <v>0.02511580775911986</v>
      </c>
      <c r="D60" s="41">
        <f t="shared" si="19"/>
        <v>0.029437105112004595</v>
      </c>
      <c r="E60" s="41">
        <f t="shared" si="19"/>
        <v>0.02406437125748503</v>
      </c>
      <c r="F60" s="41">
        <f t="shared" si="19"/>
        <v>0.024458792252183822</v>
      </c>
      <c r="G60" s="41">
        <f t="shared" si="19"/>
        <v>0.013975155279503106</v>
      </c>
      <c r="H60" s="36">
        <f t="shared" si="19"/>
        <v>0.015329212438656401</v>
      </c>
      <c r="I60" s="1"/>
      <c r="J60" s="1"/>
      <c r="K60" s="1"/>
      <c r="L60" s="1"/>
    </row>
    <row r="61" ht="25.5" customHeight="1">
      <c r="A61" s="1"/>
      <c r="B61" s="37" t="s">
        <v>137</v>
      </c>
      <c r="C61" s="62" t="s">
        <v>138</v>
      </c>
      <c r="D61" s="62" t="s">
        <v>138</v>
      </c>
      <c r="E61" s="62" t="s">
        <v>138</v>
      </c>
      <c r="F61" s="62" t="s">
        <v>138</v>
      </c>
      <c r="G61" s="62" t="s">
        <v>138</v>
      </c>
      <c r="H61" s="63" t="s">
        <v>138</v>
      </c>
      <c r="I61" s="18" t="s">
        <v>139</v>
      </c>
      <c r="J61" s="1"/>
      <c r="K61" s="1"/>
      <c r="L61" s="1"/>
    </row>
    <row r="62" ht="15" customHeight="1">
      <c r="A62" s="1"/>
      <c r="B62" s="37" t="s">
        <v>140</v>
      </c>
      <c r="C62" s="62" t="s">
        <v>138</v>
      </c>
      <c r="D62" s="62" t="s">
        <v>138</v>
      </c>
      <c r="E62" s="62" t="s">
        <v>138</v>
      </c>
      <c r="F62" s="62" t="s">
        <v>138</v>
      </c>
      <c r="G62" s="62" t="s">
        <v>138</v>
      </c>
      <c r="H62" s="63" t="s">
        <v>138</v>
      </c>
      <c r="I62" s="1"/>
      <c r="J62" s="1"/>
      <c r="K62" s="1"/>
      <c r="L62" s="1"/>
    </row>
    <row r="63" ht="15" customHeight="1">
      <c r="A63" s="1"/>
      <c r="B63" s="37" t="s">
        <v>141</v>
      </c>
      <c r="C63" s="62" t="s">
        <v>138</v>
      </c>
      <c r="D63" s="62" t="s">
        <v>138</v>
      </c>
      <c r="E63" s="62" t="s">
        <v>138</v>
      </c>
      <c r="F63" s="62" t="s">
        <v>138</v>
      </c>
      <c r="G63" s="62" t="s">
        <v>138</v>
      </c>
      <c r="H63" s="63" t="s">
        <v>138</v>
      </c>
      <c r="I63" s="1"/>
      <c r="J63" s="1"/>
      <c r="K63" s="1"/>
      <c r="L63" s="1"/>
    </row>
    <row r="64" ht="15" customHeight="1">
      <c r="A64" s="1"/>
      <c r="B64" s="30" t="s">
        <v>399</v>
      </c>
      <c r="C64" s="33">
        <v>2285</v>
      </c>
      <c r="D64" s="33">
        <v>2746</v>
      </c>
      <c r="E64" s="38">
        <f>Inputs!F179+Inputs!G179+C64+D64</f>
        <v>8871</v>
      </c>
      <c r="F64" s="33">
        <v>2205</v>
      </c>
      <c r="G64" s="33">
        <v>1309</v>
      </c>
      <c r="H64" s="40">
        <f t="shared" si="10"/>
        <v>1371</v>
      </c>
      <c r="I64" s="1"/>
      <c r="J64" s="1"/>
      <c r="K64" s="1"/>
      <c r="L64" s="1"/>
    </row>
    <row r="65" ht="15" customHeight="1">
      <c r="A65" s="1"/>
      <c r="B65" s="35" t="s">
        <v>72</v>
      </c>
      <c r="C65" s="90">
        <v>0.233</v>
      </c>
      <c r="D65" s="90">
        <v>0.56</v>
      </c>
      <c r="E65" s="41" t="s">
        <v>41</v>
      </c>
      <c r="F65" s="29">
        <f>F64/Inputs!F179-1</f>
        <v>0.1964188822571893</v>
      </c>
      <c r="G65" s="29">
        <f>G64/Inputs!G179-1</f>
        <v>-0.34451677516274415</v>
      </c>
      <c r="H65" s="48">
        <v>-0.4</v>
      </c>
      <c r="I65" s="22" t="s">
        <v>408</v>
      </c>
      <c r="J65" s="1"/>
      <c r="K65" s="1"/>
      <c r="L65" s="1"/>
    </row>
    <row r="66" ht="15" customHeight="1">
      <c r="A66" s="1"/>
      <c r="B66" s="37" t="s">
        <v>73</v>
      </c>
      <c r="C66" s="38">
        <f>C64-(Inputs!G179)</f>
        <v>288</v>
      </c>
      <c r="D66" s="39">
        <f t="shared" si="4"/>
        <v>461</v>
      </c>
      <c r="E66" s="39" t="s">
        <v>74</v>
      </c>
      <c r="F66" s="39">
        <f t="shared" si="6"/>
        <v>-541</v>
      </c>
      <c r="G66" s="39">
        <f t="shared" si="4"/>
        <v>-896</v>
      </c>
      <c r="H66" s="40">
        <f t="shared" si="4"/>
        <v>62</v>
      </c>
      <c r="I66" s="1"/>
      <c r="J66" s="1"/>
      <c r="K66" s="1"/>
      <c r="L66" s="1"/>
    </row>
    <row r="67" ht="15" customHeight="1">
      <c r="A67" s="1"/>
      <c r="B67" s="30" t="s">
        <v>401</v>
      </c>
      <c r="C67" s="33">
        <v>1954</v>
      </c>
      <c r="D67" s="33">
        <v>2252</v>
      </c>
      <c r="E67" s="38">
        <f>Inputs!F180+Inputs!G180+C67+D67</f>
        <v>7347</v>
      </c>
      <c r="F67" s="33">
        <v>1808</v>
      </c>
      <c r="G67" s="33">
        <v>1127</v>
      </c>
      <c r="H67" s="40">
        <f t="shared" si="15"/>
        <v>1158.69</v>
      </c>
      <c r="I67" s="1"/>
      <c r="J67" s="1"/>
      <c r="K67" s="1"/>
      <c r="L67" s="1"/>
    </row>
    <row r="68" ht="15" customHeight="1">
      <c r="A68" s="1"/>
      <c r="B68" s="35" t="s">
        <v>72</v>
      </c>
      <c r="C68" s="41" t="s">
        <v>41</v>
      </c>
      <c r="D68" s="41" t="s">
        <v>41</v>
      </c>
      <c r="E68" s="41" t="s">
        <v>41</v>
      </c>
      <c r="F68" s="29">
        <f>F67/Inputs!F180-1</f>
        <v>0.21832884097035032</v>
      </c>
      <c r="G68" s="29">
        <f>G67/Inputs!G180-1</f>
        <v>-0.31985515992757996</v>
      </c>
      <c r="H68" s="36">
        <f t="shared" si="5"/>
        <v>-0.40701637666325485</v>
      </c>
      <c r="I68" s="1"/>
      <c r="J68" s="1"/>
      <c r="K68" s="1"/>
      <c r="L68" s="1"/>
    </row>
    <row r="69" ht="15" customHeight="1">
      <c r="A69" s="1"/>
      <c r="B69" s="37" t="s">
        <v>73</v>
      </c>
      <c r="C69" s="38">
        <f>C67-(Inputs!G180)</f>
        <v>297</v>
      </c>
      <c r="D69" s="39">
        <f t="shared" si="4"/>
        <v>298</v>
      </c>
      <c r="E69" s="39" t="s">
        <v>74</v>
      </c>
      <c r="F69" s="39">
        <f t="shared" si="6"/>
        <v>-444</v>
      </c>
      <c r="G69" s="39">
        <f t="shared" si="4"/>
        <v>-681</v>
      </c>
      <c r="H69" s="40">
        <f t="shared" si="4"/>
        <v>31.690000000000055</v>
      </c>
      <c r="I69" s="1"/>
      <c r="J69" s="1"/>
      <c r="K69" s="1"/>
      <c r="L69" s="1"/>
    </row>
    <row r="70" ht="15" customHeight="1">
      <c r="A70" s="1"/>
      <c r="B70" s="28" t="s">
        <v>402</v>
      </c>
      <c r="C70" s="41">
        <f t="shared" si="7"/>
        <v>0.8551422319474836</v>
      </c>
      <c r="D70" s="41">
        <f t="shared" si="7"/>
        <v>0.8201019664967225</v>
      </c>
      <c r="E70" s="41">
        <f t="shared" si="7"/>
        <v>0.8282042610754142</v>
      </c>
      <c r="F70" s="41">
        <f t="shared" si="7"/>
        <v>0.8199546485260771</v>
      </c>
      <c r="G70" s="41">
        <f t="shared" si="7"/>
        <v>0.8609625668449198</v>
      </c>
      <c r="H70" s="36">
        <f t="shared" si="16"/>
        <v>0.8451422319474836</v>
      </c>
      <c r="I70" s="1"/>
      <c r="J70" s="1"/>
      <c r="K70" s="1"/>
      <c r="L70" s="1"/>
    </row>
    <row r="71" ht="15" customHeight="1">
      <c r="A71" s="1"/>
      <c r="B71" s="35" t="s">
        <v>77</v>
      </c>
      <c r="C71" s="44" t="s">
        <v>41</v>
      </c>
      <c r="D71" s="44" t="s">
        <v>41</v>
      </c>
      <c r="E71" s="44" t="s">
        <v>41</v>
      </c>
      <c r="F71" s="42">
        <f>(F70-Inputs!F180/Inputs!F179)*10000</f>
        <v>147.45749991079805</v>
      </c>
      <c r="G71" s="42">
        <f>(G70-Inputs!G180/Inputs!G179)*10000</f>
        <v>312.17949919531753</v>
      </c>
      <c r="H71" s="92">
        <v>-100</v>
      </c>
      <c r="I71" s="1"/>
      <c r="J71" s="1"/>
      <c r="K71" s="1"/>
      <c r="L71" s="1"/>
    </row>
    <row r="72" ht="15" customHeight="1">
      <c r="A72" s="1"/>
      <c r="B72" s="35" t="s">
        <v>78</v>
      </c>
      <c r="C72" s="42">
        <f>(C70-(Inputs!G180)/(Inputs!G179))*10000</f>
        <v>253.97615022095587</v>
      </c>
      <c r="D72" s="44">
        <f t="shared" si="8"/>
        <v>-350.4026545076111</v>
      </c>
      <c r="E72" s="44" t="s">
        <v>74</v>
      </c>
      <c r="F72" s="44">
        <f t="shared" si="17"/>
        <v>-1.4731797064537755</v>
      </c>
      <c r="G72" s="44">
        <f t="shared" si="8"/>
        <v>410.0791831884265</v>
      </c>
      <c r="H72" s="43">
        <f t="shared" si="8"/>
        <v>-158.20334897436172</v>
      </c>
      <c r="I72" s="1"/>
      <c r="J72" s="1"/>
      <c r="K72" s="1"/>
      <c r="L72" s="1"/>
    </row>
    <row r="73" ht="15" customHeight="1">
      <c r="A73" s="1"/>
      <c r="B73" s="30" t="s">
        <v>86</v>
      </c>
      <c r="C73" s="46">
        <f t="shared" si="9"/>
        <v>15.185995623632383</v>
      </c>
      <c r="D73" s="46">
        <f t="shared" si="9"/>
        <v>14.930808448652586</v>
      </c>
      <c r="E73" s="46">
        <f t="shared" si="9"/>
        <v>14.496674557547063</v>
      </c>
      <c r="F73" s="46">
        <f t="shared" si="9"/>
        <v>14.603174603174605</v>
      </c>
      <c r="G73" s="46">
        <f t="shared" si="9"/>
        <v>17.188693659281896</v>
      </c>
      <c r="H73" s="47">
        <f t="shared" si="10"/>
        <v>18.22319474835886</v>
      </c>
      <c r="I73" s="1"/>
      <c r="J73" s="1"/>
      <c r="K73" s="1"/>
      <c r="L73" s="1"/>
    </row>
    <row r="74" ht="15" customHeight="1">
      <c r="A74" s="1"/>
      <c r="B74" s="35" t="s">
        <v>72</v>
      </c>
      <c r="C74" s="90">
        <v>0.061</v>
      </c>
      <c r="D74" s="90">
        <v>0.017</v>
      </c>
      <c r="E74" s="41" t="s">
        <v>41</v>
      </c>
      <c r="F74" s="29">
        <f>F73/(Inputs!F178/Inputs!F179*100)-1</f>
        <v>0.035140415140415326</v>
      </c>
      <c r="G74" s="29">
        <f>G73/(Inputs!G178/Inputs!G179*100)-1</f>
        <v>0.27605283411100157</v>
      </c>
      <c r="H74" s="48">
        <v>0.2</v>
      </c>
      <c r="I74" s="1"/>
      <c r="J74" s="1"/>
      <c r="K74" s="1"/>
      <c r="L74" s="1"/>
    </row>
    <row r="75" ht="15" customHeight="1">
      <c r="A75" s="1"/>
      <c r="B75" s="37" t="s">
        <v>85</v>
      </c>
      <c r="C75" s="31">
        <f>C73-(Inputs!G178)/(Inputs!G179)*100</f>
        <v>1.7157903156704393</v>
      </c>
      <c r="D75" s="46">
        <f t="shared" si="4"/>
        <v>-0.25518717497979715</v>
      </c>
      <c r="E75" s="46" t="s">
        <v>74</v>
      </c>
      <c r="F75" s="46">
        <f t="shared" si="6"/>
        <v>-0.32763384547798147</v>
      </c>
      <c r="G75" s="46">
        <f t="shared" si="4"/>
        <v>2.585519056107291</v>
      </c>
      <c r="H75" s="47">
        <f t="shared" si="4"/>
        <v>1.034501089076965</v>
      </c>
      <c r="I75" s="1"/>
      <c r="J75" s="1"/>
      <c r="K75" s="1"/>
      <c r="L75" s="1"/>
    </row>
    <row r="76" ht="15" customHeight="1">
      <c r="A76" s="1"/>
      <c r="B76" s="30" t="s">
        <v>84</v>
      </c>
      <c r="C76" s="46">
        <f t="shared" si="11"/>
        <v>17.75844421699079</v>
      </c>
      <c r="D76" s="46">
        <f t="shared" si="11"/>
        <v>18.206039076376555</v>
      </c>
      <c r="E76" s="46">
        <f t="shared" si="11"/>
        <v>17.503743024363686</v>
      </c>
      <c r="F76" s="46">
        <f t="shared" si="11"/>
        <v>17.809734513274336</v>
      </c>
      <c r="G76" s="46">
        <f t="shared" si="11"/>
        <v>19.964507542147295</v>
      </c>
      <c r="H76" s="47">
        <f t="shared" si="11"/>
        <v>21.562281542086318</v>
      </c>
      <c r="I76" s="1"/>
      <c r="J76" s="1"/>
      <c r="K76" s="1"/>
      <c r="L76" s="1"/>
    </row>
    <row r="77" ht="15" customHeight="1">
      <c r="A77" s="1"/>
      <c r="B77" s="35" t="s">
        <v>72</v>
      </c>
      <c r="C77" s="90">
        <v>0.045</v>
      </c>
      <c r="D77" s="90">
        <v>0.011</v>
      </c>
      <c r="E77" s="41" t="s">
        <v>41</v>
      </c>
      <c r="F77" s="29">
        <f>F76/(Inputs!F178/Inputs!F180*100)-1</f>
        <v>0.01652484683458133</v>
      </c>
      <c r="G77" s="29">
        <f>G76/(Inputs!G178/Inputs!G180*100)-1</f>
        <v>0.22978397759621072</v>
      </c>
      <c r="H77" s="36">
        <f t="shared" si="18"/>
        <v>0.21419879346503357</v>
      </c>
      <c r="I77" s="1"/>
      <c r="J77" s="1"/>
      <c r="K77" s="1"/>
      <c r="L77" s="1"/>
    </row>
    <row r="78" ht="15" customHeight="1">
      <c r="A78" s="1"/>
      <c r="B78" s="37" t="s">
        <v>85</v>
      </c>
      <c r="C78" s="31">
        <f>C76-(Inputs!G178)/(Inputs!G180)*100</f>
        <v>1.5242860999117305</v>
      </c>
      <c r="D78" s="46">
        <f t="shared" si="4"/>
        <v>0.4475948593857666</v>
      </c>
      <c r="E78" s="46" t="s">
        <v>74</v>
      </c>
      <c r="F78" s="46">
        <f t="shared" si="6"/>
        <v>-0.39630456310221973</v>
      </c>
      <c r="G78" s="46">
        <f t="shared" si="4"/>
        <v>2.1547730288729596</v>
      </c>
      <c r="H78" s="47">
        <f t="shared" si="4"/>
        <v>1.5977739999390224</v>
      </c>
      <c r="I78" s="1"/>
      <c r="J78" s="1"/>
      <c r="K78" s="1"/>
      <c r="L78" s="1"/>
    </row>
    <row r="79" ht="15" customHeight="1">
      <c r="A79" s="1"/>
      <c r="B79" s="3" t="s">
        <v>409</v>
      </c>
      <c r="C79" s="1"/>
      <c r="D79" s="1"/>
      <c r="E79" s="1"/>
      <c r="F79" s="1"/>
      <c r="G79" s="1"/>
      <c r="H79" s="32"/>
      <c r="I79" s="1"/>
      <c r="J79" s="1"/>
      <c r="K79" s="1"/>
      <c r="L79" s="1"/>
    </row>
    <row r="80" ht="15" customHeight="1">
      <c r="A80" s="1"/>
      <c r="B80" s="3" t="s">
        <v>410</v>
      </c>
      <c r="C80" s="56">
        <f t="shared" si="20" ref="C80:H90">C34+C57</f>
        <v>3280</v>
      </c>
      <c r="D80" s="56">
        <f t="shared" si="20"/>
        <v>2684</v>
      </c>
      <c r="E80" s="56">
        <f t="shared" si="20"/>
        <v>10873</v>
      </c>
      <c r="F80" s="56">
        <f t="shared" si="20"/>
        <v>2064</v>
      </c>
      <c r="G80" s="56">
        <f t="shared" si="20"/>
        <v>3424</v>
      </c>
      <c r="H80" s="57">
        <f t="shared" si="20"/>
        <v>3497.8441999999995</v>
      </c>
      <c r="I80" s="22" t="s">
        <v>411</v>
      </c>
      <c r="J80" s="1"/>
      <c r="K80" s="1"/>
      <c r="L80" s="1"/>
    </row>
    <row r="81" ht="15" customHeight="1">
      <c r="A81" s="1"/>
      <c r="B81" s="35" t="s">
        <v>134</v>
      </c>
      <c r="C81" s="90">
        <v>0.013</v>
      </c>
      <c r="D81" s="90">
        <v>0.142</v>
      </c>
      <c r="E81" s="41" t="s">
        <v>41</v>
      </c>
      <c r="F81" s="29">
        <f>F80/(Inputs!F175+Inputs!F178)-1</f>
        <v>0.18894009216589858</v>
      </c>
      <c r="G81" s="29">
        <f>G80/(Inputs!G175+Inputs!G178)-1</f>
        <v>0.07910494799873935</v>
      </c>
      <c r="H81" s="36">
        <f t="shared" si="5"/>
        <v>0.06641591463414631</v>
      </c>
      <c r="I81" s="1"/>
      <c r="J81" s="1"/>
      <c r="K81" s="1"/>
      <c r="L81" s="1"/>
    </row>
    <row r="82" ht="15" customHeight="1">
      <c r="A82" s="1"/>
      <c r="B82" s="35" t="s">
        <v>135</v>
      </c>
      <c r="C82" s="29">
        <f>C80/(Inputs!G175+Inputs!G178)-1</f>
        <v>0.033722029624960514</v>
      </c>
      <c r="D82" s="41">
        <f t="shared" si="2"/>
        <v>-0.18170731707317078</v>
      </c>
      <c r="E82" s="41" t="s">
        <v>74</v>
      </c>
      <c r="F82" s="41">
        <f t="shared" si="13"/>
        <v>-0.23099850968703428</v>
      </c>
      <c r="G82" s="41">
        <f t="shared" si="2"/>
        <v>0.6589147286821706</v>
      </c>
      <c r="H82" s="36">
        <f t="shared" si="2"/>
        <v>0.021566647196261446</v>
      </c>
      <c r="I82" s="1"/>
      <c r="J82" s="1"/>
      <c r="K82" s="1"/>
      <c r="L82" s="1"/>
    </row>
    <row r="83" ht="15" customHeight="1">
      <c r="A83" s="1"/>
      <c r="B83" s="35" t="s">
        <v>398</v>
      </c>
      <c r="C83" s="41">
        <f t="shared" si="21" ref="C83:H83">C80/C172</f>
        <v>0.2374059061957151</v>
      </c>
      <c r="D83" s="41">
        <f t="shared" si="21"/>
        <v>0.19270534175761056</v>
      </c>
      <c r="E83" s="41">
        <f t="shared" si="21"/>
        <v>0.2034618263473054</v>
      </c>
      <c r="F83" s="41">
        <f t="shared" si="21"/>
        <v>0.1567793391568553</v>
      </c>
      <c r="G83" s="41">
        <f t="shared" si="21"/>
        <v>0.21267080745341616</v>
      </c>
      <c r="H83" s="36">
        <f t="shared" si="21"/>
        <v>0.21461414032629741</v>
      </c>
      <c r="I83" s="1"/>
      <c r="J83" s="1"/>
      <c r="K83" s="1"/>
      <c r="L83" s="1"/>
    </row>
    <row r="84" ht="25.5" customHeight="1">
      <c r="A84" s="1"/>
      <c r="B84" s="37" t="s">
        <v>137</v>
      </c>
      <c r="C84" s="62" t="s">
        <v>138</v>
      </c>
      <c r="D84" s="62" t="s">
        <v>138</v>
      </c>
      <c r="E84" s="62" t="s">
        <v>138</v>
      </c>
      <c r="F84" s="62" t="s">
        <v>138</v>
      </c>
      <c r="G84" s="62" t="s">
        <v>138</v>
      </c>
      <c r="H84" s="63" t="s">
        <v>138</v>
      </c>
      <c r="I84" s="18" t="s">
        <v>139</v>
      </c>
      <c r="J84" s="1"/>
      <c r="K84" s="1"/>
      <c r="L84" s="1"/>
    </row>
    <row r="85" ht="15" customHeight="1">
      <c r="A85" s="1"/>
      <c r="B85" s="37" t="s">
        <v>140</v>
      </c>
      <c r="C85" s="62" t="s">
        <v>138</v>
      </c>
      <c r="D85" s="62" t="s">
        <v>138</v>
      </c>
      <c r="E85" s="62" t="s">
        <v>138</v>
      </c>
      <c r="F85" s="62" t="s">
        <v>138</v>
      </c>
      <c r="G85" s="62" t="s">
        <v>138</v>
      </c>
      <c r="H85" s="63" t="s">
        <v>138</v>
      </c>
      <c r="I85" s="1"/>
      <c r="J85" s="1"/>
      <c r="K85" s="1"/>
      <c r="L85" s="1"/>
    </row>
    <row r="86" ht="15" customHeight="1">
      <c r="A86" s="1"/>
      <c r="B86" s="37" t="s">
        <v>141</v>
      </c>
      <c r="C86" s="62" t="s">
        <v>138</v>
      </c>
      <c r="D86" s="62" t="s">
        <v>138</v>
      </c>
      <c r="E86" s="62" t="s">
        <v>138</v>
      </c>
      <c r="F86" s="62" t="s">
        <v>138</v>
      </c>
      <c r="G86" s="62" t="s">
        <v>138</v>
      </c>
      <c r="H86" s="63" t="s">
        <v>138</v>
      </c>
      <c r="I86" s="1"/>
      <c r="J86" s="1"/>
      <c r="K86" s="1"/>
      <c r="L86" s="1"/>
    </row>
    <row r="87" ht="15" customHeight="1">
      <c r="A87" s="1"/>
      <c r="B87" s="49" t="s">
        <v>399</v>
      </c>
      <c r="C87" s="51">
        <f t="shared" si="20"/>
        <v>21348</v>
      </c>
      <c r="D87" s="51">
        <f t="shared" si="20"/>
        <v>16691</v>
      </c>
      <c r="E87" s="51">
        <f t="shared" si="20"/>
        <v>69374</v>
      </c>
      <c r="F87" s="51">
        <f t="shared" si="20"/>
        <v>12882</v>
      </c>
      <c r="G87" s="51">
        <f t="shared" si="20"/>
        <v>18579</v>
      </c>
      <c r="H87" s="52">
        <f t="shared" si="20"/>
        <v>20052.739999999998</v>
      </c>
      <c r="I87" s="1"/>
      <c r="J87" s="1"/>
      <c r="K87" s="1"/>
      <c r="L87" s="1"/>
    </row>
    <row r="88" ht="15" customHeight="1">
      <c r="A88" s="1"/>
      <c r="B88" s="35" t="s">
        <v>72</v>
      </c>
      <c r="C88" s="90">
        <v>0.08</v>
      </c>
      <c r="D88" s="90">
        <v>0.131</v>
      </c>
      <c r="E88" s="41" t="s">
        <v>41</v>
      </c>
      <c r="F88" s="29">
        <f>F87/(Inputs!F176+Inputs!F179)-1</f>
        <v>0.07109004739336489</v>
      </c>
      <c r="G88" s="29">
        <f>G87/(Inputs!G176+Inputs!G179)-1</f>
        <v>-0.03775637041640767</v>
      </c>
      <c r="H88" s="36">
        <f t="shared" si="5"/>
        <v>-0.06067359940041228</v>
      </c>
      <c r="I88" s="1"/>
      <c r="J88" s="1"/>
      <c r="K88" s="1"/>
      <c r="L88" s="1"/>
    </row>
    <row r="89" ht="15" customHeight="1">
      <c r="A89" s="1"/>
      <c r="B89" s="37" t="s">
        <v>73</v>
      </c>
      <c r="C89" s="38">
        <f>C87-(Inputs!G176+Inputs!G179)</f>
        <v>2040</v>
      </c>
      <c r="D89" s="39">
        <f t="shared" si="4"/>
        <v>-4657</v>
      </c>
      <c r="E89" s="39" t="s">
        <v>74</v>
      </c>
      <c r="F89" s="39">
        <f t="shared" si="6"/>
        <v>-3809</v>
      </c>
      <c r="G89" s="39">
        <f t="shared" si="4"/>
        <v>5697</v>
      </c>
      <c r="H89" s="40">
        <f t="shared" si="4"/>
        <v>1473.739999999998</v>
      </c>
      <c r="I89" s="1"/>
      <c r="J89" s="1"/>
      <c r="K89" s="1"/>
      <c r="L89" s="1"/>
    </row>
    <row r="90" ht="15" customHeight="1">
      <c r="A90" s="1"/>
      <c r="B90" s="49" t="s">
        <v>401</v>
      </c>
      <c r="C90" s="51">
        <f t="shared" si="20"/>
        <v>18192</v>
      </c>
      <c r="D90" s="51">
        <f t="shared" si="20"/>
        <v>13588</v>
      </c>
      <c r="E90" s="51">
        <f t="shared" si="20"/>
        <v>56323</v>
      </c>
      <c r="F90" s="51">
        <f t="shared" si="20"/>
        <v>10136</v>
      </c>
      <c r="G90" s="51">
        <f t="shared" si="20"/>
        <v>15246</v>
      </c>
      <c r="H90" s="52">
        <f t="shared" si="20"/>
        <v>17165.338699999997</v>
      </c>
      <c r="I90" s="1"/>
      <c r="J90" s="1"/>
      <c r="K90" s="1"/>
      <c r="L90" s="1"/>
    </row>
    <row r="91" ht="15" customHeight="1">
      <c r="A91" s="1"/>
      <c r="B91" s="35" t="s">
        <v>72</v>
      </c>
      <c r="C91" s="41" t="s">
        <v>41</v>
      </c>
      <c r="D91" s="41" t="s">
        <v>41</v>
      </c>
      <c r="E91" s="41" t="s">
        <v>41</v>
      </c>
      <c r="F91" s="29">
        <f>F90/(Inputs!F177+Inputs!F180)-1</f>
        <v>0.13670516990019066</v>
      </c>
      <c r="G91" s="29">
        <f>G90/(Inputs!G177+Inputs!G180)-1</f>
        <v>-0.024318443619608332</v>
      </c>
      <c r="H91" s="36">
        <f t="shared" si="5"/>
        <v>-0.05643476802990344</v>
      </c>
      <c r="I91" s="1"/>
      <c r="J91" s="1"/>
      <c r="K91" s="1"/>
      <c r="L91" s="1"/>
    </row>
    <row r="92" ht="15" customHeight="1">
      <c r="A92" s="1"/>
      <c r="B92" s="37" t="s">
        <v>73</v>
      </c>
      <c r="C92" s="38">
        <f>C90-(Inputs!G177+Inputs!G180)</f>
        <v>2566</v>
      </c>
      <c r="D92" s="39">
        <f t="shared" si="4"/>
        <v>-4604</v>
      </c>
      <c r="E92" s="39" t="s">
        <v>74</v>
      </c>
      <c r="F92" s="39">
        <f t="shared" si="6"/>
        <v>-3452</v>
      </c>
      <c r="G92" s="39">
        <f t="shared" si="4"/>
        <v>5110</v>
      </c>
      <c r="H92" s="40">
        <f t="shared" si="4"/>
        <v>1919.3386999999966</v>
      </c>
      <c r="I92" s="1"/>
      <c r="J92" s="1"/>
      <c r="K92" s="1"/>
      <c r="L92" s="1"/>
    </row>
    <row r="93" ht="15" customHeight="1">
      <c r="A93" s="1"/>
      <c r="B93" s="28" t="s">
        <v>402</v>
      </c>
      <c r="C93" s="41">
        <f t="shared" si="7"/>
        <v>0.8521641371557055</v>
      </c>
      <c r="D93" s="41">
        <f t="shared" si="7"/>
        <v>0.8140914265172847</v>
      </c>
      <c r="E93" s="41">
        <f t="shared" si="7"/>
        <v>0.8118747657623894</v>
      </c>
      <c r="F93" s="41">
        <f t="shared" si="7"/>
        <v>0.7868343424934017</v>
      </c>
      <c r="G93" s="41">
        <f t="shared" si="7"/>
        <v>0.8206039076376554</v>
      </c>
      <c r="H93" s="36">
        <f t="shared" si="7"/>
        <v>0.8560096375856865</v>
      </c>
      <c r="I93" s="1"/>
      <c r="J93" s="1"/>
      <c r="K93" s="1"/>
      <c r="L93" s="1"/>
    </row>
    <row r="94" ht="15" customHeight="1">
      <c r="A94" s="1"/>
      <c r="B94" s="35" t="s">
        <v>77</v>
      </c>
      <c r="C94" s="44" t="s">
        <v>41</v>
      </c>
      <c r="D94" s="44" t="s">
        <v>41</v>
      </c>
      <c r="E94" s="44" t="s">
        <v>41</v>
      </c>
      <c r="F94" s="42">
        <f>(F93-(Inputs!F177+Inputs!F180)/(Inputs!F176+Inputs!F179))*10000</f>
        <v>454.1919324587529</v>
      </c>
      <c r="G94" s="42">
        <f>(G93-(Inputs!G177+Inputs!G180)/(Inputs!G176+Inputs!G179))*10000</f>
        <v>113.0206384233745</v>
      </c>
      <c r="H94" s="43">
        <f t="shared" si="26" ref="H94:H163">(H93-C90/C87)*10000</f>
        <v>38.45500429980997</v>
      </c>
      <c r="I94" s="1"/>
      <c r="J94" s="1"/>
      <c r="K94" s="1"/>
      <c r="L94" s="1"/>
    </row>
    <row r="95" ht="15" customHeight="1">
      <c r="A95" s="1"/>
      <c r="B95" s="35" t="s">
        <v>78</v>
      </c>
      <c r="C95" s="42">
        <f>(C93-(Inputs!G177+Inputs!G180)/(Inputs!G176+Inputs!G179))*10000</f>
        <v>428.6229336038749</v>
      </c>
      <c r="D95" s="44">
        <f t="shared" si="8"/>
        <v>-380.72710638420773</v>
      </c>
      <c r="E95" s="44" t="s">
        <v>74</v>
      </c>
      <c r="F95" s="44">
        <f t="shared" si="17"/>
        <v>-272.5708402388305</v>
      </c>
      <c r="G95" s="44">
        <f t="shared" si="8"/>
        <v>337.6956514425378</v>
      </c>
      <c r="H95" s="43">
        <f t="shared" si="8"/>
        <v>354.0572994803104</v>
      </c>
      <c r="I95" s="1"/>
      <c r="J95" s="1"/>
      <c r="K95" s="1"/>
      <c r="L95" s="1"/>
    </row>
    <row r="96" ht="15" customHeight="1">
      <c r="A96" s="1"/>
      <c r="B96" s="30" t="s">
        <v>86</v>
      </c>
      <c r="C96" s="46">
        <f t="shared" si="9"/>
        <v>15.364436949597152</v>
      </c>
      <c r="D96" s="46">
        <f t="shared" si="9"/>
        <v>16.080522437241626</v>
      </c>
      <c r="E96" s="46">
        <f t="shared" si="9"/>
        <v>15.673018710179607</v>
      </c>
      <c r="F96" s="46">
        <f t="shared" si="9"/>
        <v>16.022356776897997</v>
      </c>
      <c r="G96" s="46">
        <f t="shared" si="9"/>
        <v>18.429409548414878</v>
      </c>
      <c r="H96" s="47">
        <f t="shared" si="9"/>
        <v>17.44322322036789</v>
      </c>
      <c r="I96" s="1"/>
      <c r="J96" s="1"/>
      <c r="K96" s="1"/>
      <c r="L96" s="1"/>
    </row>
    <row r="97" ht="15" customHeight="1">
      <c r="A97" s="1"/>
      <c r="B97" s="35" t="s">
        <v>72</v>
      </c>
      <c r="C97" s="90">
        <v>-0.062</v>
      </c>
      <c r="D97" s="90">
        <v>0.009000000000000001</v>
      </c>
      <c r="E97" s="41" t="s">
        <v>41</v>
      </c>
      <c r="F97" s="29">
        <f>F96/((Inputs!F175+Inputs!F178)/(Inputs!F176+Inputs!F179)*100)-1</f>
        <v>0.11002813914603804</v>
      </c>
      <c r="G97" s="29">
        <f>G96/((Inputs!G175+Inputs!G178)/(Inputs!G176+Inputs!G179)*100)-1</f>
        <v>0.12144670520263001</v>
      </c>
      <c r="H97" s="36">
        <f t="shared" si="27" ref="H97:H166">H96/(C80/C87*100)-1</f>
        <v>0.13529856496467607</v>
      </c>
      <c r="I97" s="1"/>
      <c r="J97" s="1"/>
      <c r="K97" s="1"/>
      <c r="L97" s="1"/>
    </row>
    <row r="98" ht="15" customHeight="1">
      <c r="A98" s="1"/>
      <c r="B98" s="37" t="s">
        <v>85</v>
      </c>
      <c r="C98" s="31">
        <f>C96-(Inputs!G175+Inputs!G178)/(Inputs!G176+Inputs!G179)*100</f>
        <v>-1.0691657021534162</v>
      </c>
      <c r="D98" s="46">
        <f t="shared" si="4"/>
        <v>0.7160854876444738</v>
      </c>
      <c r="E98" s="46" t="s">
        <v>74</v>
      </c>
      <c r="F98" s="46">
        <f t="shared" si="6"/>
        <v>-0.058165660343629355</v>
      </c>
      <c r="G98" s="46">
        <f t="shared" si="4"/>
        <v>2.407052771516881</v>
      </c>
      <c r="H98" s="47">
        <f t="shared" si="4"/>
        <v>-0.9861863280469869</v>
      </c>
      <c r="I98" s="1"/>
      <c r="J98" s="1"/>
      <c r="K98" s="1"/>
      <c r="L98" s="1"/>
    </row>
    <row r="99" ht="15" customHeight="1">
      <c r="A99" s="1"/>
      <c r="B99" s="30" t="s">
        <v>84</v>
      </c>
      <c r="C99" s="46">
        <f t="shared" si="11"/>
        <v>18.02990325417766</v>
      </c>
      <c r="D99" s="46">
        <f t="shared" si="11"/>
        <v>19.7527229908743</v>
      </c>
      <c r="E99" s="46">
        <f t="shared" si="11"/>
        <v>19.30472453526978</v>
      </c>
      <c r="F99" s="46">
        <f t="shared" si="11"/>
        <v>20.36306235201263</v>
      </c>
      <c r="G99" s="46">
        <f t="shared" si="11"/>
        <v>22.458349731077003</v>
      </c>
      <c r="H99" s="47">
        <f t="shared" si="11"/>
        <v>20.377367794088446</v>
      </c>
      <c r="I99" s="1"/>
      <c r="J99" s="1"/>
      <c r="K99" s="1"/>
      <c r="L99" s="1"/>
    </row>
    <row r="100" ht="15" customHeight="1">
      <c r="A100" s="1"/>
      <c r="B100" s="35" t="s">
        <v>72</v>
      </c>
      <c r="C100" s="90">
        <v>-0.052000000000000005</v>
      </c>
      <c r="D100" s="90">
        <v>0.011</v>
      </c>
      <c r="E100" s="41" t="s">
        <v>41</v>
      </c>
      <c r="F100" s="29">
        <f>F99/((Inputs!F175+Inputs!F178)/(Inputs!F177+Inputs!F180)*100)-1</f>
        <v>0.04595292046599431</v>
      </c>
      <c r="G100" s="29">
        <f>G99/((Inputs!G175+Inputs!G178)/(Inputs!G177+Inputs!G180)*100)-1</f>
        <v>0.10600117522158614</v>
      </c>
      <c r="H100" s="36">
        <f t="shared" si="18"/>
        <v>0.13019839911602737</v>
      </c>
      <c r="I100" s="1"/>
      <c r="J100" s="1"/>
      <c r="K100" s="1"/>
      <c r="L100" s="1"/>
    </row>
    <row r="101" ht="15" customHeight="1">
      <c r="A101" s="1"/>
      <c r="B101" s="37" t="s">
        <v>85</v>
      </c>
      <c r="C101" s="31">
        <f>C99-(Inputs!G175+Inputs!G178)/(Inputs!G177+Inputs!G180)*100</f>
        <v>-2.275997168195307</v>
      </c>
      <c r="D101" s="46">
        <f t="shared" si="4"/>
        <v>1.7228197366966391</v>
      </c>
      <c r="E101" s="46" t="s">
        <v>74</v>
      </c>
      <c r="F101" s="46">
        <f t="shared" si="6"/>
        <v>0.6103393611383297</v>
      </c>
      <c r="G101" s="46">
        <f t="shared" si="4"/>
        <v>2.0952873790643736</v>
      </c>
      <c r="H101" s="47">
        <f t="shared" si="4"/>
        <v>-2.0809819369885574</v>
      </c>
      <c r="I101" s="1"/>
      <c r="J101" s="1"/>
      <c r="K101" s="1"/>
      <c r="L101" s="1"/>
    </row>
    <row r="102" ht="15" customHeight="1">
      <c r="A102" s="1"/>
      <c r="B102" s="3" t="s">
        <v>412</v>
      </c>
      <c r="C102" s="1"/>
      <c r="D102" s="1"/>
      <c r="E102" s="1"/>
      <c r="F102" s="1"/>
      <c r="G102" s="1"/>
      <c r="H102" s="32"/>
      <c r="I102" s="1"/>
      <c r="J102" s="1"/>
      <c r="K102" s="1"/>
      <c r="L102" s="1"/>
    </row>
    <row r="103" ht="15" customHeight="1">
      <c r="A103" s="1"/>
      <c r="B103" s="1" t="s">
        <v>413</v>
      </c>
      <c r="C103" s="54">
        <v>1359</v>
      </c>
      <c r="D103" s="54">
        <v>1626</v>
      </c>
      <c r="E103" s="15">
        <f>Inputs!F181+Inputs!G181+C103+D103</f>
        <v>6003</v>
      </c>
      <c r="F103" s="54">
        <v>1730</v>
      </c>
      <c r="G103" s="54">
        <v>1788</v>
      </c>
      <c r="H103" s="53">
        <f t="shared" si="12"/>
        <v>1625.3639999999996</v>
      </c>
      <c r="I103" s="1"/>
      <c r="J103" s="1"/>
      <c r="K103" s="1"/>
      <c r="L103" s="1"/>
    </row>
    <row r="104" ht="15" customHeight="1">
      <c r="A104" s="1"/>
      <c r="B104" s="35" t="s">
        <v>134</v>
      </c>
      <c r="C104" s="90">
        <v>0.018000000000000002</v>
      </c>
      <c r="D104" s="90">
        <v>0.101</v>
      </c>
      <c r="E104" s="41" t="s">
        <v>41</v>
      </c>
      <c r="F104" s="29">
        <f>F103/Inputs!F181-1</f>
        <v>0.14493712772998024</v>
      </c>
      <c r="G104" s="29">
        <f>G103/Inputs!G181-1</f>
        <v>0.18646317186463168</v>
      </c>
      <c r="H104" s="36">
        <f t="shared" si="5"/>
        <v>0.19599999999999973</v>
      </c>
      <c r="I104" s="1"/>
      <c r="J104" s="1"/>
      <c r="K104" s="1"/>
      <c r="L104" s="1"/>
    </row>
    <row r="105" ht="15" customHeight="1">
      <c r="A105" s="1"/>
      <c r="B105" s="35" t="s">
        <v>135</v>
      </c>
      <c r="C105" s="29">
        <f>C103/(Inputs!G181)-1</f>
        <v>-0.09820836098208363</v>
      </c>
      <c r="D105" s="41">
        <f t="shared" si="2"/>
        <v>0.19646799116997782</v>
      </c>
      <c r="E105" s="41" t="s">
        <v>74</v>
      </c>
      <c r="F105" s="41">
        <f t="shared" si="13"/>
        <v>0.06396063960639609</v>
      </c>
      <c r="G105" s="41">
        <f t="shared" si="2"/>
        <v>0.03352601156069368</v>
      </c>
      <c r="H105" s="36">
        <f t="shared" si="2"/>
        <v>-0.09095973154362436</v>
      </c>
      <c r="I105" s="1"/>
      <c r="J105" s="1"/>
      <c r="K105" s="1"/>
      <c r="L105" s="1"/>
    </row>
    <row r="106" ht="15" customHeight="1">
      <c r="A106" s="1"/>
      <c r="B106" s="35" t="s">
        <v>398</v>
      </c>
      <c r="C106" s="41">
        <f t="shared" si="22" ref="C106:H106">C103/C172</f>
        <v>0.09836421540243197</v>
      </c>
      <c r="D106" s="41">
        <f t="shared" si="22"/>
        <v>0.11674325100516944</v>
      </c>
      <c r="E106" s="41">
        <f t="shared" si="22"/>
        <v>0.11233158682634731</v>
      </c>
      <c r="F106" s="41">
        <f t="shared" si="22"/>
        <v>0.1314090391188758</v>
      </c>
      <c r="G106" s="41">
        <f t="shared" si="22"/>
        <v>0.11105590062111802</v>
      </c>
      <c r="H106" s="36">
        <f t="shared" si="22"/>
        <v>0.09972602484047519</v>
      </c>
      <c r="I106" s="1"/>
      <c r="J106" s="1"/>
      <c r="K106" s="1"/>
      <c r="L106" s="1"/>
    </row>
    <row r="107" ht="25.5" customHeight="1">
      <c r="A107" s="1"/>
      <c r="B107" s="37" t="s">
        <v>137</v>
      </c>
      <c r="C107" s="62" t="s">
        <v>138</v>
      </c>
      <c r="D107" s="62" t="s">
        <v>138</v>
      </c>
      <c r="E107" s="62" t="s">
        <v>138</v>
      </c>
      <c r="F107" s="62" t="s">
        <v>138</v>
      </c>
      <c r="G107" s="62" t="s">
        <v>138</v>
      </c>
      <c r="H107" s="63" t="s">
        <v>138</v>
      </c>
      <c r="I107" s="18" t="s">
        <v>139</v>
      </c>
      <c r="J107" s="1"/>
      <c r="K107" s="1"/>
      <c r="L107" s="1"/>
    </row>
    <row r="108" ht="15" customHeight="1">
      <c r="A108" s="1"/>
      <c r="B108" s="37" t="s">
        <v>140</v>
      </c>
      <c r="C108" s="62" t="s">
        <v>138</v>
      </c>
      <c r="D108" s="62" t="s">
        <v>138</v>
      </c>
      <c r="E108" s="62" t="s">
        <v>138</v>
      </c>
      <c r="F108" s="62" t="s">
        <v>138</v>
      </c>
      <c r="G108" s="62" t="s">
        <v>138</v>
      </c>
      <c r="H108" s="63" t="s">
        <v>138</v>
      </c>
      <c r="I108" s="1"/>
      <c r="J108" s="1"/>
      <c r="K108" s="1"/>
      <c r="L108" s="1"/>
    </row>
    <row r="109" ht="15" customHeight="1">
      <c r="A109" s="1"/>
      <c r="B109" s="37" t="s">
        <v>141</v>
      </c>
      <c r="C109" s="62" t="s">
        <v>138</v>
      </c>
      <c r="D109" s="62" t="s">
        <v>138</v>
      </c>
      <c r="E109" s="62" t="s">
        <v>138</v>
      </c>
      <c r="F109" s="62" t="s">
        <v>138</v>
      </c>
      <c r="G109" s="62" t="s">
        <v>138</v>
      </c>
      <c r="H109" s="63" t="s">
        <v>138</v>
      </c>
      <c r="I109" s="1"/>
      <c r="J109" s="1"/>
      <c r="K109" s="1"/>
      <c r="L109" s="1"/>
    </row>
    <row r="110" ht="15" customHeight="1">
      <c r="A110" s="1"/>
      <c r="B110" s="30" t="s">
        <v>399</v>
      </c>
      <c r="C110" s="33">
        <v>11079</v>
      </c>
      <c r="D110" s="33">
        <v>12195</v>
      </c>
      <c r="E110" s="38">
        <f>Inputs!F182+Inputs!G182+C110+D110</f>
        <v>46211</v>
      </c>
      <c r="F110" s="33">
        <v>12608</v>
      </c>
      <c r="G110" s="33">
        <v>11487</v>
      </c>
      <c r="H110" s="40">
        <f t="shared" si="10"/>
        <v>11522.16</v>
      </c>
      <c r="I110" s="1"/>
      <c r="J110" s="1"/>
      <c r="K110" s="1"/>
      <c r="L110" s="1"/>
    </row>
    <row r="111" ht="15" customHeight="1">
      <c r="A111" s="1"/>
      <c r="B111" s="35" t="s">
        <v>72</v>
      </c>
      <c r="C111" s="90">
        <v>0.059</v>
      </c>
      <c r="D111" s="90">
        <v>0.057</v>
      </c>
      <c r="E111" s="41" t="s">
        <v>41</v>
      </c>
      <c r="F111" s="29">
        <f>F110/Inputs!F182-1</f>
        <v>0.05940677254012261</v>
      </c>
      <c r="G111" s="29">
        <f>G110/Inputs!G182-1</f>
        <v>0.040866255889815184</v>
      </c>
      <c r="H111" s="48">
        <v>0.04</v>
      </c>
      <c r="I111" s="22" t="s">
        <v>414</v>
      </c>
      <c r="J111" s="1"/>
      <c r="K111" s="1"/>
      <c r="L111" s="1"/>
    </row>
    <row r="112" ht="15" customHeight="1">
      <c r="A112" s="1"/>
      <c r="B112" s="37" t="s">
        <v>73</v>
      </c>
      <c r="C112" s="38">
        <f>C110-(Inputs!G182)</f>
        <v>43</v>
      </c>
      <c r="D112" s="39">
        <f t="shared" si="4"/>
        <v>1116</v>
      </c>
      <c r="E112" s="39" t="s">
        <v>74</v>
      </c>
      <c r="F112" s="39">
        <f t="shared" si="6"/>
        <v>413</v>
      </c>
      <c r="G112" s="39">
        <f t="shared" si="4"/>
        <v>-1121</v>
      </c>
      <c r="H112" s="40">
        <f t="shared" si="4"/>
        <v>35.159999999999854</v>
      </c>
      <c r="I112" s="1"/>
      <c r="J112" s="1"/>
      <c r="K112" s="1"/>
      <c r="L112" s="1"/>
    </row>
    <row r="113" ht="15" customHeight="1">
      <c r="A113" s="1"/>
      <c r="B113" s="30" t="s">
        <v>401</v>
      </c>
      <c r="C113" s="33">
        <v>8684</v>
      </c>
      <c r="D113" s="33">
        <v>9670</v>
      </c>
      <c r="E113" s="38">
        <f>Inputs!F183+Inputs!G183+C113+D113</f>
        <v>36572</v>
      </c>
      <c r="F113" s="33">
        <v>10319</v>
      </c>
      <c r="G113" s="33">
        <v>9692</v>
      </c>
      <c r="H113" s="40">
        <f t="shared" si="15"/>
        <v>9031.359999999999</v>
      </c>
      <c r="I113" s="1"/>
      <c r="J113" s="1"/>
      <c r="K113" s="1"/>
      <c r="L113" s="1"/>
    </row>
    <row r="114" ht="15" customHeight="1">
      <c r="A114" s="1"/>
      <c r="B114" s="35" t="s">
        <v>72</v>
      </c>
      <c r="C114" s="41" t="s">
        <v>41</v>
      </c>
      <c r="D114" s="41" t="s">
        <v>41</v>
      </c>
      <c r="E114" s="41" t="s">
        <v>41</v>
      </c>
      <c r="F114" s="29">
        <f>F113/Inputs!F183-1</f>
        <v>0.12665138115514796</v>
      </c>
      <c r="G114" s="29">
        <f>G113/Inputs!G183-1</f>
        <v>0.06987526217021744</v>
      </c>
      <c r="H114" s="36">
        <f t="shared" si="5"/>
        <v>0.039999999999999813</v>
      </c>
      <c r="I114" s="1"/>
      <c r="J114" s="1"/>
      <c r="K114" s="1"/>
      <c r="L114" s="1"/>
    </row>
    <row r="115" ht="15" customHeight="1">
      <c r="A115" s="1"/>
      <c r="B115" s="37" t="s">
        <v>73</v>
      </c>
      <c r="C115" s="38">
        <f>C113-(Inputs!G183)</f>
        <v>-375</v>
      </c>
      <c r="D115" s="39">
        <f t="shared" si="4"/>
        <v>986</v>
      </c>
      <c r="E115" s="39" t="s">
        <v>74</v>
      </c>
      <c r="F115" s="39">
        <f t="shared" si="6"/>
        <v>649</v>
      </c>
      <c r="G115" s="39">
        <f t="shared" si="4"/>
        <v>-627</v>
      </c>
      <c r="H115" s="40">
        <f t="shared" si="4"/>
        <v>-660.6400000000012</v>
      </c>
      <c r="I115" s="1"/>
      <c r="J115" s="1"/>
      <c r="K115" s="1"/>
      <c r="L115" s="1"/>
    </row>
    <row r="116" ht="15" customHeight="1">
      <c r="A116" s="1"/>
      <c r="B116" s="28" t="s">
        <v>402</v>
      </c>
      <c r="C116" s="41">
        <f t="shared" si="7"/>
        <v>0.7838252549869121</v>
      </c>
      <c r="D116" s="41">
        <f t="shared" si="7"/>
        <v>0.7929479294792948</v>
      </c>
      <c r="E116" s="41">
        <f t="shared" si="7"/>
        <v>0.7914132998636688</v>
      </c>
      <c r="F116" s="41">
        <f t="shared" si="7"/>
        <v>0.8184486040609137</v>
      </c>
      <c r="G116" s="41">
        <f t="shared" si="7"/>
        <v>0.8437363976669279</v>
      </c>
      <c r="H116" s="36">
        <f t="shared" si="16"/>
        <v>0.7838252549869121</v>
      </c>
      <c r="I116" s="1"/>
      <c r="J116" s="1"/>
      <c r="K116" s="1"/>
      <c r="L116" s="1"/>
    </row>
    <row r="117" ht="15" customHeight="1">
      <c r="A117" s="1"/>
      <c r="B117" s="35" t="s">
        <v>77</v>
      </c>
      <c r="C117" s="44" t="s">
        <v>41</v>
      </c>
      <c r="D117" s="44" t="s">
        <v>41</v>
      </c>
      <c r="E117" s="44" t="s">
        <v>41</v>
      </c>
      <c r="F117" s="42">
        <f>(F116-Inputs!F183/Inputs!F182)*10000</f>
        <v>488.4941071581661</v>
      </c>
      <c r="G117" s="42">
        <f>(G116-Inputs!G183/Inputs!G182)*10000</f>
        <v>228.77390780374762</v>
      </c>
      <c r="H117" s="92">
        <v>0</v>
      </c>
      <c r="I117" s="1"/>
      <c r="J117" s="1"/>
      <c r="K117" s="1"/>
      <c r="L117" s="1"/>
    </row>
    <row r="118" ht="15" customHeight="1">
      <c r="A118" s="1"/>
      <c r="B118" s="35" t="s">
        <v>78</v>
      </c>
      <c r="C118" s="42">
        <f>(C116-(Inputs!G183)/(Inputs!G182))*10000</f>
        <v>-370.33751899640976</v>
      </c>
      <c r="D118" s="44">
        <f t="shared" si="8"/>
        <v>91.22674492382687</v>
      </c>
      <c r="E118" s="44" t="s">
        <v>74</v>
      </c>
      <c r="F118" s="44">
        <f t="shared" si="17"/>
        <v>255.00674581618864</v>
      </c>
      <c r="G118" s="44">
        <f t="shared" si="8"/>
        <v>252.87793606014185</v>
      </c>
      <c r="H118" s="43">
        <f t="shared" si="8"/>
        <v>-599.1114268001573</v>
      </c>
      <c r="I118" s="1"/>
      <c r="J118" s="1"/>
      <c r="K118" s="1"/>
      <c r="L118" s="1"/>
    </row>
    <row r="119" ht="15" customHeight="1">
      <c r="A119" s="1"/>
      <c r="B119" s="30" t="s">
        <v>86</v>
      </c>
      <c r="C119" s="46">
        <f t="shared" si="9"/>
        <v>12.266450040617384</v>
      </c>
      <c r="D119" s="46">
        <f t="shared" si="9"/>
        <v>13.333333333333334</v>
      </c>
      <c r="E119" s="46">
        <f t="shared" si="9"/>
        <v>12.990413537902231</v>
      </c>
      <c r="F119" s="46">
        <f t="shared" si="9"/>
        <v>13.721446700507615</v>
      </c>
      <c r="G119" s="46">
        <f t="shared" si="9"/>
        <v>15.5654217811439</v>
      </c>
      <c r="H119" s="47">
        <f t="shared" si="10"/>
        <v>14.10641754670999</v>
      </c>
      <c r="I119" s="1"/>
      <c r="J119" s="1"/>
      <c r="K119" s="1"/>
      <c r="L119" s="1"/>
    </row>
    <row r="120" ht="15" customHeight="1">
      <c r="A120" s="1"/>
      <c r="B120" s="35" t="s">
        <v>72</v>
      </c>
      <c r="C120" s="90">
        <v>-0.039</v>
      </c>
      <c r="D120" s="90">
        <v>0.042</v>
      </c>
      <c r="E120" s="41" t="s">
        <v>41</v>
      </c>
      <c r="F120" s="29">
        <f>F119/(Inputs!F181/Inputs!F182*100)-1</f>
        <v>0.08073419710616236</v>
      </c>
      <c r="G120" s="29">
        <f>G119/(Inputs!G181/Inputs!G182*100)-1</f>
        <v>0.13988052273858065</v>
      </c>
      <c r="H120" s="48">
        <v>0.15</v>
      </c>
      <c r="I120" s="1"/>
      <c r="J120" s="1"/>
      <c r="K120" s="1"/>
      <c r="L120" s="1"/>
    </row>
    <row r="121" ht="15" customHeight="1">
      <c r="A121" s="1"/>
      <c r="B121" s="37" t="s">
        <v>85</v>
      </c>
      <c r="C121" s="31">
        <f>C119-(Inputs!G181)/(Inputs!G182)*100</f>
        <v>-1.3888598542720683</v>
      </c>
      <c r="D121" s="46">
        <f t="shared" si="4"/>
        <v>1.06688329271595</v>
      </c>
      <c r="E121" s="46" t="s">
        <v>74</v>
      </c>
      <c r="F121" s="46">
        <f t="shared" si="6"/>
        <v>0.3881133671742809</v>
      </c>
      <c r="G121" s="46">
        <f t="shared" si="4"/>
        <v>1.8439750806362856</v>
      </c>
      <c r="H121" s="47">
        <f t="shared" si="4"/>
        <v>-1.4590042344339107</v>
      </c>
      <c r="I121" s="1"/>
      <c r="J121" s="1"/>
      <c r="K121" s="1"/>
      <c r="L121" s="1"/>
    </row>
    <row r="122" ht="15" customHeight="1">
      <c r="A122" s="1"/>
      <c r="B122" s="30" t="s">
        <v>84</v>
      </c>
      <c r="C122" s="46">
        <f t="shared" si="11"/>
        <v>15.649470290188852</v>
      </c>
      <c r="D122" s="46">
        <f t="shared" si="11"/>
        <v>16.814891416752843</v>
      </c>
      <c r="E122" s="46">
        <f t="shared" si="11"/>
        <v>16.414196653177292</v>
      </c>
      <c r="F122" s="46">
        <f t="shared" si="11"/>
        <v>16.765190425428823</v>
      </c>
      <c r="G122" s="46">
        <f t="shared" si="11"/>
        <v>18.448204704911266</v>
      </c>
      <c r="H122" s="47">
        <f t="shared" si="11"/>
        <v>17.99689083371718</v>
      </c>
      <c r="I122" s="1"/>
      <c r="J122" s="1"/>
      <c r="K122" s="1"/>
      <c r="L122" s="1"/>
    </row>
    <row r="123" ht="15" customHeight="1">
      <c r="A123" s="1"/>
      <c r="B123" s="35" t="s">
        <v>72</v>
      </c>
      <c r="C123" s="90">
        <v>-0.051</v>
      </c>
      <c r="D123" s="90">
        <v>-0.002</v>
      </c>
      <c r="E123" s="41" t="s">
        <v>41</v>
      </c>
      <c r="F123" s="29">
        <f>F122/(Inputs!F181/Inputs!F183*100)-1</f>
        <v>0.016230172776324325</v>
      </c>
      <c r="G123" s="29">
        <f>G122/(Inputs!G181/Inputs!G183*100)-1</f>
        <v>0.10897336709881333</v>
      </c>
      <c r="H123" s="36">
        <f t="shared" si="18"/>
        <v>0.15000000000000013</v>
      </c>
      <c r="I123" s="1"/>
      <c r="J123" s="1"/>
      <c r="K123" s="1"/>
      <c r="L123" s="1"/>
    </row>
    <row r="124" ht="15" customHeight="1">
      <c r="A124" s="1"/>
      <c r="B124" s="37" t="s">
        <v>85</v>
      </c>
      <c r="C124" s="31">
        <f>C122-(Inputs!G181)/(Inputs!G183)*100</f>
        <v>-0.9859199294821934</v>
      </c>
      <c r="D124" s="46">
        <f t="shared" si="4"/>
        <v>1.1654211265639915</v>
      </c>
      <c r="E124" s="46" t="s">
        <v>74</v>
      </c>
      <c r="F124" s="46">
        <f t="shared" si="6"/>
        <v>-0.04970099132401984</v>
      </c>
      <c r="G124" s="46">
        <f t="shared" si="4"/>
        <v>1.6830142794824425</v>
      </c>
      <c r="H124" s="47">
        <f t="shared" si="4"/>
        <v>-0.4513138711940847</v>
      </c>
      <c r="I124" s="1"/>
      <c r="J124" s="1"/>
      <c r="K124" s="1"/>
      <c r="L124" s="1"/>
    </row>
    <row r="125" ht="15" customHeight="1">
      <c r="A125" s="1"/>
      <c r="B125" s="3" t="s">
        <v>415</v>
      </c>
      <c r="C125" s="1"/>
      <c r="D125" s="1"/>
      <c r="E125" s="1"/>
      <c r="F125" s="1"/>
      <c r="G125" s="1"/>
      <c r="H125" s="32"/>
      <c r="I125" s="1"/>
      <c r="J125" s="1"/>
      <c r="K125" s="1"/>
      <c r="L125" s="1"/>
    </row>
    <row r="126" ht="15" customHeight="1">
      <c r="A126" s="1"/>
      <c r="B126" s="1" t="s">
        <v>416</v>
      </c>
      <c r="C126" s="54">
        <v>1078</v>
      </c>
      <c r="D126" s="54">
        <v>1317</v>
      </c>
      <c r="E126" s="15">
        <f>Inputs!F184+Inputs!G184+C126+D126</f>
        <v>5077</v>
      </c>
      <c r="F126" s="54">
        <v>1456</v>
      </c>
      <c r="G126" s="54">
        <v>1382</v>
      </c>
      <c r="H126" s="53">
        <f t="shared" si="12"/>
        <v>1315.16</v>
      </c>
      <c r="I126" s="1"/>
      <c r="J126" s="1"/>
      <c r="K126" s="1"/>
      <c r="L126" s="1"/>
    </row>
    <row r="127" ht="15" customHeight="1">
      <c r="A127" s="1"/>
      <c r="B127" s="35" t="s">
        <v>134</v>
      </c>
      <c r="C127" s="90">
        <v>-0.048</v>
      </c>
      <c r="D127" s="90">
        <v>0.005</v>
      </c>
      <c r="E127" s="41" t="s">
        <v>41</v>
      </c>
      <c r="F127" s="29">
        <f>F126/Inputs!F184-1</f>
        <v>0.01747030048916831</v>
      </c>
      <c r="G127" s="29">
        <f>G126/Inputs!G184-1</f>
        <v>0.10471622701838523</v>
      </c>
      <c r="H127" s="36">
        <f t="shared" si="5"/>
        <v>0.21999999999999997</v>
      </c>
      <c r="I127" s="1"/>
      <c r="J127" s="1"/>
      <c r="K127" s="1"/>
      <c r="L127" s="1"/>
    </row>
    <row r="128" ht="15" customHeight="1">
      <c r="A128" s="1"/>
      <c r="B128" s="35" t="s">
        <v>135</v>
      </c>
      <c r="C128" s="29">
        <f>C126/(Inputs!G184)-1</f>
        <v>-0.1382893685051958</v>
      </c>
      <c r="D128" s="41">
        <f t="shared" si="2"/>
        <v>0.22170686456400746</v>
      </c>
      <c r="E128" s="41" t="s">
        <v>74</v>
      </c>
      <c r="F128" s="41">
        <f t="shared" si="13"/>
        <v>0.10554290053151094</v>
      </c>
      <c r="G128" s="41">
        <f t="shared" si="2"/>
        <v>-0.050824175824175866</v>
      </c>
      <c r="H128" s="36">
        <f t="shared" si="2"/>
        <v>-0.04836468885672929</v>
      </c>
      <c r="I128" s="1"/>
      <c r="J128" s="1"/>
      <c r="K128" s="1"/>
      <c r="L128" s="1"/>
    </row>
    <row r="129" ht="15" customHeight="1">
      <c r="A129" s="1"/>
      <c r="B129" s="35" t="s">
        <v>398</v>
      </c>
      <c r="C129" s="41">
        <f t="shared" si="23" ref="C129:H129">C126/C172</f>
        <v>0.07802547770700637</v>
      </c>
      <c r="D129" s="41">
        <f t="shared" si="23"/>
        <v>0.09455772544514647</v>
      </c>
      <c r="E129" s="41">
        <f t="shared" si="23"/>
        <v>0.09500374251497005</v>
      </c>
      <c r="F129" s="41">
        <f t="shared" si="23"/>
        <v>0.11059627800987466</v>
      </c>
      <c r="G129" s="41">
        <f t="shared" si="23"/>
        <v>0.08583850931677019</v>
      </c>
      <c r="H129" s="36">
        <f t="shared" si="23"/>
        <v>0.08069311171479089</v>
      </c>
      <c r="I129" s="1"/>
      <c r="J129" s="1"/>
      <c r="K129" s="1"/>
      <c r="L129" s="1"/>
    </row>
    <row r="130" ht="25.5" customHeight="1">
      <c r="A130" s="1"/>
      <c r="B130" s="37" t="s">
        <v>137</v>
      </c>
      <c r="C130" s="62" t="s">
        <v>138</v>
      </c>
      <c r="D130" s="62" t="s">
        <v>138</v>
      </c>
      <c r="E130" s="62" t="s">
        <v>138</v>
      </c>
      <c r="F130" s="62" t="s">
        <v>138</v>
      </c>
      <c r="G130" s="62" t="s">
        <v>138</v>
      </c>
      <c r="H130" s="63" t="s">
        <v>138</v>
      </c>
      <c r="I130" s="18" t="s">
        <v>139</v>
      </c>
      <c r="J130" s="1"/>
      <c r="K130" s="1"/>
      <c r="L130" s="1"/>
    </row>
    <row r="131" ht="15" customHeight="1">
      <c r="A131" s="1"/>
      <c r="B131" s="37" t="s">
        <v>140</v>
      </c>
      <c r="C131" s="62" t="s">
        <v>138</v>
      </c>
      <c r="D131" s="62" t="s">
        <v>138</v>
      </c>
      <c r="E131" s="62" t="s">
        <v>138</v>
      </c>
      <c r="F131" s="62" t="s">
        <v>138</v>
      </c>
      <c r="G131" s="62" t="s">
        <v>138</v>
      </c>
      <c r="H131" s="63" t="s">
        <v>138</v>
      </c>
      <c r="I131" s="1"/>
      <c r="J131" s="1"/>
      <c r="K131" s="1"/>
      <c r="L131" s="1"/>
    </row>
    <row r="132" ht="15" customHeight="1">
      <c r="A132" s="1"/>
      <c r="B132" s="37" t="s">
        <v>141</v>
      </c>
      <c r="C132" s="62" t="s">
        <v>138</v>
      </c>
      <c r="D132" s="62" t="s">
        <v>138</v>
      </c>
      <c r="E132" s="62" t="s">
        <v>138</v>
      </c>
      <c r="F132" s="62" t="s">
        <v>138</v>
      </c>
      <c r="G132" s="62" t="s">
        <v>138</v>
      </c>
      <c r="H132" s="63" t="s">
        <v>138</v>
      </c>
      <c r="I132" s="1"/>
      <c r="J132" s="1"/>
      <c r="K132" s="1"/>
      <c r="L132" s="1"/>
    </row>
    <row r="133" ht="15" customHeight="1">
      <c r="A133" s="1"/>
      <c r="B133" s="30" t="s">
        <v>399</v>
      </c>
      <c r="C133" s="33">
        <v>8342</v>
      </c>
      <c r="D133" s="33">
        <v>9249</v>
      </c>
      <c r="E133" s="38">
        <f>Inputs!F185+Inputs!G185+C133+D133</f>
        <v>35912</v>
      </c>
      <c r="F133" s="33">
        <v>9494</v>
      </c>
      <c r="G133" s="33">
        <v>8883</v>
      </c>
      <c r="H133" s="40">
        <f t="shared" si="10"/>
        <v>8342</v>
      </c>
      <c r="I133" s="1"/>
      <c r="J133" s="1"/>
      <c r="K133" s="1"/>
      <c r="L133" s="1"/>
    </row>
    <row r="134" ht="25.5" customHeight="1">
      <c r="A134" s="1"/>
      <c r="B134" s="35" t="s">
        <v>72</v>
      </c>
      <c r="C134" s="90">
        <v>0.101</v>
      </c>
      <c r="D134" s="90">
        <v>0.087</v>
      </c>
      <c r="E134" s="41" t="s">
        <v>41</v>
      </c>
      <c r="F134" s="29">
        <f>F133/Inputs!F185-1</f>
        <v>0.008069653854321457</v>
      </c>
      <c r="G134" s="29">
        <f>G133/Inputs!G185-1</f>
        <v>-0.0022464337863641326</v>
      </c>
      <c r="H134" s="48">
        <v>0</v>
      </c>
      <c r="I134" s="18" t="s">
        <v>417</v>
      </c>
      <c r="J134" s="1"/>
      <c r="K134" s="1"/>
      <c r="L134" s="1"/>
    </row>
    <row r="135" ht="15" customHeight="1">
      <c r="A135" s="1"/>
      <c r="B135" s="37" t="s">
        <v>73</v>
      </c>
      <c r="C135" s="38">
        <f>C133-(Inputs!G185)</f>
        <v>-561</v>
      </c>
      <c r="D135" s="39">
        <f t="shared" si="4"/>
        <v>907</v>
      </c>
      <c r="E135" s="39" t="s">
        <v>74</v>
      </c>
      <c r="F135" s="39">
        <f t="shared" si="6"/>
        <v>245</v>
      </c>
      <c r="G135" s="39">
        <f t="shared" si="4"/>
        <v>-611</v>
      </c>
      <c r="H135" s="40">
        <f t="shared" si="4"/>
        <v>-541</v>
      </c>
      <c r="I135" s="1"/>
      <c r="J135" s="1"/>
      <c r="K135" s="1"/>
      <c r="L135" s="1"/>
    </row>
    <row r="136" ht="15" customHeight="1">
      <c r="A136" s="1"/>
      <c r="B136" s="30" t="s">
        <v>401</v>
      </c>
      <c r="C136" s="33">
        <v>7079</v>
      </c>
      <c r="D136" s="33">
        <v>7545</v>
      </c>
      <c r="E136" s="38">
        <f>Inputs!F186+Inputs!G186+C136+D136</f>
        <v>29974</v>
      </c>
      <c r="F136" s="33">
        <v>8015</v>
      </c>
      <c r="G136" s="33">
        <v>7452</v>
      </c>
      <c r="H136" s="40">
        <f t="shared" si="15"/>
        <v>7162.42</v>
      </c>
      <c r="I136" s="1"/>
      <c r="J136" s="1"/>
      <c r="K136" s="1"/>
      <c r="L136" s="1"/>
    </row>
    <row r="137" ht="15" customHeight="1">
      <c r="A137" s="1"/>
      <c r="B137" s="35" t="s">
        <v>72</v>
      </c>
      <c r="C137" s="41" t="s">
        <v>41</v>
      </c>
      <c r="D137" s="41" t="s">
        <v>41</v>
      </c>
      <c r="E137" s="41" t="s">
        <v>41</v>
      </c>
      <c r="F137" s="29">
        <f>F136/Inputs!F186-1</f>
        <v>0.01674489407585944</v>
      </c>
      <c r="G137" s="29">
        <f>G136/Inputs!G186-1</f>
        <v>-0.002008838891120912</v>
      </c>
      <c r="H137" s="36">
        <f t="shared" si="5"/>
        <v>0.011784150303715268</v>
      </c>
      <c r="I137" s="1"/>
      <c r="J137" s="1"/>
      <c r="K137" s="1"/>
      <c r="L137" s="1"/>
    </row>
    <row r="138" ht="15" customHeight="1">
      <c r="A138" s="1"/>
      <c r="B138" s="37" t="s">
        <v>73</v>
      </c>
      <c r="C138" s="38">
        <f>C136-(Inputs!G186)</f>
        <v>-388</v>
      </c>
      <c r="D138" s="39">
        <f t="shared" si="4"/>
        <v>466</v>
      </c>
      <c r="E138" s="39" t="s">
        <v>74</v>
      </c>
      <c r="F138" s="39">
        <f t="shared" si="6"/>
        <v>470</v>
      </c>
      <c r="G138" s="39">
        <f t="shared" si="4"/>
        <v>-563</v>
      </c>
      <c r="H138" s="40">
        <f t="shared" si="4"/>
        <v>-289.5799999999999</v>
      </c>
      <c r="I138" s="1"/>
      <c r="J138" s="1"/>
      <c r="K138" s="1"/>
      <c r="L138" s="1"/>
    </row>
    <row r="139" ht="15" customHeight="1">
      <c r="A139" s="1"/>
      <c r="B139" s="28" t="s">
        <v>402</v>
      </c>
      <c r="C139" s="41">
        <f t="shared" si="7"/>
        <v>0.8485974586430113</v>
      </c>
      <c r="D139" s="41">
        <f t="shared" si="7"/>
        <v>0.8157638663639313</v>
      </c>
      <c r="E139" s="41">
        <f t="shared" si="7"/>
        <v>0.8346513700155936</v>
      </c>
      <c r="F139" s="41">
        <f t="shared" si="7"/>
        <v>0.8442174004634506</v>
      </c>
      <c r="G139" s="41">
        <f t="shared" si="7"/>
        <v>0.8389057750759878</v>
      </c>
      <c r="H139" s="36">
        <f t="shared" si="16"/>
        <v>0.8585974586430113</v>
      </c>
      <c r="I139" s="1"/>
      <c r="J139" s="1"/>
      <c r="K139" s="1"/>
      <c r="L139" s="1"/>
    </row>
    <row r="140" ht="15" customHeight="1">
      <c r="A140" s="1"/>
      <c r="B140" s="35" t="s">
        <v>77</v>
      </c>
      <c r="C140" s="44" t="s">
        <v>41</v>
      </c>
      <c r="D140" s="44" t="s">
        <v>41</v>
      </c>
      <c r="E140" s="44" t="s">
        <v>41</v>
      </c>
      <c r="F140" s="42">
        <f>(F139-Inputs!F186/Inputs!F185)*10000</f>
        <v>72.03172389549594</v>
      </c>
      <c r="G140" s="42">
        <f>(G139-Inputs!G186/Inputs!G185)*10000</f>
        <v>1.997209369335451</v>
      </c>
      <c r="H140" s="92">
        <v>100</v>
      </c>
      <c r="I140" s="1"/>
      <c r="J140" s="1"/>
      <c r="K140" s="1"/>
      <c r="L140" s="1"/>
    </row>
    <row r="141" ht="15" customHeight="1">
      <c r="A141" s="1"/>
      <c r="B141" s="35" t="s">
        <v>78</v>
      </c>
      <c r="C141" s="42">
        <f>(C139-(Inputs!G186)/(Inputs!G185))*10000</f>
        <v>98.9140450395698</v>
      </c>
      <c r="D141" s="44">
        <f t="shared" si="8"/>
        <v>-328.33592279080005</v>
      </c>
      <c r="E141" s="44" t="s">
        <v>74</v>
      </c>
      <c r="F141" s="44">
        <f t="shared" si="17"/>
        <v>284.5353409951934</v>
      </c>
      <c r="G141" s="44">
        <f t="shared" si="8"/>
        <v>-53.1162538746277</v>
      </c>
      <c r="H141" s="43">
        <f t="shared" si="8"/>
        <v>196.91683567023443</v>
      </c>
      <c r="I141" s="1"/>
      <c r="J141" s="1"/>
      <c r="K141" s="1"/>
      <c r="L141" s="1"/>
    </row>
    <row r="142" ht="15" customHeight="1">
      <c r="A142" s="1"/>
      <c r="B142" s="30" t="s">
        <v>86</v>
      </c>
      <c r="C142" s="46">
        <f t="shared" si="9"/>
        <v>12.922560537041477</v>
      </c>
      <c r="D142" s="46">
        <f t="shared" si="9"/>
        <v>14.239377229970806</v>
      </c>
      <c r="E142" s="46">
        <f t="shared" si="9"/>
        <v>14.137335709512142</v>
      </c>
      <c r="F142" s="46">
        <f t="shared" si="9"/>
        <v>15.33600168527491</v>
      </c>
      <c r="G142" s="46">
        <f t="shared" si="9"/>
        <v>15.557807047168748</v>
      </c>
      <c r="H142" s="47">
        <f t="shared" si="10"/>
        <v>15.765523855190601</v>
      </c>
      <c r="I142" s="1"/>
      <c r="J142" s="1"/>
      <c r="K142" s="1"/>
      <c r="L142" s="1"/>
    </row>
    <row r="143" ht="15" customHeight="1">
      <c r="A143" s="1"/>
      <c r="B143" s="35" t="s">
        <v>72</v>
      </c>
      <c r="C143" s="90">
        <v>-0.135</v>
      </c>
      <c r="D143" s="90">
        <v>-0.076</v>
      </c>
      <c r="E143" s="41" t="s">
        <v>41</v>
      </c>
      <c r="F143" s="29">
        <f>F142/(Inputs!F184/Inputs!F185*100)-1</f>
        <v>0.00932539393374654</v>
      </c>
      <c r="G143" s="29">
        <f>G142/(Inputs!G184/Inputs!G185*100)-1</f>
        <v>0.1072034863384761</v>
      </c>
      <c r="H143" s="48">
        <v>0.22</v>
      </c>
      <c r="I143" s="1"/>
      <c r="J143" s="1"/>
      <c r="K143" s="1"/>
      <c r="L143" s="1"/>
    </row>
    <row r="144" ht="15" customHeight="1">
      <c r="A144" s="1"/>
      <c r="B144" s="37" t="s">
        <v>85</v>
      </c>
      <c r="C144" s="31">
        <f>C142-(Inputs!G184)/(Inputs!G185)*100</f>
        <v>-1.1288827966662627</v>
      </c>
      <c r="D144" s="46">
        <f t="shared" si="4"/>
        <v>1.3168166929293292</v>
      </c>
      <c r="E144" s="46" t="s">
        <v>74</v>
      </c>
      <c r="F144" s="46">
        <f t="shared" si="6"/>
        <v>1.096624455304104</v>
      </c>
      <c r="G144" s="46">
        <f t="shared" si="4"/>
        <v>0.22180536189383737</v>
      </c>
      <c r="H144" s="47">
        <f t="shared" si="4"/>
        <v>0.20771680802185344</v>
      </c>
      <c r="I144" s="1"/>
      <c r="J144" s="1"/>
      <c r="K144" s="1"/>
      <c r="L144" s="1"/>
    </row>
    <row r="145" ht="15" customHeight="1">
      <c r="A145" s="1"/>
      <c r="B145" s="30" t="s">
        <v>84</v>
      </c>
      <c r="C145" s="46">
        <f t="shared" si="11"/>
        <v>15.228139567735555</v>
      </c>
      <c r="D145" s="46">
        <f t="shared" si="11"/>
        <v>17.45526838966203</v>
      </c>
      <c r="E145" s="46">
        <f t="shared" si="11"/>
        <v>16.938012944551943</v>
      </c>
      <c r="F145" s="46">
        <f t="shared" si="11"/>
        <v>18.16593886462882</v>
      </c>
      <c r="G145" s="46">
        <f t="shared" si="11"/>
        <v>18.54535695115405</v>
      </c>
      <c r="H145" s="47">
        <f t="shared" si="11"/>
        <v>18.361950290544257</v>
      </c>
      <c r="I145" s="1"/>
      <c r="J145" s="1"/>
      <c r="K145" s="1"/>
      <c r="L145" s="1"/>
    </row>
    <row r="146" ht="15" customHeight="1">
      <c r="A146" s="1"/>
      <c r="B146" s="35" t="s">
        <v>72</v>
      </c>
      <c r="C146" s="90">
        <v>-0.107</v>
      </c>
      <c r="D146" s="90">
        <v>-0.048</v>
      </c>
      <c r="E146" s="41" t="s">
        <v>41</v>
      </c>
      <c r="F146" s="29">
        <f>F145/(Inputs!F184/Inputs!F186*100)-1</f>
        <v>0.0007134596077498223</v>
      </c>
      <c r="G146" s="29">
        <f>G145/(Inputs!G184/Inputs!G186*100)-1</f>
        <v>0.10693989092140121</v>
      </c>
      <c r="H146" s="36">
        <f t="shared" si="18"/>
        <v>0.20579078021115782</v>
      </c>
      <c r="I146" s="1"/>
      <c r="J146" s="1"/>
      <c r="K146" s="1"/>
      <c r="L146" s="1"/>
    </row>
    <row r="147" ht="15" customHeight="1">
      <c r="A147" s="1"/>
      <c r="B147" s="37" t="s">
        <v>85</v>
      </c>
      <c r="C147" s="31">
        <f>C145-(Inputs!G184)/(Inputs!G186)*100</f>
        <v>-1.5255767842130208</v>
      </c>
      <c r="D147" s="46">
        <f t="shared" si="4"/>
        <v>2.2271288219264758</v>
      </c>
      <c r="E147" s="46" t="s">
        <v>74</v>
      </c>
      <c r="F147" s="46">
        <f t="shared" si="6"/>
        <v>0.7106704749667898</v>
      </c>
      <c r="G147" s="46">
        <f t="shared" si="4"/>
        <v>0.3794180865252308</v>
      </c>
      <c r="H147" s="47">
        <f t="shared" si="4"/>
        <v>-0.18340666060979416</v>
      </c>
      <c r="I147" s="1"/>
      <c r="J147" s="1"/>
      <c r="K147" s="1"/>
      <c r="L147" s="1"/>
    </row>
    <row r="148" ht="15" customHeight="1">
      <c r="A148" s="1"/>
      <c r="B148" s="3" t="s">
        <v>418</v>
      </c>
      <c r="C148" s="1"/>
      <c r="D148" s="1"/>
      <c r="E148" s="1"/>
      <c r="F148" s="1"/>
      <c r="G148" s="1"/>
      <c r="H148" s="32"/>
      <c r="I148" s="1"/>
      <c r="J148" s="1"/>
      <c r="K148" s="1"/>
      <c r="L148" s="1"/>
    </row>
    <row r="149" ht="15" customHeight="1">
      <c r="A149" s="1"/>
      <c r="B149" s="3" t="s">
        <v>419</v>
      </c>
      <c r="C149" s="56">
        <f t="shared" si="24" ref="C149:H159">C80+C103+C126</f>
        <v>5717</v>
      </c>
      <c r="D149" s="56">
        <f t="shared" si="24"/>
        <v>5627</v>
      </c>
      <c r="E149" s="56">
        <f t="shared" si="24"/>
        <v>21953</v>
      </c>
      <c r="F149" s="56">
        <f t="shared" si="24"/>
        <v>5250</v>
      </c>
      <c r="G149" s="56">
        <f t="shared" si="24"/>
        <v>6594</v>
      </c>
      <c r="H149" s="57">
        <f t="shared" si="24"/>
        <v>6438.368199999999</v>
      </c>
      <c r="I149" s="1"/>
      <c r="J149" s="1"/>
      <c r="K149" s="1"/>
      <c r="L149" s="1"/>
    </row>
    <row r="150" ht="15" customHeight="1">
      <c r="A150" s="1"/>
      <c r="B150" s="35" t="s">
        <v>134</v>
      </c>
      <c r="C150" s="90">
        <v>0.002</v>
      </c>
      <c r="D150" s="90">
        <v>0.095</v>
      </c>
      <c r="E150" s="41" t="s">
        <v>41</v>
      </c>
      <c r="F150" s="29">
        <f>F149/(Inputs!F175+Inputs!F178+Inputs!F181+Inputs!F184)-1</f>
        <v>0.12227447627191101</v>
      </c>
      <c r="G150" s="29">
        <f>G149/(Inputs!G175+Inputs!G178+Inputs!G181+Inputs!G184)-1</f>
        <v>0.11178553363682342</v>
      </c>
      <c r="H150" s="36">
        <f t="shared" si="5"/>
        <v>0.12617949973762443</v>
      </c>
      <c r="I150" s="1"/>
      <c r="J150" s="1"/>
      <c r="K150" s="1"/>
      <c r="L150" s="1"/>
    </row>
    <row r="151" ht="15" customHeight="1">
      <c r="A151" s="1"/>
      <c r="B151" s="35" t="s">
        <v>135</v>
      </c>
      <c r="C151" s="29">
        <f>C149/(Inputs!G175+Inputs!G178+Inputs!G181+Inputs!G184)-1</f>
        <v>-0.036081605125611205</v>
      </c>
      <c r="D151" s="41">
        <f t="shared" si="2"/>
        <v>-0.015742522301906647</v>
      </c>
      <c r="E151" s="41" t="s">
        <v>74</v>
      </c>
      <c r="F151" s="41">
        <f t="shared" si="13"/>
        <v>-0.06699840056868667</v>
      </c>
      <c r="G151" s="41">
        <f t="shared" si="2"/>
        <v>0.256</v>
      </c>
      <c r="H151" s="36">
        <f t="shared" si="2"/>
        <v>-0.02360203215043999</v>
      </c>
      <c r="I151" s="1"/>
      <c r="J151" s="1"/>
      <c r="K151" s="1"/>
      <c r="L151" s="1"/>
    </row>
    <row r="152" ht="15" customHeight="1">
      <c r="A152" s="1"/>
      <c r="B152" s="35" t="s">
        <v>398</v>
      </c>
      <c r="C152" s="41">
        <f t="shared" si="25" ref="C152:H152">C149/C172</f>
        <v>0.41379559930515347</v>
      </c>
      <c r="D152" s="41">
        <f t="shared" si="25"/>
        <v>0.4040063182079265</v>
      </c>
      <c r="E152" s="41">
        <f t="shared" si="25"/>
        <v>0.41079715568862274</v>
      </c>
      <c r="F152" s="41">
        <f t="shared" si="25"/>
        <v>0.3987846562856058</v>
      </c>
      <c r="G152" s="41">
        <f t="shared" si="25"/>
        <v>0.40956521739130436</v>
      </c>
      <c r="H152" s="36">
        <f t="shared" si="25"/>
        <v>0.3950332768815635</v>
      </c>
      <c r="I152" s="1"/>
      <c r="J152" s="1"/>
      <c r="K152" s="1"/>
      <c r="L152" s="1"/>
    </row>
    <row r="153" ht="25.5" customHeight="1">
      <c r="A153" s="1"/>
      <c r="B153" s="37" t="s">
        <v>137</v>
      </c>
      <c r="C153" s="62" t="s">
        <v>138</v>
      </c>
      <c r="D153" s="62" t="s">
        <v>138</v>
      </c>
      <c r="E153" s="62" t="s">
        <v>138</v>
      </c>
      <c r="F153" s="62" t="s">
        <v>138</v>
      </c>
      <c r="G153" s="62" t="s">
        <v>138</v>
      </c>
      <c r="H153" s="63" t="s">
        <v>138</v>
      </c>
      <c r="I153" s="18" t="s">
        <v>139</v>
      </c>
      <c r="J153" s="1"/>
      <c r="K153" s="1"/>
      <c r="L153" s="1"/>
    </row>
    <row r="154" ht="15" customHeight="1">
      <c r="A154" s="1"/>
      <c r="B154" s="37" t="s">
        <v>140</v>
      </c>
      <c r="C154" s="62" t="s">
        <v>138</v>
      </c>
      <c r="D154" s="62" t="s">
        <v>138</v>
      </c>
      <c r="E154" s="62" t="s">
        <v>138</v>
      </c>
      <c r="F154" s="62" t="s">
        <v>138</v>
      </c>
      <c r="G154" s="62" t="s">
        <v>138</v>
      </c>
      <c r="H154" s="63" t="s">
        <v>138</v>
      </c>
      <c r="I154" s="1"/>
      <c r="J154" s="1"/>
      <c r="K154" s="1"/>
      <c r="L154" s="1"/>
    </row>
    <row r="155" ht="15" customHeight="1">
      <c r="A155" s="1"/>
      <c r="B155" s="37" t="s">
        <v>141</v>
      </c>
      <c r="C155" s="62" t="s">
        <v>138</v>
      </c>
      <c r="D155" s="62" t="s">
        <v>138</v>
      </c>
      <c r="E155" s="62" t="s">
        <v>138</v>
      </c>
      <c r="F155" s="62" t="s">
        <v>138</v>
      </c>
      <c r="G155" s="62" t="s">
        <v>138</v>
      </c>
      <c r="H155" s="63" t="s">
        <v>138</v>
      </c>
      <c r="I155" s="1"/>
      <c r="J155" s="1"/>
      <c r="K155" s="1"/>
      <c r="L155" s="1"/>
    </row>
    <row r="156" ht="15" customHeight="1">
      <c r="A156" s="1"/>
      <c r="B156" s="49" t="s">
        <v>399</v>
      </c>
      <c r="C156" s="51">
        <f t="shared" si="24"/>
        <v>40769</v>
      </c>
      <c r="D156" s="51">
        <f t="shared" si="24"/>
        <v>38135</v>
      </c>
      <c r="E156" s="51">
        <f t="shared" si="24"/>
        <v>151497</v>
      </c>
      <c r="F156" s="51">
        <f t="shared" si="24"/>
        <v>34984</v>
      </c>
      <c r="G156" s="51">
        <f t="shared" si="24"/>
        <v>38949</v>
      </c>
      <c r="H156" s="52">
        <f t="shared" si="24"/>
        <v>39916.899999999994</v>
      </c>
      <c r="I156" s="1"/>
      <c r="J156" s="1"/>
      <c r="K156" s="1"/>
      <c r="L156" s="1"/>
    </row>
    <row r="157" ht="15" customHeight="1">
      <c r="A157" s="1"/>
      <c r="B157" s="35" t="s">
        <v>72</v>
      </c>
      <c r="C157" s="90">
        <v>0.079</v>
      </c>
      <c r="D157" s="90">
        <v>0.096</v>
      </c>
      <c r="E157" s="41" t="s">
        <v>41</v>
      </c>
      <c r="F157" s="29">
        <f>F156/(Inputs!F176+Inputs!F179+Inputs!F182+Inputs!F185)-1</f>
        <v>0.04912133389312068</v>
      </c>
      <c r="G157" s="29">
        <f>G156/(Inputs!G176+Inputs!G179+Inputs!G182+Inputs!G185)-1</f>
        <v>-0.007592937039773706</v>
      </c>
      <c r="H157" s="36">
        <f t="shared" si="5"/>
        <v>-0.020900684343496456</v>
      </c>
      <c r="I157" s="1"/>
      <c r="J157" s="1"/>
      <c r="K157" s="1"/>
      <c r="L157" s="1"/>
    </row>
    <row r="158" ht="15" customHeight="1">
      <c r="A158" s="1"/>
      <c r="B158" s="37" t="s">
        <v>73</v>
      </c>
      <c r="C158" s="38">
        <f>C156-(Inputs!G176+Inputs!G179+Inputs!G182+Inputs!G185)</f>
        <v>1522</v>
      </c>
      <c r="D158" s="39">
        <f t="shared" si="4"/>
        <v>-2634</v>
      </c>
      <c r="E158" s="39" t="s">
        <v>74</v>
      </c>
      <c r="F158" s="39">
        <f t="shared" si="6"/>
        <v>-3151</v>
      </c>
      <c r="G158" s="39">
        <f t="shared" si="4"/>
        <v>3965</v>
      </c>
      <c r="H158" s="40">
        <f t="shared" si="4"/>
        <v>967.8999999999942</v>
      </c>
      <c r="I158" s="1"/>
      <c r="J158" s="1"/>
      <c r="K158" s="1"/>
      <c r="L158" s="1"/>
    </row>
    <row r="159" ht="15" customHeight="1">
      <c r="A159" s="1"/>
      <c r="B159" s="49" t="s">
        <v>401</v>
      </c>
      <c r="C159" s="51">
        <f t="shared" si="24"/>
        <v>33955</v>
      </c>
      <c r="D159" s="51">
        <f t="shared" si="24"/>
        <v>30803</v>
      </c>
      <c r="E159" s="51">
        <f t="shared" si="24"/>
        <v>122869</v>
      </c>
      <c r="F159" s="51">
        <f t="shared" si="24"/>
        <v>28470</v>
      </c>
      <c r="G159" s="51">
        <f t="shared" si="24"/>
        <v>32390</v>
      </c>
      <c r="H159" s="52">
        <f t="shared" si="24"/>
        <v>33359.11869999999</v>
      </c>
      <c r="I159" s="1"/>
      <c r="J159" s="1"/>
      <c r="K159" s="1"/>
      <c r="L159" s="1"/>
    </row>
    <row r="160" ht="15" customHeight="1">
      <c r="A160" s="1"/>
      <c r="B160" s="35" t="s">
        <v>72</v>
      </c>
      <c r="C160" s="41" t="s">
        <v>41</v>
      </c>
      <c r="D160" s="41" t="s">
        <v>41</v>
      </c>
      <c r="E160" s="41" t="s">
        <v>41</v>
      </c>
      <c r="F160" s="29">
        <f>F159/(Inputs!F177+Inputs!F180+Inputs!F183+Inputs!F186)-1</f>
        <v>0.09672945799144794</v>
      </c>
      <c r="G160" s="29">
        <f>G159/(Inputs!G177+Inputs!G180+Inputs!G183+Inputs!G186)-1</f>
        <v>0.007402338890271309</v>
      </c>
      <c r="H160" s="36">
        <f t="shared" si="5"/>
        <v>-0.01754914740097213</v>
      </c>
      <c r="I160" s="1"/>
      <c r="J160" s="1"/>
      <c r="K160" s="1"/>
      <c r="L160" s="1"/>
    </row>
    <row r="161" ht="15" customHeight="1">
      <c r="A161" s="1"/>
      <c r="B161" s="37" t="s">
        <v>73</v>
      </c>
      <c r="C161" s="38">
        <f>C159-(Inputs!G177+Inputs!G180+Inputs!G183+Inputs!G186)</f>
        <v>1803</v>
      </c>
      <c r="D161" s="39">
        <f t="shared" si="4"/>
        <v>-3152</v>
      </c>
      <c r="E161" s="39" t="s">
        <v>74</v>
      </c>
      <c r="F161" s="39">
        <f t="shared" si="6"/>
        <v>-2333</v>
      </c>
      <c r="G161" s="39">
        <f t="shared" si="4"/>
        <v>3920</v>
      </c>
      <c r="H161" s="40">
        <f t="shared" si="4"/>
        <v>969.1186999999918</v>
      </c>
      <c r="I161" s="1"/>
      <c r="J161" s="1"/>
      <c r="K161" s="1"/>
      <c r="L161" s="1"/>
    </row>
    <row r="162" ht="15" customHeight="1">
      <c r="A162" s="1"/>
      <c r="B162" s="28" t="s">
        <v>402</v>
      </c>
      <c r="C162" s="41">
        <f t="shared" si="7"/>
        <v>0.8328632048860654</v>
      </c>
      <c r="D162" s="41">
        <f t="shared" si="7"/>
        <v>0.8077356758882916</v>
      </c>
      <c r="E162" s="41">
        <f t="shared" si="7"/>
        <v>0.8110325617008918</v>
      </c>
      <c r="F162" s="41">
        <f t="shared" si="7"/>
        <v>0.813800594557512</v>
      </c>
      <c r="G162" s="41">
        <f t="shared" si="7"/>
        <v>0.8316002978253614</v>
      </c>
      <c r="H162" s="36">
        <f t="shared" si="7"/>
        <v>0.8357141636750348</v>
      </c>
      <c r="I162" s="1"/>
      <c r="J162" s="1"/>
      <c r="K162" s="1"/>
      <c r="L162" s="1"/>
    </row>
    <row r="163" ht="15" customHeight="1">
      <c r="A163" s="1"/>
      <c r="B163" s="35" t="s">
        <v>77</v>
      </c>
      <c r="C163" s="91">
        <v>-70</v>
      </c>
      <c r="D163" s="91">
        <v>50</v>
      </c>
      <c r="E163" s="44" t="s">
        <v>41</v>
      </c>
      <c r="F163" s="42">
        <f>(F162-(Inputs!F177+Inputs!F180+Inputs!F183+Inputs!F186)/(Inputs!F176+Inputs!F179+Inputs!F182+Inputs!F185))*10000</f>
        <v>353.2641474584042</v>
      </c>
      <c r="G163" s="42">
        <f>(G162-(Inputs!G177+Inputs!G180+Inputs!G183+Inputs!G186)/(Inputs!G176+Inputs!G179+Inputs!G182+Inputs!G185))*10000</f>
        <v>123.78446473665706</v>
      </c>
      <c r="H163" s="43">
        <f t="shared" si="26"/>
        <v>28.5095878896946</v>
      </c>
      <c r="I163" s="1"/>
      <c r="J163" s="1"/>
      <c r="K163" s="1"/>
      <c r="L163" s="1"/>
    </row>
    <row r="164" ht="15" customHeight="1">
      <c r="A164" s="1"/>
      <c r="B164" s="35" t="s">
        <v>78</v>
      </c>
      <c r="C164" s="42">
        <f>(C162-(Inputs!G177+Inputs!G180+Inputs!G183+Inputs!G186)/(Inputs!G176+Inputs!G179+Inputs!G182+Inputs!G185))*10000</f>
        <v>136.41353534369682</v>
      </c>
      <c r="D164" s="44">
        <f t="shared" si="8"/>
        <v>-251.27528997773706</v>
      </c>
      <c r="E164" s="44" t="s">
        <v>74</v>
      </c>
      <c r="F164" s="44">
        <f t="shared" si="17"/>
        <v>60.6491866922032</v>
      </c>
      <c r="G164" s="44">
        <f t="shared" si="8"/>
        <v>177.9970326784941</v>
      </c>
      <c r="H164" s="43">
        <f t="shared" si="8"/>
        <v>41.13865849673437</v>
      </c>
      <c r="I164" s="1"/>
      <c r="J164" s="1"/>
      <c r="K164" s="1"/>
      <c r="L164" s="1"/>
    </row>
    <row r="165" ht="15" customHeight="1">
      <c r="A165" s="1"/>
      <c r="B165" s="30" t="s">
        <v>86</v>
      </c>
      <c r="C165" s="46">
        <f t="shared" si="9"/>
        <v>14.022909563639038</v>
      </c>
      <c r="D165" s="46">
        <f t="shared" si="9"/>
        <v>14.755473974039596</v>
      </c>
      <c r="E165" s="46">
        <f t="shared" si="9"/>
        <v>14.490715987775335</v>
      </c>
      <c r="F165" s="46">
        <f t="shared" si="9"/>
        <v>15.006860278984679</v>
      </c>
      <c r="G165" s="46">
        <f t="shared" si="9"/>
        <v>16.929831317877227</v>
      </c>
      <c r="H165" s="47">
        <f t="shared" si="9"/>
        <v>16.129429389556805</v>
      </c>
      <c r="I165" s="1"/>
      <c r="J165" s="1"/>
      <c r="K165" s="1"/>
      <c r="L165" s="1"/>
    </row>
    <row r="166" ht="15" customHeight="1">
      <c r="A166" s="1"/>
      <c r="B166" s="35" t="s">
        <v>72</v>
      </c>
      <c r="C166" s="90">
        <v>-0.071</v>
      </c>
      <c r="D166" s="90">
        <v>-0.001</v>
      </c>
      <c r="E166" s="41" t="s">
        <v>41</v>
      </c>
      <c r="F166" s="29">
        <f>F165/((Inputs!F175+Inputs!F178+Inputs!F181+Inputs!F184)/(Inputs!F176+Inputs!F179+Inputs!F182+Inputs!F185)*100)-1</f>
        <v>0.06972800954045111</v>
      </c>
      <c r="G166" s="29">
        <f>G165/((Inputs!G175+Inputs!G178+Inputs!G181+Inputs!G184)/(Inputs!G176+Inputs!G179+Inputs!G182+Inputs!G185)*100)-1</f>
        <v>0.1202918390368024</v>
      </c>
      <c r="H166" s="36">
        <f t="shared" si="27"/>
        <v>0.1502198824258203</v>
      </c>
      <c r="I166" s="1"/>
      <c r="J166" s="1"/>
      <c r="K166" s="1"/>
      <c r="L166" s="1"/>
    </row>
    <row r="167" ht="15" customHeight="1">
      <c r="A167" s="1"/>
      <c r="B167" s="37" t="s">
        <v>85</v>
      </c>
      <c r="C167" s="31">
        <f>C165-(Inputs!G175+Inputs!G178+Inputs!G181+Inputs!G184)/(Inputs!G176+Inputs!G179+Inputs!G182+Inputs!G185)*100</f>
        <v>-1.0890735178703768</v>
      </c>
      <c r="D167" s="46">
        <f t="shared" si="4"/>
        <v>0.732564410400558</v>
      </c>
      <c r="E167" s="46" t="s">
        <v>74</v>
      </c>
      <c r="F167" s="46">
        <f t="shared" si="6"/>
        <v>0.25138630494508263</v>
      </c>
      <c r="G167" s="46">
        <f t="shared" si="4"/>
        <v>1.9229710388925483</v>
      </c>
      <c r="H167" s="47">
        <f t="shared" si="4"/>
        <v>-0.8004019283204222</v>
      </c>
      <c r="I167" s="1"/>
      <c r="J167" s="1"/>
      <c r="K167" s="1"/>
      <c r="L167" s="1"/>
    </row>
    <row r="168" ht="15" customHeight="1">
      <c r="A168" s="1"/>
      <c r="B168" s="30" t="s">
        <v>84</v>
      </c>
      <c r="C168" s="46">
        <f t="shared" si="11"/>
        <v>16.836990134000885</v>
      </c>
      <c r="D168" s="46">
        <f t="shared" si="11"/>
        <v>18.267701197935267</v>
      </c>
      <c r="E168" s="46">
        <f t="shared" si="11"/>
        <v>17.866996557309005</v>
      </c>
      <c r="F168" s="46">
        <f t="shared" si="11"/>
        <v>18.440463645943098</v>
      </c>
      <c r="G168" s="46">
        <f t="shared" si="11"/>
        <v>20.35813522692189</v>
      </c>
      <c r="H168" s="47">
        <f t="shared" si="11"/>
        <v>19.30017473752986</v>
      </c>
      <c r="I168" s="1"/>
      <c r="J168" s="1"/>
      <c r="K168" s="1"/>
      <c r="L168" s="1"/>
    </row>
    <row r="169" ht="15" customHeight="1">
      <c r="A169" s="1"/>
      <c r="B169" s="35" t="s">
        <v>72</v>
      </c>
      <c r="C169" s="90">
        <v>-0.063</v>
      </c>
      <c r="D169" s="90">
        <v>-0.006</v>
      </c>
      <c r="E169" s="41" t="s">
        <v>41</v>
      </c>
      <c r="F169" s="29">
        <f>F168/((Inputs!F175+Inputs!F178+Inputs!F181+Inputs!F184)/(Inputs!F177+Inputs!F180+Inputs!F183+Inputs!F186)*100)-1</f>
        <v>0.023291996120215597</v>
      </c>
      <c r="G169" s="29">
        <f>G168/((Inputs!G175+Inputs!G178+Inputs!G181+Inputs!G184)/(Inputs!G177+Inputs!G180+Inputs!G183+Inputs!G186)*100)-1</f>
        <v>0.10361619257459553</v>
      </c>
      <c r="H169" s="36">
        <f t="shared" si="18"/>
        <v>0.14629601751412702</v>
      </c>
      <c r="I169" s="1"/>
      <c r="J169" s="1"/>
      <c r="K169" s="1"/>
      <c r="L169" s="1"/>
    </row>
    <row r="170" ht="15" customHeight="1">
      <c r="A170" s="1"/>
      <c r="B170" s="37" t="s">
        <v>85</v>
      </c>
      <c r="C170" s="31">
        <f>C168-(Inputs!G175+Inputs!G178+Inputs!G181+Inputs!G184)/(Inputs!G177+Inputs!G180+Inputs!G183+Inputs!G186)*100</f>
        <v>-1.6097627896119526</v>
      </c>
      <c r="D170" s="46">
        <f t="shared" si="4"/>
        <v>1.4307110639343819</v>
      </c>
      <c r="E170" s="46" t="s">
        <v>74</v>
      </c>
      <c r="F170" s="46">
        <f t="shared" si="6"/>
        <v>0.17276244800783047</v>
      </c>
      <c r="G170" s="46">
        <f t="shared" si="4"/>
        <v>1.9176715809787908</v>
      </c>
      <c r="H170" s="47">
        <f t="shared" si="4"/>
        <v>-1.057960489392027</v>
      </c>
      <c r="I170" s="1"/>
      <c r="J170" s="1"/>
      <c r="K170" s="1"/>
      <c r="L170" s="1"/>
    </row>
    <row r="171" ht="15" customHeight="1">
      <c r="A171" s="1"/>
      <c r="B171" s="3" t="s">
        <v>420</v>
      </c>
      <c r="C171" s="1"/>
      <c r="D171" s="1"/>
      <c r="E171" s="1"/>
      <c r="F171" s="1"/>
      <c r="G171" s="1"/>
      <c r="H171" s="32"/>
      <c r="I171" s="1"/>
      <c r="J171" s="1"/>
      <c r="K171" s="1"/>
      <c r="L171" s="1"/>
    </row>
    <row r="172" ht="15" customHeight="1">
      <c r="A172" s="1"/>
      <c r="B172" s="3" t="s">
        <v>421</v>
      </c>
      <c r="C172" s="56">
        <f t="shared" si="28" ref="C172:H182">C11+C149</f>
        <v>13816</v>
      </c>
      <c r="D172" s="56">
        <f t="shared" si="28"/>
        <v>13928</v>
      </c>
      <c r="E172" s="56">
        <f t="shared" si="28"/>
        <v>53440</v>
      </c>
      <c r="F172" s="56">
        <f t="shared" si="28"/>
        <v>13165</v>
      </c>
      <c r="G172" s="56">
        <f t="shared" si="28"/>
        <v>16100</v>
      </c>
      <c r="H172" s="57">
        <f t="shared" si="28"/>
        <v>16298.293275</v>
      </c>
      <c r="I172" s="1"/>
      <c r="J172" s="1"/>
      <c r="K172" s="1"/>
      <c r="L172" s="1"/>
    </row>
    <row r="173" ht="15" customHeight="1">
      <c r="A173" s="1"/>
      <c r="B173" s="35" t="s">
        <v>134</v>
      </c>
      <c r="C173" s="29">
        <f>'Revenue summary'!C102</f>
        <v>0.01873018213996014</v>
      </c>
      <c r="D173" s="29">
        <f>'Revenue summary'!D102</f>
        <v>0.04903954802259891</v>
      </c>
      <c r="E173" s="29">
        <f>'Revenue summary'!E102</f>
        <v>0.031044395994520357</v>
      </c>
      <c r="F173" s="29">
        <f>'Revenue summary'!F102</f>
        <v>0.11011804384485657</v>
      </c>
      <c r="G173" s="29">
        <f>'Revenue summary'!G102</f>
        <v>0.16363110725643248</v>
      </c>
      <c r="H173" s="93">
        <f>'Revenue summary'!H102</f>
        <v>0.17975340390879468</v>
      </c>
      <c r="I173" s="1"/>
      <c r="J173" s="1"/>
      <c r="K173" s="1"/>
      <c r="L173" s="1"/>
    </row>
    <row r="174" ht="15" customHeight="1">
      <c r="A174" s="1"/>
      <c r="B174" s="35" t="s">
        <v>135</v>
      </c>
      <c r="C174" s="29">
        <f>'Revenue summary'!C103</f>
        <v>-0.0015177797051171282</v>
      </c>
      <c r="D174" s="29">
        <f>'Revenue summary'!D103</f>
        <v>0.008034744842562391</v>
      </c>
      <c r="E174" s="29" t="str">
        <f>'Revenue summary'!E103</f>
        <v>n.m.</v>
      </c>
      <c r="F174" s="29">
        <f>'Revenue summary'!F103</f>
        <v>-0.05457417779692664</v>
      </c>
      <c r="G174" s="29">
        <f>'Revenue summary'!G103</f>
        <v>0.22284672641652747</v>
      </c>
      <c r="H174" s="93">
        <f>'Revenue summary'!H103</f>
        <v>0.012316352484472048</v>
      </c>
      <c r="I174" s="1"/>
      <c r="J174" s="1"/>
      <c r="K174" s="1"/>
      <c r="L174" s="1"/>
    </row>
    <row r="175" ht="15" customHeight="1">
      <c r="A175" s="1"/>
      <c r="B175" s="35" t="s">
        <v>398</v>
      </c>
      <c r="C175" s="41">
        <f t="shared" si="29" ref="C175:H175">C172/C172</f>
        <v>1</v>
      </c>
      <c r="D175" s="41">
        <f t="shared" si="29"/>
        <v>1</v>
      </c>
      <c r="E175" s="41">
        <f t="shared" si="29"/>
        <v>1</v>
      </c>
      <c r="F175" s="41">
        <f t="shared" si="29"/>
        <v>1</v>
      </c>
      <c r="G175" s="41">
        <f t="shared" si="29"/>
        <v>1</v>
      </c>
      <c r="H175" s="36">
        <f t="shared" si="29"/>
        <v>1</v>
      </c>
      <c r="I175" s="1"/>
      <c r="J175" s="1"/>
      <c r="K175" s="1"/>
      <c r="L175" s="1"/>
    </row>
    <row r="176" ht="25.5" customHeight="1">
      <c r="A176" s="1"/>
      <c r="B176" s="37" t="s">
        <v>137</v>
      </c>
      <c r="C176" s="62" t="s">
        <v>138</v>
      </c>
      <c r="D176" s="62" t="s">
        <v>138</v>
      </c>
      <c r="E176" s="62" t="s">
        <v>138</v>
      </c>
      <c r="F176" s="62" t="s">
        <v>138</v>
      </c>
      <c r="G176" s="62" t="s">
        <v>138</v>
      </c>
      <c r="H176" s="63" t="s">
        <v>138</v>
      </c>
      <c r="I176" s="18" t="s">
        <v>139</v>
      </c>
      <c r="J176" s="1"/>
      <c r="K176" s="1"/>
      <c r="L176" s="1"/>
    </row>
    <row r="177" ht="15" customHeight="1">
      <c r="A177" s="1"/>
      <c r="B177" s="37" t="s">
        <v>140</v>
      </c>
      <c r="C177" s="62" t="s">
        <v>138</v>
      </c>
      <c r="D177" s="62" t="s">
        <v>138</v>
      </c>
      <c r="E177" s="62" t="s">
        <v>138</v>
      </c>
      <c r="F177" s="62" t="s">
        <v>138</v>
      </c>
      <c r="G177" s="62" t="s">
        <v>138</v>
      </c>
      <c r="H177" s="63" t="s">
        <v>138</v>
      </c>
      <c r="I177" s="1"/>
      <c r="J177" s="1"/>
      <c r="K177" s="1"/>
      <c r="L177" s="1"/>
    </row>
    <row r="178" ht="15" customHeight="1">
      <c r="A178" s="1"/>
      <c r="B178" s="37" t="s">
        <v>141</v>
      </c>
      <c r="C178" s="62" t="s">
        <v>138</v>
      </c>
      <c r="D178" s="62" t="s">
        <v>138</v>
      </c>
      <c r="E178" s="62" t="s">
        <v>138</v>
      </c>
      <c r="F178" s="62" t="s">
        <v>138</v>
      </c>
      <c r="G178" s="62" t="s">
        <v>138</v>
      </c>
      <c r="H178" s="63" t="s">
        <v>138</v>
      </c>
      <c r="I178" s="1"/>
      <c r="J178" s="1"/>
      <c r="K178" s="1"/>
      <c r="L178" s="1"/>
    </row>
    <row r="179" ht="15" customHeight="1">
      <c r="A179" s="1"/>
      <c r="B179" s="49" t="s">
        <v>399</v>
      </c>
      <c r="C179" s="51">
        <f t="shared" si="28"/>
        <v>87417</v>
      </c>
      <c r="D179" s="51">
        <f t="shared" si="28"/>
        <v>83365</v>
      </c>
      <c r="E179" s="51">
        <f t="shared" si="28"/>
        <v>330285</v>
      </c>
      <c r="F179" s="51">
        <f t="shared" si="28"/>
        <v>77697</v>
      </c>
      <c r="G179" s="51">
        <f t="shared" si="28"/>
        <v>87279</v>
      </c>
      <c r="H179" s="52">
        <f t="shared" si="28"/>
        <v>88664.06</v>
      </c>
      <c r="I179" s="1"/>
      <c r="J179" s="1"/>
      <c r="K179" s="1"/>
      <c r="L179" s="1"/>
    </row>
    <row r="180" ht="15" customHeight="1">
      <c r="A180" s="1"/>
      <c r="B180" s="35" t="s">
        <v>72</v>
      </c>
      <c r="C180" s="29">
        <f>'Revenue summary'!C12</f>
        <v>0.07206190750665309</v>
      </c>
      <c r="D180" s="29">
        <f>'Revenue summary'!D12</f>
        <v>0.06471429666147288</v>
      </c>
      <c r="E180" s="29">
        <f>'Revenue summary'!E12</f>
        <v>0.06137506627890166</v>
      </c>
      <c r="F180" s="29">
        <f>'Revenue summary'!F12</f>
        <v>0.033836737409354</v>
      </c>
      <c r="G180" s="29">
        <f>'Revenue summary'!G12</f>
        <v>0.034761165186669274</v>
      </c>
      <c r="H180" s="93">
        <f>'Revenue summary'!H12</f>
        <v>0.014265646270176235</v>
      </c>
      <c r="I180" s="1"/>
      <c r="J180" s="1"/>
      <c r="K180" s="1"/>
      <c r="L180" s="1"/>
    </row>
    <row r="181" ht="15" customHeight="1">
      <c r="A181" s="1"/>
      <c r="B181" s="37" t="s">
        <v>73</v>
      </c>
      <c r="C181" s="38">
        <f>C179-(Inputs!G173+Inputs!G176+Inputs!G179+Inputs!G182+Inputs!G185)</f>
        <v>3070</v>
      </c>
      <c r="D181" s="39">
        <f t="shared" si="4"/>
        <v>-4052</v>
      </c>
      <c r="E181" s="39" t="s">
        <v>74</v>
      </c>
      <c r="F181" s="39">
        <f t="shared" si="6"/>
        <v>-5668</v>
      </c>
      <c r="G181" s="39">
        <f t="shared" si="4"/>
        <v>9582</v>
      </c>
      <c r="H181" s="40">
        <f t="shared" si="4"/>
        <v>1385.0599999999977</v>
      </c>
      <c r="I181" s="1"/>
      <c r="J181" s="1"/>
      <c r="K181" s="1"/>
      <c r="L181" s="1"/>
    </row>
    <row r="182" ht="15" customHeight="1">
      <c r="A182" s="1"/>
      <c r="B182" s="49" t="s">
        <v>401</v>
      </c>
      <c r="C182" s="51">
        <f t="shared" si="28"/>
        <v>73770</v>
      </c>
      <c r="D182" s="51">
        <f t="shared" si="28"/>
        <v>68245</v>
      </c>
      <c r="E182" s="51">
        <f t="shared" si="28"/>
        <v>271619</v>
      </c>
      <c r="F182" s="51">
        <f t="shared" si="28"/>
        <v>63385</v>
      </c>
      <c r="G182" s="51">
        <f t="shared" si="28"/>
        <v>72765</v>
      </c>
      <c r="H182" s="52">
        <f t="shared" si="28"/>
        <v>74965.79369999998</v>
      </c>
      <c r="I182" s="1"/>
      <c r="J182" s="1"/>
      <c r="K182" s="1"/>
      <c r="L182" s="1"/>
    </row>
    <row r="183" ht="15" customHeight="1">
      <c r="A183" s="1"/>
      <c r="B183" s="35" t="s">
        <v>72</v>
      </c>
      <c r="C183" s="29">
        <f>'Revenue summary'!C15</f>
        <v>0.060676645242922156</v>
      </c>
      <c r="D183" s="29">
        <f>'Revenue summary'!D15</f>
        <v>0.05868482695499755</v>
      </c>
      <c r="E183" s="29">
        <f>'Revenue summary'!E15</f>
        <v>0.05073828930418611</v>
      </c>
      <c r="F183" s="29">
        <f>'Revenue summary'!F15</f>
        <v>0.06498983483710541</v>
      </c>
      <c r="G183" s="29">
        <f>'Revenue summary'!G15</f>
        <v>0.03819484077160151</v>
      </c>
      <c r="H183" s="93">
        <f>'Revenue summary'!H15</f>
        <v>0.016223531564749205</v>
      </c>
      <c r="I183" s="1"/>
      <c r="J183" s="1"/>
      <c r="K183" s="1"/>
      <c r="L183" s="1"/>
    </row>
    <row r="184" ht="15" customHeight="1">
      <c r="A184" s="1"/>
      <c r="B184" s="37" t="s">
        <v>73</v>
      </c>
      <c r="C184" s="38">
        <f>C182-(Inputs!G174+Inputs!G177+Inputs!G180+Inputs!G183+Inputs!G186)</f>
        <v>3682</v>
      </c>
      <c r="D184" s="39">
        <f t="shared" si="4"/>
        <v>-5525</v>
      </c>
      <c r="E184" s="39" t="s">
        <v>74</v>
      </c>
      <c r="F184" s="39">
        <f t="shared" si="6"/>
        <v>-4860</v>
      </c>
      <c r="G184" s="39">
        <f t="shared" si="4"/>
        <v>9380</v>
      </c>
      <c r="H184" s="40">
        <f t="shared" si="4"/>
        <v>2200.79369999998</v>
      </c>
      <c r="I184" s="1"/>
      <c r="J184" s="1"/>
      <c r="K184" s="1"/>
      <c r="L184" s="1"/>
    </row>
    <row r="185" ht="15" customHeight="1">
      <c r="A185" s="1"/>
      <c r="B185" s="28" t="s">
        <v>402</v>
      </c>
      <c r="C185" s="41">
        <f t="shared" si="7"/>
        <v>0.8438862006245925</v>
      </c>
      <c r="D185" s="41">
        <f t="shared" si="7"/>
        <v>0.8186289210100162</v>
      </c>
      <c r="E185" s="41">
        <f t="shared" si="7"/>
        <v>0.8223776435502672</v>
      </c>
      <c r="F185" s="41">
        <f t="shared" si="7"/>
        <v>0.8157972637296164</v>
      </c>
      <c r="G185" s="41">
        <f t="shared" si="7"/>
        <v>0.8337057024026399</v>
      </c>
      <c r="H185" s="36">
        <f t="shared" si="7"/>
        <v>0.845503732854101</v>
      </c>
      <c r="I185" s="1"/>
      <c r="J185" s="1"/>
      <c r="K185" s="1"/>
      <c r="L185" s="1"/>
    </row>
    <row r="186" ht="15" customHeight="1">
      <c r="A186" s="1"/>
      <c r="B186" s="35" t="s">
        <v>77</v>
      </c>
      <c r="C186" s="42">
        <f>'Revenue summary'!C18</f>
        <v>-90.58119189405022</v>
      </c>
      <c r="D186" s="42">
        <f>'Revenue summary'!D18</f>
        <v>-46.62360771169216</v>
      </c>
      <c r="E186" s="42">
        <f>'Revenue summary'!E18</f>
        <v>-83.25074052315307</v>
      </c>
      <c r="F186" s="42">
        <f>'Revenue summary'!F18</f>
        <v>238.634057454179</v>
      </c>
      <c r="G186" s="42">
        <f>'Revenue summary'!G18</f>
        <v>27.573580631850003</v>
      </c>
      <c r="H186" s="94">
        <f>'Revenue summary'!H18</f>
        <v>16.289716520464516</v>
      </c>
      <c r="I186" s="1"/>
      <c r="J186" s="1"/>
      <c r="K186" s="1"/>
      <c r="L186" s="1"/>
    </row>
    <row r="187" ht="15" customHeight="1">
      <c r="A187" s="1"/>
      <c r="B187" s="35" t="s">
        <v>78</v>
      </c>
      <c r="C187" s="42">
        <f>'Revenue summary'!C19</f>
        <v>129.26416862599655</v>
      </c>
      <c r="D187" s="42">
        <f>'Revenue summary'!D19</f>
        <v>-252.33844750306213</v>
      </c>
      <c r="E187" s="42" t="str">
        <f>'Revenue summary'!E19</f>
        <v>n.a.</v>
      </c>
      <c r="F187" s="42">
        <f>'Revenue summary'!F19</f>
        <v>-28.54152313675251</v>
      </c>
      <c r="G187" s="42">
        <f>'Revenue summary'!G19</f>
        <v>179.18938264566808</v>
      </c>
      <c r="H187" s="94">
        <f>'Revenue summary'!H19</f>
        <v>117.98030451461105</v>
      </c>
      <c r="I187" s="1"/>
      <c r="J187" s="1"/>
      <c r="K187" s="1"/>
      <c r="L187" s="1"/>
    </row>
    <row r="188" ht="15" customHeight="1">
      <c r="A188" s="1"/>
      <c r="B188" s="30" t="s">
        <v>86</v>
      </c>
      <c r="C188" s="46">
        <f t="shared" si="9"/>
        <v>15.804706178432113</v>
      </c>
      <c r="D188" s="46">
        <f t="shared" si="9"/>
        <v>16.70725124452708</v>
      </c>
      <c r="E188" s="46">
        <f t="shared" si="9"/>
        <v>16.179965787123244</v>
      </c>
      <c r="F188" s="46">
        <f t="shared" si="9"/>
        <v>16.944026152875917</v>
      </c>
      <c r="G188" s="46">
        <f t="shared" si="9"/>
        <v>18.446590817951627</v>
      </c>
      <c r="H188" s="47">
        <f t="shared" si="9"/>
        <v>18.382074174135496</v>
      </c>
      <c r="I188" s="1"/>
      <c r="J188" s="1"/>
      <c r="K188" s="1"/>
      <c r="L188" s="1"/>
    </row>
    <row r="189" ht="15" customHeight="1">
      <c r="A189" s="1"/>
      <c r="B189" s="35" t="s">
        <v>72</v>
      </c>
      <c r="C189" s="29">
        <f>'Revenue summary'!C30</f>
        <v>-0.049746870953310096</v>
      </c>
      <c r="D189" s="29">
        <f>'Revenue summary'!D30</f>
        <v>-0.014722023258280315</v>
      </c>
      <c r="E189" s="29">
        <f>'Revenue summary'!E30</f>
        <v>-0.028576769181810846</v>
      </c>
      <c r="F189" s="29">
        <f>'Revenue summary'!F30</f>
        <v>0.07378467380318932</v>
      </c>
      <c r="G189" s="29">
        <f>'Revenue summary'!G30</f>
        <v>0.12454076013426274</v>
      </c>
      <c r="H189" s="93">
        <f>'Revenue summary'!H30</f>
        <v>0.1631601723347107</v>
      </c>
      <c r="I189" s="1"/>
      <c r="J189" s="1"/>
      <c r="K189" s="1"/>
      <c r="L189" s="1"/>
    </row>
    <row r="190" ht="15" customHeight="1">
      <c r="A190" s="1"/>
      <c r="B190" s="37" t="s">
        <v>85</v>
      </c>
      <c r="C190" s="31">
        <f>C188-(Inputs!G172+Inputs!G175+Inputs!G178+Inputs!G181+Inputs!G184)/(Inputs!G173+Inputs!G176+Inputs!G179+Inputs!G182+Inputs!G185)*100</f>
        <v>-0.5989596306660161</v>
      </c>
      <c r="D190" s="46">
        <f t="shared" si="4"/>
        <v>0.9025450660949659</v>
      </c>
      <c r="E190" s="46" t="s">
        <v>74</v>
      </c>
      <c r="F190" s="46">
        <f t="shared" si="6"/>
        <v>0.2367749083488384</v>
      </c>
      <c r="G190" s="46">
        <f t="shared" si="4"/>
        <v>1.5025646650757096</v>
      </c>
      <c r="H190" s="47">
        <f t="shared" si="4"/>
        <v>-0.06451664381613043</v>
      </c>
      <c r="I190" s="1"/>
      <c r="J190" s="1"/>
      <c r="K190" s="1"/>
      <c r="L190" s="1"/>
    </row>
    <row r="191" ht="15" customHeight="1">
      <c r="A191" s="1"/>
      <c r="B191" s="30" t="s">
        <v>84</v>
      </c>
      <c r="C191" s="46">
        <f t="shared" si="11"/>
        <v>18.728480412091635</v>
      </c>
      <c r="D191" s="46">
        <f t="shared" si="11"/>
        <v>20.408821159059272</v>
      </c>
      <c r="E191" s="46">
        <f t="shared" si="11"/>
        <v>19.674617755017138</v>
      </c>
      <c r="F191" s="46">
        <f t="shared" si="11"/>
        <v>20.76989824090873</v>
      </c>
      <c r="G191" s="46">
        <f t="shared" si="11"/>
        <v>22.12602212602213</v>
      </c>
      <c r="H191" s="47">
        <f t="shared" si="11"/>
        <v>21.740973410116784</v>
      </c>
      <c r="I191" s="1"/>
      <c r="J191" s="1"/>
      <c r="K191" s="1"/>
      <c r="L191" s="1"/>
    </row>
    <row r="192" ht="15" customHeight="1">
      <c r="A192" s="1"/>
      <c r="B192" s="35" t="s">
        <v>72</v>
      </c>
      <c r="C192" s="29">
        <f>'Revenue summary'!C27</f>
        <v>-0.03954689046005666</v>
      </c>
      <c r="D192" s="29">
        <f>'Revenue summary'!D27</f>
        <v>-0.00911062356503245</v>
      </c>
      <c r="E192" s="29">
        <f>'Revenue summary'!E27</f>
        <v>-0.018742910113904054</v>
      </c>
      <c r="F192" s="29">
        <f>'Revenue summary'!F27</f>
        <v>0.04237430962395394</v>
      </c>
      <c r="G192" s="29">
        <f>'Revenue summary'!G27</f>
        <v>0.12082150821670945</v>
      </c>
      <c r="H192" s="93">
        <f>'Revenue summary'!H27</f>
        <v>0.16091919470930516</v>
      </c>
      <c r="I192" s="1"/>
      <c r="J192" s="1"/>
      <c r="K192" s="1"/>
      <c r="L192" s="1"/>
    </row>
    <row r="193" ht="15" customHeight="1">
      <c r="A193" s="1"/>
      <c r="B193" s="37" t="s">
        <v>85</v>
      </c>
      <c r="C193" s="31">
        <f>C191-(Inputs!G172+Inputs!G175+Inputs!G178+Inputs!G181+Inputs!G184)/(Inputs!G174+Inputs!G177+Inputs!G180+Inputs!G183+Inputs!G186)*100</f>
        <v>-1.0124167457670552</v>
      </c>
      <c r="D193" s="46">
        <f t="shared" si="4"/>
        <v>1.6803407469676372</v>
      </c>
      <c r="E193" s="46" t="s">
        <v>74</v>
      </c>
      <c r="F193" s="46">
        <f t="shared" si="6"/>
        <v>0.36107708184945864</v>
      </c>
      <c r="G193" s="46">
        <f t="shared" si="4"/>
        <v>1.3561238851133979</v>
      </c>
      <c r="H193" s="47">
        <f t="shared" si="4"/>
        <v>-0.38504871590534506</v>
      </c>
      <c r="I193" s="1"/>
      <c r="J193" s="1"/>
      <c r="K193" s="1"/>
      <c r="L193" s="1"/>
    </row>
    <row r="194" ht="15" customHeight="1">
      <c r="A194" s="1"/>
      <c r="B194" s="1" t="s">
        <v>422</v>
      </c>
      <c r="C194" s="25" t="b">
        <f>ABS(C172-'Revenue summary'!C101)&lt;=2</f>
        <v>1</v>
      </c>
      <c r="D194" s="25" t="b">
        <f>ABS(D172-'Revenue summary'!D101)&lt;=2</f>
        <v>1</v>
      </c>
      <c r="E194" s="25" t="b">
        <f>ABS(E172-'Revenue summary'!E101)&lt;=2</f>
        <v>1</v>
      </c>
      <c r="F194" s="25" t="b">
        <f>ABS(F172-'Revenue summary'!F101)&lt;=2</f>
        <v>1</v>
      </c>
      <c r="G194" s="25" t="b">
        <f>ABS(G172-'Revenue summary'!G101)&lt;=2</f>
        <v>1</v>
      </c>
      <c r="H194" s="61" t="b">
        <f>ABS(H172-'Revenue summary'!H101)&lt;=2</f>
        <v>1</v>
      </c>
      <c r="I194" s="22" t="s">
        <v>423</v>
      </c>
      <c r="J194" s="1"/>
      <c r="K194" s="1"/>
      <c r="L194" s="1"/>
    </row>
    <row r="195" ht="15" customHeight="1">
      <c r="A195" s="1"/>
      <c r="B195" s="1" t="s">
        <v>424</v>
      </c>
      <c r="C195" s="25" t="b">
        <f>ABS(C179-'Revenue summary'!C11)&lt;=2</f>
        <v>1</v>
      </c>
      <c r="D195" s="25" t="b">
        <f>ABS(D179-'Revenue summary'!D11)&lt;=2</f>
        <v>1</v>
      </c>
      <c r="E195" s="25" t="b">
        <f>ABS(E179-'Revenue summary'!E11)&lt;=2</f>
        <v>1</v>
      </c>
      <c r="F195" s="25" t="b">
        <f>ABS(F179-'Revenue summary'!F11)&lt;=2</f>
        <v>1</v>
      </c>
      <c r="G195" s="25" t="b">
        <f>ABS(G179-'Revenue summary'!G11)&lt;=2</f>
        <v>1</v>
      </c>
      <c r="H195" s="61" t="b">
        <f>ABS(H179-'Revenue summary'!H11)&lt;=2</f>
        <v>1</v>
      </c>
      <c r="I195" s="22" t="s">
        <v>425</v>
      </c>
      <c r="J195" s="1"/>
      <c r="K195" s="1"/>
      <c r="L195" s="1"/>
    </row>
    <row r="196" ht="15" customHeight="1">
      <c r="A196" s="1"/>
      <c r="B196" s="1"/>
      <c r="C196" s="1"/>
      <c r="D196" s="1"/>
      <c r="E196" s="1"/>
      <c r="F196" s="1"/>
      <c r="G196" s="1"/>
      <c r="H196" s="32"/>
      <c r="I196" s="1"/>
      <c r="J196" s="1"/>
      <c r="K196" s="1"/>
      <c r="L196" s="1"/>
    </row>
    <row r="197" ht="15" customHeight="1">
      <c r="A197" s="1"/>
      <c r="B197" s="3" t="s">
        <v>426</v>
      </c>
      <c r="C197" s="1"/>
      <c r="D197" s="1"/>
      <c r="E197" s="1"/>
      <c r="F197" s="1"/>
      <c r="G197" s="1"/>
      <c r="H197" s="32"/>
      <c r="I197" s="1"/>
      <c r="J197" s="1"/>
      <c r="K197" s="1"/>
      <c r="L197" s="1"/>
    </row>
    <row r="198" ht="15" customHeight="1">
      <c r="A198" s="1"/>
      <c r="B198" s="1" t="s">
        <v>427</v>
      </c>
      <c r="C198" s="54">
        <v>8990</v>
      </c>
      <c r="D198" s="15">
        <f>E198-Inputs!D205</f>
        <v>9209</v>
      </c>
      <c r="E198" s="54">
        <v>35017</v>
      </c>
      <c r="F198" s="54">
        <v>8848</v>
      </c>
      <c r="G198" s="54">
        <v>10476</v>
      </c>
      <c r="H198" s="53">
        <f>H11+H230*H237</f>
        <v>10876.63094682399</v>
      </c>
      <c r="I198" s="1"/>
      <c r="J198" s="1"/>
      <c r="K198" s="1"/>
      <c r="L198" s="1"/>
    </row>
    <row r="199" ht="15" customHeight="1">
      <c r="A199" s="1"/>
      <c r="B199" s="35" t="s">
        <v>134</v>
      </c>
      <c r="C199" s="29">
        <f>C198/Inputs!C168-1</f>
        <v>0.03954671600370019</v>
      </c>
      <c r="D199" s="29">
        <f>D198/Inputs!D168-1</f>
        <v>0.02493043962159147</v>
      </c>
      <c r="E199" s="29">
        <f>E198/Inputs!E168-1</f>
        <v>0.02788622420524267</v>
      </c>
      <c r="F199" s="29">
        <f>F198/Inputs!F168-1</f>
        <v>0.10131939258152856</v>
      </c>
      <c r="G199" s="29">
        <f>G198/Inputs!G168-1</f>
        <v>0.19262295081967218</v>
      </c>
      <c r="H199" s="36">
        <f t="shared" si="5"/>
        <v>0.20985883724404797</v>
      </c>
      <c r="I199" s="1"/>
      <c r="J199" s="1"/>
      <c r="K199" s="1"/>
      <c r="L199" s="1"/>
    </row>
    <row r="200" ht="15" customHeight="1">
      <c r="A200" s="1"/>
      <c r="B200" s="35" t="s">
        <v>135</v>
      </c>
      <c r="C200" s="29">
        <f>C198/Inputs!G168-1</f>
        <v>0.02345173041894344</v>
      </c>
      <c r="D200" s="41">
        <f t="shared" si="2"/>
        <v>0.024360400444938923</v>
      </c>
      <c r="E200" s="41" t="s">
        <v>74</v>
      </c>
      <c r="F200" s="41">
        <f t="shared" si="13"/>
        <v>-0.03920078184384845</v>
      </c>
      <c r="G200" s="41">
        <f t="shared" si="2"/>
        <v>0.1839963833634719</v>
      </c>
      <c r="H200" s="36">
        <f t="shared" si="2"/>
        <v>0.03824274024665808</v>
      </c>
      <c r="I200" s="1"/>
      <c r="J200" s="1"/>
      <c r="K200" s="1"/>
      <c r="L200" s="1"/>
    </row>
    <row r="201" ht="15" customHeight="1">
      <c r="A201" s="1"/>
      <c r="B201" s="35" t="s">
        <v>136</v>
      </c>
      <c r="C201" s="41">
        <f t="shared" si="30" ref="C201:H201">C198/C226</f>
        <v>0.5904761904761905</v>
      </c>
      <c r="D201" s="41">
        <f t="shared" si="30"/>
        <v>0.5980646837251591</v>
      </c>
      <c r="E201" s="41">
        <f t="shared" si="30"/>
        <v>0.5928051464364313</v>
      </c>
      <c r="F201" s="41">
        <f t="shared" si="30"/>
        <v>0.6056540488739818</v>
      </c>
      <c r="G201" s="41">
        <f t="shared" si="30"/>
        <v>0.5928021729289271</v>
      </c>
      <c r="H201" s="36">
        <f t="shared" si="30"/>
        <v>0.6074266694223966</v>
      </c>
      <c r="I201" s="1"/>
      <c r="J201" s="1"/>
      <c r="K201" s="1"/>
      <c r="L201" s="1"/>
    </row>
    <row r="202" ht="25.5" customHeight="1">
      <c r="A202" s="1"/>
      <c r="B202" s="37" t="s">
        <v>137</v>
      </c>
      <c r="C202" s="62" t="s">
        <v>138</v>
      </c>
      <c r="D202" s="62" t="s">
        <v>138</v>
      </c>
      <c r="E202" s="62" t="s">
        <v>138</v>
      </c>
      <c r="F202" s="62" t="s">
        <v>138</v>
      </c>
      <c r="G202" s="62" t="s">
        <v>138</v>
      </c>
      <c r="H202" s="63" t="s">
        <v>138</v>
      </c>
      <c r="I202" s="18" t="s">
        <v>139</v>
      </c>
      <c r="J202" s="1"/>
      <c r="K202" s="1"/>
      <c r="L202" s="1"/>
    </row>
    <row r="203" ht="15" customHeight="1">
      <c r="A203" s="1"/>
      <c r="B203" s="37" t="s">
        <v>140</v>
      </c>
      <c r="C203" s="62" t="s">
        <v>138</v>
      </c>
      <c r="D203" s="62" t="s">
        <v>138</v>
      </c>
      <c r="E203" s="62" t="s">
        <v>138</v>
      </c>
      <c r="F203" s="62" t="s">
        <v>138</v>
      </c>
      <c r="G203" s="62" t="s">
        <v>138</v>
      </c>
      <c r="H203" s="63" t="s">
        <v>138</v>
      </c>
      <c r="I203" s="1"/>
      <c r="J203" s="1"/>
      <c r="K203" s="1"/>
      <c r="L203" s="1"/>
    </row>
    <row r="204" ht="15" customHeight="1">
      <c r="A204" s="1"/>
      <c r="B204" s="37" t="s">
        <v>141</v>
      </c>
      <c r="C204" s="62" t="s">
        <v>138</v>
      </c>
      <c r="D204" s="62" t="s">
        <v>138</v>
      </c>
      <c r="E204" s="62" t="s">
        <v>138</v>
      </c>
      <c r="F204" s="62" t="s">
        <v>138</v>
      </c>
      <c r="G204" s="62" t="s">
        <v>138</v>
      </c>
      <c r="H204" s="63" t="s">
        <v>138</v>
      </c>
      <c r="I204" s="1"/>
      <c r="J204" s="1"/>
      <c r="K204" s="1"/>
      <c r="L204" s="1"/>
    </row>
    <row r="205" ht="15" customHeight="1">
      <c r="A205" s="1"/>
      <c r="B205" s="1" t="s">
        <v>428</v>
      </c>
      <c r="C205" s="54">
        <v>3486</v>
      </c>
      <c r="D205" s="15">
        <f>E205-Inputs!D206</f>
        <v>2892</v>
      </c>
      <c r="E205" s="54">
        <v>11647</v>
      </c>
      <c r="F205" s="54">
        <v>2241</v>
      </c>
      <c r="G205" s="54">
        <v>3632</v>
      </c>
      <c r="H205" s="53">
        <f>H80+H232*H237</f>
        <v>3732.907510432931</v>
      </c>
      <c r="I205" s="1"/>
      <c r="J205" s="1"/>
      <c r="K205" s="1"/>
      <c r="L205" s="1"/>
    </row>
    <row r="206" ht="15" customHeight="1">
      <c r="A206" s="1"/>
      <c r="B206" s="35" t="s">
        <v>134</v>
      </c>
      <c r="C206" s="29">
        <f>C205/Inputs!C169-1</f>
        <v>0.01573426573426584</v>
      </c>
      <c r="D206" s="29">
        <f>D205/Inputs!D169-1</f>
        <v>0.1318982387475538</v>
      </c>
      <c r="E206" s="29">
        <f>E205/Inputs!E169-1</f>
        <v>0.04956294494007385</v>
      </c>
      <c r="F206" s="29">
        <f>F205/Inputs!F169-1</f>
        <v>0.1800947867298579</v>
      </c>
      <c r="G206" s="29">
        <f>G205/Inputs!G169-1</f>
        <v>0.07774480712166176</v>
      </c>
      <c r="H206" s="36">
        <f t="shared" si="5"/>
        <v>0.07082831624582075</v>
      </c>
      <c r="I206" s="1"/>
      <c r="J206" s="1"/>
      <c r="K206" s="1"/>
      <c r="L206" s="1"/>
    </row>
    <row r="207" ht="15" customHeight="1">
      <c r="A207" s="1"/>
      <c r="B207" s="35" t="s">
        <v>135</v>
      </c>
      <c r="C207" s="29">
        <f>C205/Inputs!G169-1</f>
        <v>0.03442136498516324</v>
      </c>
      <c r="D207" s="41">
        <f t="shared" si="2"/>
        <v>-0.17039586919104988</v>
      </c>
      <c r="E207" s="41" t="s">
        <v>74</v>
      </c>
      <c r="F207" s="41">
        <f t="shared" si="13"/>
        <v>-0.225103734439834</v>
      </c>
      <c r="G207" s="41">
        <f t="shared" si="2"/>
        <v>0.6207050423917895</v>
      </c>
      <c r="H207" s="36">
        <f t="shared" si="2"/>
        <v>0.027782904854881885</v>
      </c>
      <c r="I207" s="1"/>
      <c r="J207" s="1"/>
      <c r="K207" s="1"/>
      <c r="L207" s="1"/>
    </row>
    <row r="208" ht="15" customHeight="1">
      <c r="A208" s="1"/>
      <c r="B208" s="35" t="s">
        <v>136</v>
      </c>
      <c r="C208" s="41">
        <f t="shared" si="31" ref="C208:H208">C205/C226</f>
        <v>0.2289655172413793</v>
      </c>
      <c r="D208" s="41">
        <f t="shared" si="31"/>
        <v>0.1878165995583842</v>
      </c>
      <c r="E208" s="41">
        <f t="shared" si="31"/>
        <v>0.19717284577619773</v>
      </c>
      <c r="F208" s="41">
        <f t="shared" si="31"/>
        <v>0.15339858991032926</v>
      </c>
      <c r="G208" s="41">
        <f t="shared" si="31"/>
        <v>0.20552286102308737</v>
      </c>
      <c r="H208" s="36">
        <f t="shared" si="31"/>
        <v>0.20847150072571258</v>
      </c>
      <c r="I208" s="1"/>
      <c r="J208" s="1"/>
      <c r="K208" s="1"/>
      <c r="L208" s="1"/>
    </row>
    <row r="209" ht="25.5" customHeight="1">
      <c r="A209" s="1"/>
      <c r="B209" s="37" t="s">
        <v>137</v>
      </c>
      <c r="C209" s="62" t="s">
        <v>138</v>
      </c>
      <c r="D209" s="62" t="s">
        <v>138</v>
      </c>
      <c r="E209" s="62" t="s">
        <v>138</v>
      </c>
      <c r="F209" s="62" t="s">
        <v>138</v>
      </c>
      <c r="G209" s="62" t="s">
        <v>138</v>
      </c>
      <c r="H209" s="63" t="s">
        <v>138</v>
      </c>
      <c r="I209" s="18" t="s">
        <v>139</v>
      </c>
      <c r="J209" s="1"/>
      <c r="K209" s="1"/>
      <c r="L209" s="1"/>
    </row>
    <row r="210" ht="15" customHeight="1">
      <c r="A210" s="1"/>
      <c r="B210" s="37" t="s">
        <v>140</v>
      </c>
      <c r="C210" s="62" t="s">
        <v>138</v>
      </c>
      <c r="D210" s="62" t="s">
        <v>138</v>
      </c>
      <c r="E210" s="62" t="s">
        <v>138</v>
      </c>
      <c r="F210" s="62" t="s">
        <v>138</v>
      </c>
      <c r="G210" s="62" t="s">
        <v>138</v>
      </c>
      <c r="H210" s="63" t="s">
        <v>138</v>
      </c>
      <c r="I210" s="1"/>
      <c r="J210" s="1"/>
      <c r="K210" s="1"/>
      <c r="L210" s="1"/>
    </row>
    <row r="211" ht="15" customHeight="1">
      <c r="A211" s="1"/>
      <c r="B211" s="37" t="s">
        <v>141</v>
      </c>
      <c r="C211" s="62" t="s">
        <v>138</v>
      </c>
      <c r="D211" s="62" t="s">
        <v>138</v>
      </c>
      <c r="E211" s="62" t="s">
        <v>138</v>
      </c>
      <c r="F211" s="62" t="s">
        <v>138</v>
      </c>
      <c r="G211" s="62" t="s">
        <v>138</v>
      </c>
      <c r="H211" s="63" t="s">
        <v>138</v>
      </c>
      <c r="I211" s="1"/>
      <c r="J211" s="1"/>
      <c r="K211" s="1"/>
      <c r="L211" s="1"/>
    </row>
    <row r="212" ht="15" customHeight="1">
      <c r="A212" s="1"/>
      <c r="B212" s="1" t="s">
        <v>429</v>
      </c>
      <c r="C212" s="54">
        <v>1568</v>
      </c>
      <c r="D212" s="15">
        <f>E212-Inputs!D207</f>
        <v>1869</v>
      </c>
      <c r="E212" s="54">
        <v>6878</v>
      </c>
      <c r="F212" s="54">
        <v>1945</v>
      </c>
      <c r="G212" s="54">
        <v>2069</v>
      </c>
      <c r="H212" s="53">
        <f>H103+H234*H237</f>
        <v>1863.8505625266143</v>
      </c>
      <c r="I212" s="1"/>
      <c r="J212" s="1"/>
      <c r="K212" s="1"/>
      <c r="L212" s="1"/>
    </row>
    <row r="213" ht="15" customHeight="1">
      <c r="A213" s="1"/>
      <c r="B213" s="35" t="s">
        <v>134</v>
      </c>
      <c r="C213" s="29">
        <f>C212/Inputs!C170-1</f>
        <v>0.024167210973220055</v>
      </c>
      <c r="D213" s="29">
        <f>D212/Inputs!D170-1</f>
        <v>0.07352096496266514</v>
      </c>
      <c r="E213" s="29">
        <f>E212/Inputs!E170-1</f>
        <v>0.06437635406994735</v>
      </c>
      <c r="F213" s="29">
        <f>F212/Inputs!F170-1</f>
        <v>0.12950058072009285</v>
      </c>
      <c r="G213" s="29">
        <f>G212/Inputs!G170-1</f>
        <v>0.202906976744186</v>
      </c>
      <c r="H213" s="36">
        <f t="shared" si="5"/>
        <v>0.18868020569299393</v>
      </c>
      <c r="I213" s="1"/>
      <c r="J213" s="1"/>
      <c r="K213" s="1"/>
      <c r="L213" s="1"/>
    </row>
    <row r="214" ht="15" customHeight="1">
      <c r="A214" s="1"/>
      <c r="B214" s="35" t="s">
        <v>135</v>
      </c>
      <c r="C214" s="29">
        <f>C212/Inputs!G170-1</f>
        <v>-0.08837209302325577</v>
      </c>
      <c r="D214" s="41">
        <f t="shared" si="2"/>
        <v>0.1919642857142858</v>
      </c>
      <c r="E214" s="41" t="s">
        <v>74</v>
      </c>
      <c r="F214" s="41">
        <f t="shared" si="13"/>
        <v>0.04066345639379354</v>
      </c>
      <c r="G214" s="41">
        <f t="shared" si="2"/>
        <v>0.06375321336760931</v>
      </c>
      <c r="H214" s="36">
        <f t="shared" si="2"/>
        <v>-0.09915390888032172</v>
      </c>
      <c r="I214" s="1"/>
      <c r="J214" s="1"/>
      <c r="K214" s="1"/>
      <c r="L214" s="1"/>
    </row>
    <row r="215" ht="15" customHeight="1">
      <c r="A215" s="1"/>
      <c r="B215" s="35" t="s">
        <v>136</v>
      </c>
      <c r="C215" s="41">
        <f t="shared" si="32" ref="C215:H215">C212/C226</f>
        <v>0.10298850574712644</v>
      </c>
      <c r="D215" s="41">
        <f t="shared" si="32"/>
        <v>0.1213793999220678</v>
      </c>
      <c r="E215" s="41">
        <f t="shared" si="32"/>
        <v>0.1164381242593533</v>
      </c>
      <c r="F215" s="41">
        <f t="shared" si="32"/>
        <v>0.13313710726264633</v>
      </c>
      <c r="G215" s="41">
        <f t="shared" si="32"/>
        <v>0.117077863286555</v>
      </c>
      <c r="H215" s="36">
        <f t="shared" si="32"/>
        <v>0.10409036998972497</v>
      </c>
      <c r="I215" s="1"/>
      <c r="J215" s="1"/>
      <c r="K215" s="1"/>
      <c r="L215" s="1"/>
    </row>
    <row r="216" ht="25.5" customHeight="1">
      <c r="A216" s="1"/>
      <c r="B216" s="37" t="s">
        <v>137</v>
      </c>
      <c r="C216" s="62" t="s">
        <v>138</v>
      </c>
      <c r="D216" s="62" t="s">
        <v>138</v>
      </c>
      <c r="E216" s="62" t="s">
        <v>138</v>
      </c>
      <c r="F216" s="62" t="s">
        <v>138</v>
      </c>
      <c r="G216" s="62" t="s">
        <v>138</v>
      </c>
      <c r="H216" s="63" t="s">
        <v>138</v>
      </c>
      <c r="I216" s="18" t="s">
        <v>139</v>
      </c>
      <c r="J216" s="1"/>
      <c r="K216" s="1"/>
      <c r="L216" s="1"/>
    </row>
    <row r="217" ht="15" customHeight="1">
      <c r="A217" s="1"/>
      <c r="B217" s="37" t="s">
        <v>140</v>
      </c>
      <c r="C217" s="62" t="s">
        <v>138</v>
      </c>
      <c r="D217" s="62" t="s">
        <v>138</v>
      </c>
      <c r="E217" s="62" t="s">
        <v>138</v>
      </c>
      <c r="F217" s="62" t="s">
        <v>138</v>
      </c>
      <c r="G217" s="62" t="s">
        <v>138</v>
      </c>
      <c r="H217" s="63" t="s">
        <v>138</v>
      </c>
      <c r="I217" s="1"/>
      <c r="J217" s="1"/>
      <c r="K217" s="1"/>
      <c r="L217" s="1"/>
    </row>
    <row r="218" ht="15" customHeight="1">
      <c r="A218" s="1"/>
      <c r="B218" s="37" t="s">
        <v>141</v>
      </c>
      <c r="C218" s="62" t="s">
        <v>138</v>
      </c>
      <c r="D218" s="62" t="s">
        <v>138</v>
      </c>
      <c r="E218" s="62" t="s">
        <v>138</v>
      </c>
      <c r="F218" s="62" t="s">
        <v>138</v>
      </c>
      <c r="G218" s="62" t="s">
        <v>138</v>
      </c>
      <c r="H218" s="63" t="s">
        <v>138</v>
      </c>
      <c r="I218" s="1"/>
      <c r="J218" s="1"/>
      <c r="K218" s="1"/>
      <c r="L218" s="1"/>
    </row>
    <row r="219" ht="15" customHeight="1">
      <c r="A219" s="1"/>
      <c r="B219" s="1" t="s">
        <v>430</v>
      </c>
      <c r="C219" s="54">
        <v>1181</v>
      </c>
      <c r="D219" s="15">
        <f>E219-Inputs!D208</f>
        <v>1428</v>
      </c>
      <c r="E219" s="54">
        <v>5528</v>
      </c>
      <c r="F219" s="54">
        <v>1575</v>
      </c>
      <c r="G219" s="54">
        <v>1495</v>
      </c>
      <c r="H219" s="53">
        <f>H126+H236*H237</f>
        <v>1432.6916552164657</v>
      </c>
      <c r="I219" s="1"/>
      <c r="J219" s="1"/>
      <c r="K219" s="1"/>
      <c r="L219" s="1"/>
    </row>
    <row r="220" ht="15" customHeight="1">
      <c r="A220" s="1"/>
      <c r="B220" s="35" t="s">
        <v>134</v>
      </c>
      <c r="C220" s="29">
        <f>C219/Inputs!C171-1</f>
        <v>-0.04139610389610393</v>
      </c>
      <c r="D220" s="29">
        <f>D219/Inputs!D171-1</f>
        <v>0.00990099009900991</v>
      </c>
      <c r="E220" s="29">
        <f>E219/Inputs!E171-1</f>
        <v>0.016737171234136428</v>
      </c>
      <c r="F220" s="29">
        <f>F219/Inputs!F171-1</f>
        <v>0.011560693641618602</v>
      </c>
      <c r="G220" s="29">
        <f>G219/Inputs!G171-1</f>
        <v>0.0976505139500734</v>
      </c>
      <c r="H220" s="36">
        <f t="shared" si="5"/>
        <v>0.2131174049250344</v>
      </c>
      <c r="I220" s="1"/>
      <c r="J220" s="1"/>
      <c r="K220" s="1"/>
      <c r="L220" s="1"/>
    </row>
    <row r="221" ht="15" customHeight="1">
      <c r="A221" s="1"/>
      <c r="B221" s="35" t="s">
        <v>135</v>
      </c>
      <c r="C221" s="29">
        <f>C219/Inputs!G171-1</f>
        <v>-0.13289280469897213</v>
      </c>
      <c r="D221" s="41">
        <f t="shared" si="2"/>
        <v>0.20914479254868756</v>
      </c>
      <c r="E221" s="41" t="s">
        <v>74</v>
      </c>
      <c r="F221" s="41">
        <f t="shared" si="13"/>
        <v>0.10294117647058831</v>
      </c>
      <c r="G221" s="41">
        <f t="shared" si="2"/>
        <v>-0.050793650793650835</v>
      </c>
      <c r="H221" s="36">
        <f t="shared" si="2"/>
        <v>-0.041677822597681824</v>
      </c>
      <c r="I221" s="1"/>
      <c r="J221" s="1"/>
      <c r="K221" s="1"/>
      <c r="L221" s="1"/>
    </row>
    <row r="222" ht="15" customHeight="1">
      <c r="A222" s="1"/>
      <c r="B222" s="35" t="s">
        <v>136</v>
      </c>
      <c r="C222" s="41">
        <f t="shared" si="33" ref="C222:H222">C219/C226</f>
        <v>0.07756978653530378</v>
      </c>
      <c r="D222" s="41">
        <f t="shared" si="33"/>
        <v>0.09273931679438888</v>
      </c>
      <c r="E222" s="41">
        <f t="shared" si="33"/>
        <v>0.09358388352801761</v>
      </c>
      <c r="F222" s="41">
        <f t="shared" si="33"/>
        <v>0.10781025395304264</v>
      </c>
      <c r="G222" s="41">
        <f t="shared" si="33"/>
        <v>0.08459710276143051</v>
      </c>
      <c r="H222" s="36">
        <f t="shared" si="33"/>
        <v>0.08001145986216583</v>
      </c>
      <c r="I222" s="1"/>
      <c r="J222" s="1"/>
      <c r="K222" s="1"/>
      <c r="L222" s="1"/>
    </row>
    <row r="223" ht="25.5" customHeight="1">
      <c r="A223" s="1"/>
      <c r="B223" s="37" t="s">
        <v>137</v>
      </c>
      <c r="C223" s="62" t="s">
        <v>138</v>
      </c>
      <c r="D223" s="62" t="s">
        <v>138</v>
      </c>
      <c r="E223" s="62" t="s">
        <v>138</v>
      </c>
      <c r="F223" s="62" t="s">
        <v>138</v>
      </c>
      <c r="G223" s="62" t="s">
        <v>138</v>
      </c>
      <c r="H223" s="63" t="s">
        <v>138</v>
      </c>
      <c r="I223" s="18" t="s">
        <v>139</v>
      </c>
      <c r="J223" s="1"/>
      <c r="K223" s="1"/>
      <c r="L223" s="1"/>
    </row>
    <row r="224" ht="15" customHeight="1">
      <c r="A224" s="1"/>
      <c r="B224" s="37" t="s">
        <v>140</v>
      </c>
      <c r="C224" s="62" t="s">
        <v>138</v>
      </c>
      <c r="D224" s="62" t="s">
        <v>138</v>
      </c>
      <c r="E224" s="62" t="s">
        <v>138</v>
      </c>
      <c r="F224" s="62" t="s">
        <v>138</v>
      </c>
      <c r="G224" s="62" t="s">
        <v>138</v>
      </c>
      <c r="H224" s="63" t="s">
        <v>138</v>
      </c>
      <c r="I224" s="1"/>
      <c r="J224" s="1"/>
      <c r="K224" s="1"/>
      <c r="L224" s="1"/>
    </row>
    <row r="225" ht="15" customHeight="1">
      <c r="A225" s="1"/>
      <c r="B225" s="37" t="s">
        <v>141</v>
      </c>
      <c r="C225" s="62" t="s">
        <v>138</v>
      </c>
      <c r="D225" s="62" t="s">
        <v>138</v>
      </c>
      <c r="E225" s="62" t="s">
        <v>138</v>
      </c>
      <c r="F225" s="62" t="s">
        <v>138</v>
      </c>
      <c r="G225" s="62" t="s">
        <v>138</v>
      </c>
      <c r="H225" s="63" t="s">
        <v>138</v>
      </c>
      <c r="I225" s="1"/>
      <c r="J225" s="1"/>
      <c r="K225" s="1"/>
      <c r="L225" s="1"/>
    </row>
    <row r="226" ht="15" customHeight="1">
      <c r="A226" s="1"/>
      <c r="B226" s="3" t="s">
        <v>155</v>
      </c>
      <c r="C226" s="56">
        <f t="shared" si="34" ref="C226:H226">C198+C205+C212+C219</f>
        <v>15225</v>
      </c>
      <c r="D226" s="56">
        <f t="shared" si="34"/>
        <v>15398</v>
      </c>
      <c r="E226" s="56">
        <f t="shared" si="34"/>
        <v>59070</v>
      </c>
      <c r="F226" s="56">
        <f t="shared" si="34"/>
        <v>14609</v>
      </c>
      <c r="G226" s="56">
        <f t="shared" si="34"/>
        <v>17672</v>
      </c>
      <c r="H226" s="57">
        <f t="shared" si="34"/>
        <v>17906.080675</v>
      </c>
      <c r="I226" s="1"/>
      <c r="J226" s="1"/>
      <c r="K226" s="1"/>
      <c r="L226" s="1"/>
    </row>
    <row r="227" ht="15" customHeight="1">
      <c r="A227" s="1"/>
      <c r="B227" s="1" t="s">
        <v>431</v>
      </c>
      <c r="C227" s="25" t="b">
        <f>ABS(C226-'Revenue summary'!C136)&lt;=2</f>
        <v>1</v>
      </c>
      <c r="D227" s="25" t="b">
        <f>ABS(D226-'Revenue summary'!D136)&lt;=2</f>
        <v>1</v>
      </c>
      <c r="E227" s="25" t="b">
        <f>ABS(E226-'Revenue summary'!E136)&lt;=2</f>
        <v>1</v>
      </c>
      <c r="F227" s="25" t="b">
        <f>ABS(F226-'Revenue summary'!F136)&lt;=2</f>
        <v>1</v>
      </c>
      <c r="G227" s="25" t="b">
        <f>ABS(G226-'Revenue summary'!G136)&lt;=2</f>
        <v>1</v>
      </c>
      <c r="H227" s="61" t="b">
        <f>ABS(H226-'Revenue summary'!H136)&lt;=2</f>
        <v>1</v>
      </c>
      <c r="I227" s="22" t="s">
        <v>432</v>
      </c>
      <c r="J227" s="1"/>
      <c r="K227" s="1"/>
      <c r="L227" s="1"/>
    </row>
    <row r="228" ht="15" customHeight="1">
      <c r="A228" s="1"/>
      <c r="B228" s="3" t="s">
        <v>433</v>
      </c>
      <c r="C228" s="1"/>
      <c r="D228" s="1"/>
      <c r="E228" s="1"/>
      <c r="F228" s="1"/>
      <c r="G228" s="1"/>
      <c r="H228" s="32"/>
      <c r="I228" s="1"/>
      <c r="J228" s="1"/>
      <c r="K228" s="1"/>
      <c r="L228" s="1"/>
    </row>
    <row r="229" ht="15" customHeight="1">
      <c r="A229" s="1"/>
      <c r="B229" s="30" t="s">
        <v>434</v>
      </c>
      <c r="C229" s="16">
        <f t="shared" si="35" ref="C229:G229">C198-C11</f>
        <v>891</v>
      </c>
      <c r="D229" s="16">
        <f t="shared" si="35"/>
        <v>908</v>
      </c>
      <c r="E229" s="16">
        <f t="shared" si="35"/>
        <v>3530</v>
      </c>
      <c r="F229" s="16">
        <f t="shared" si="35"/>
        <v>933</v>
      </c>
      <c r="G229" s="16">
        <f t="shared" si="35"/>
        <v>970</v>
      </c>
      <c r="H229" s="53">
        <f>H230*H237</f>
        <v>1016.7058718239889</v>
      </c>
      <c r="I229" s="1"/>
      <c r="J229" s="1"/>
      <c r="K229" s="1"/>
      <c r="L229" s="1"/>
    </row>
    <row r="230" ht="25.5" customHeight="1">
      <c r="A230" s="1"/>
      <c r="B230" s="35" t="s">
        <v>435</v>
      </c>
      <c r="C230" s="41">
        <f t="shared" si="36" ref="C230:G230">C229/C237</f>
        <v>0.6319148936170212</v>
      </c>
      <c r="D230" s="41">
        <f t="shared" si="36"/>
        <v>0.6172671651937458</v>
      </c>
      <c r="E230" s="41">
        <f t="shared" si="36"/>
        <v>0.6267755681818182</v>
      </c>
      <c r="F230" s="41">
        <f t="shared" si="36"/>
        <v>0.6470180305131762</v>
      </c>
      <c r="G230" s="41">
        <f t="shared" si="36"/>
        <v>0.6170483460559797</v>
      </c>
      <c r="H230" s="36">
        <f>C230/(C230+C232+C234+C236)</f>
        <v>0.6323633782824699</v>
      </c>
      <c r="I230" s="18" t="s">
        <v>436</v>
      </c>
      <c r="J230" s="1"/>
      <c r="K230" s="1"/>
      <c r="L230" s="1"/>
    </row>
    <row r="231" ht="15" customHeight="1">
      <c r="A231" s="1"/>
      <c r="B231" s="30" t="s">
        <v>437</v>
      </c>
      <c r="C231" s="16">
        <f t="shared" si="37" ref="C231:G231">C205-C80</f>
        <v>206</v>
      </c>
      <c r="D231" s="16">
        <f t="shared" si="37"/>
        <v>208</v>
      </c>
      <c r="E231" s="16">
        <f t="shared" si="37"/>
        <v>774</v>
      </c>
      <c r="F231" s="16">
        <f t="shared" si="37"/>
        <v>177</v>
      </c>
      <c r="G231" s="16">
        <f t="shared" si="37"/>
        <v>208</v>
      </c>
      <c r="H231" s="53">
        <f>H232*H237</f>
        <v>235.06331043293122</v>
      </c>
      <c r="I231" s="1"/>
      <c r="J231" s="1"/>
      <c r="K231" s="1"/>
      <c r="L231" s="1"/>
    </row>
    <row r="232" ht="25.5" customHeight="1">
      <c r="A232" s="1"/>
      <c r="B232" s="35" t="s">
        <v>435</v>
      </c>
      <c r="C232" s="41">
        <f t="shared" si="38" ref="C232:G232">C231/C237</f>
        <v>0.14609929078014183</v>
      </c>
      <c r="D232" s="41">
        <f t="shared" si="38"/>
        <v>0.14140040788579197</v>
      </c>
      <c r="E232" s="41">
        <f t="shared" si="38"/>
        <v>0.13742897727272727</v>
      </c>
      <c r="F232" s="41">
        <f t="shared" si="38"/>
        <v>0.12274618585298197</v>
      </c>
      <c r="G232" s="41">
        <f t="shared" si="38"/>
        <v>0.13231552162849872</v>
      </c>
      <c r="H232" s="36">
        <f>C232/(C230+C232+C234+C236)</f>
        <v>0.1462029808374734</v>
      </c>
      <c r="I232" s="18" t="s">
        <v>436</v>
      </c>
      <c r="J232" s="1"/>
      <c r="K232" s="1"/>
      <c r="L232" s="1"/>
    </row>
    <row r="233" ht="15" customHeight="1">
      <c r="A233" s="1"/>
      <c r="B233" s="30" t="s">
        <v>438</v>
      </c>
      <c r="C233" s="16">
        <f t="shared" si="39" ref="C233:G233">C212-C103</f>
        <v>209</v>
      </c>
      <c r="D233" s="16">
        <f t="shared" si="39"/>
        <v>243</v>
      </c>
      <c r="E233" s="16">
        <f t="shared" si="39"/>
        <v>875</v>
      </c>
      <c r="F233" s="16">
        <f t="shared" si="39"/>
        <v>215</v>
      </c>
      <c r="G233" s="16">
        <f t="shared" si="39"/>
        <v>281</v>
      </c>
      <c r="H233" s="53">
        <f>H234*H237</f>
        <v>238.48656252661465</v>
      </c>
      <c r="I233" s="1"/>
      <c r="J233" s="1"/>
      <c r="K233" s="1"/>
      <c r="L233" s="1"/>
    </row>
    <row r="234" ht="25.5" customHeight="1">
      <c r="A234" s="1"/>
      <c r="B234" s="35" t="s">
        <v>435</v>
      </c>
      <c r="C234" s="41">
        <f t="shared" si="40" ref="C234:G234">C233/C237</f>
        <v>0.14822695035460992</v>
      </c>
      <c r="D234" s="41">
        <f t="shared" si="40"/>
        <v>0.16519374575118967</v>
      </c>
      <c r="E234" s="41">
        <f t="shared" si="40"/>
        <v>0.1553622159090909</v>
      </c>
      <c r="F234" s="41">
        <f t="shared" si="40"/>
        <v>0.14909847434119278</v>
      </c>
      <c r="G234" s="41">
        <f t="shared" si="40"/>
        <v>0.1787531806615776</v>
      </c>
      <c r="H234" s="36">
        <f>C234/(C230+C232+C234+C236)</f>
        <v>0.1483321504613201</v>
      </c>
      <c r="I234" s="18" t="s">
        <v>436</v>
      </c>
      <c r="J234" s="1"/>
      <c r="K234" s="1"/>
      <c r="L234" s="1"/>
    </row>
    <row r="235" ht="15" customHeight="1">
      <c r="A235" s="1"/>
      <c r="B235" s="30" t="s">
        <v>439</v>
      </c>
      <c r="C235" s="16">
        <f t="shared" si="41" ref="C235:G235">C219-C126</f>
        <v>103</v>
      </c>
      <c r="D235" s="16">
        <f t="shared" si="41"/>
        <v>111</v>
      </c>
      <c r="E235" s="16">
        <f t="shared" si="41"/>
        <v>451</v>
      </c>
      <c r="F235" s="16">
        <f t="shared" si="41"/>
        <v>119</v>
      </c>
      <c r="G235" s="16">
        <f t="shared" si="41"/>
        <v>113</v>
      </c>
      <c r="H235" s="53">
        <f>H236*H237</f>
        <v>117.53165521646561</v>
      </c>
      <c r="I235" s="1"/>
      <c r="J235" s="1"/>
      <c r="K235" s="1"/>
      <c r="L235" s="1"/>
    </row>
    <row r="236" ht="25.5" customHeight="1">
      <c r="A236" s="1"/>
      <c r="B236" s="35" t="s">
        <v>435</v>
      </c>
      <c r="C236" s="41">
        <f t="shared" si="42" ref="C236:G236">C235/C237</f>
        <v>0.07304964539007092</v>
      </c>
      <c r="D236" s="41">
        <f t="shared" si="42"/>
        <v>0.07545887151597552</v>
      </c>
      <c r="E236" s="41">
        <f t="shared" si="42"/>
        <v>0.080078125</v>
      </c>
      <c r="F236" s="41">
        <f t="shared" si="42"/>
        <v>0.0825242718446602</v>
      </c>
      <c r="G236" s="41">
        <f t="shared" si="42"/>
        <v>0.07188295165394402</v>
      </c>
      <c r="H236" s="36">
        <f>C236/(C230+C232+C234+C236)</f>
        <v>0.0731014904187367</v>
      </c>
      <c r="I236" s="18" t="s">
        <v>436</v>
      </c>
      <c r="J236" s="1"/>
      <c r="K236" s="1"/>
      <c r="L236" s="1"/>
    </row>
    <row r="237" ht="15" customHeight="1">
      <c r="A237" s="1"/>
      <c r="B237" s="3" t="s">
        <v>440</v>
      </c>
      <c r="C237" s="89">
        <f>'Revenue summary'!C108+'Revenue summary'!C129</f>
        <v>1410</v>
      </c>
      <c r="D237" s="89">
        <f>'Revenue summary'!D108+'Revenue summary'!D129</f>
        <v>1471</v>
      </c>
      <c r="E237" s="89">
        <f>'Revenue summary'!E108+'Revenue summary'!E129</f>
        <v>5632</v>
      </c>
      <c r="F237" s="89">
        <f>'Revenue summary'!F108+'Revenue summary'!F129</f>
        <v>1442</v>
      </c>
      <c r="G237" s="89">
        <f>'Revenue summary'!G108+'Revenue summary'!G129</f>
        <v>1572</v>
      </c>
      <c r="H237" s="66">
        <f>'Revenue summary'!H108+'Revenue summary'!H129</f>
        <v>1607.7874000000002</v>
      </c>
      <c r="I237" s="1"/>
      <c r="J237" s="1"/>
      <c r="K237" s="1"/>
      <c r="L237" s="1"/>
    </row>
    <row r="238" ht="1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ht="1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6DB1924-C738-F788-33A7-2F4F0B168D1D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  <col min="10" max="11" width="12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3" t="s">
        <v>441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1"/>
      <c r="J5" s="1"/>
      <c r="K5" s="1"/>
      <c r="L5" s="1"/>
    </row>
    <row r="6" ht="15" customHeight="1">
      <c r="A6" s="1"/>
      <c r="B6" s="7" t="s">
        <v>10</v>
      </c>
      <c r="C6" s="8">
        <f>DATE(2025,9,30)</f>
        <v>45930</v>
      </c>
      <c r="D6" s="8">
        <f t="shared" si="0" ref="D6:E6">DATE(2025,12,31)</f>
        <v>46022</v>
      </c>
      <c r="E6" s="8">
        <f t="shared" si="0"/>
        <v>46022</v>
      </c>
      <c r="F6" s="8">
        <f>DATE(2026,3,31)</f>
        <v>46112</v>
      </c>
      <c r="G6" s="8">
        <f>DATE(2026,6,30)</f>
        <v>46203</v>
      </c>
      <c r="H6" s="8">
        <f>DATE(2026,9,30)</f>
        <v>46295</v>
      </c>
      <c r="I6" s="1"/>
      <c r="J6" s="1"/>
      <c r="K6" s="1"/>
      <c r="L6" s="1"/>
    </row>
    <row r="7" ht="15" customHeight="1">
      <c r="A7" s="1"/>
      <c r="B7" s="9" t="s">
        <v>11</v>
      </c>
      <c r="C7" s="10">
        <f t="shared" si="1" ref="C7:H7">C6-EOMONTH(C6,-3)</f>
        <v>92</v>
      </c>
      <c r="D7" s="10">
        <f t="shared" si="1"/>
        <v>92</v>
      </c>
      <c r="E7" s="10">
        <f>E6-EOMONTH(E6,-12)</f>
        <v>365</v>
      </c>
      <c r="F7" s="10">
        <f t="shared" si="1"/>
        <v>90</v>
      </c>
      <c r="G7" s="10">
        <f t="shared" si="1"/>
        <v>91</v>
      </c>
      <c r="H7" s="10">
        <f t="shared" si="1"/>
        <v>92</v>
      </c>
      <c r="I7" s="1"/>
      <c r="J7" s="1"/>
      <c r="K7" s="1"/>
      <c r="L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51" customHeight="1">
      <c r="A9" s="1"/>
      <c r="B9" s="30" t="s">
        <v>233</v>
      </c>
      <c r="C9" s="54">
        <v>323.7</v>
      </c>
      <c r="D9" s="15">
        <f>(E7*E9-(E7-D7)*Inputs!D214)/D7</f>
        <v>323.7130434782606</v>
      </c>
      <c r="E9" s="54">
        <v>324.9</v>
      </c>
      <c r="F9" s="54">
        <v>323.9</v>
      </c>
      <c r="G9" s="54">
        <v>324.6</v>
      </c>
      <c r="H9" s="55">
        <v>324.7</v>
      </c>
      <c r="I9" s="18" t="s">
        <v>442</v>
      </c>
      <c r="J9" s="1"/>
      <c r="K9" s="1"/>
      <c r="L9" s="1"/>
    </row>
    <row r="10" ht="15" customHeight="1">
      <c r="A10" s="1"/>
      <c r="B10" s="37" t="s">
        <v>443</v>
      </c>
      <c r="C10" s="54">
        <v>0</v>
      </c>
      <c r="D10" s="54">
        <v>0</v>
      </c>
      <c r="E10" s="54">
        <v>0.3</v>
      </c>
      <c r="F10" s="54">
        <v>0</v>
      </c>
      <c r="G10" s="54">
        <v>0</v>
      </c>
      <c r="H10" s="55">
        <v>0</v>
      </c>
      <c r="I10" s="1"/>
      <c r="J10" s="1"/>
      <c r="K10" s="1"/>
      <c r="L10" s="1"/>
    </row>
    <row r="11" ht="38.25" customHeight="1">
      <c r="A11" s="1"/>
      <c r="B11" s="37" t="s">
        <v>444</v>
      </c>
      <c r="C11" s="54">
        <v>3.2</v>
      </c>
      <c r="D11" s="16">
        <f>D12-D9-D10</f>
        <v>3.2869565217393983</v>
      </c>
      <c r="E11" s="54">
        <v>3.3</v>
      </c>
      <c r="F11" s="54">
        <v>2.9</v>
      </c>
      <c r="G11" s="54">
        <v>2</v>
      </c>
      <c r="H11" s="55">
        <v>1.9</v>
      </c>
      <c r="I11" s="18" t="s">
        <v>445</v>
      </c>
      <c r="J11" s="1"/>
      <c r="K11" s="1"/>
      <c r="L11" s="1"/>
    </row>
    <row r="12" ht="15" customHeight="1">
      <c r="A12" s="1"/>
      <c r="B12" s="3" t="s">
        <v>446</v>
      </c>
      <c r="C12" s="65">
        <v>326.9</v>
      </c>
      <c r="D12" s="65">
        <v>327</v>
      </c>
      <c r="E12" s="65">
        <v>328.5</v>
      </c>
      <c r="F12" s="65">
        <v>326.8</v>
      </c>
      <c r="G12" s="65">
        <v>326.6</v>
      </c>
      <c r="H12" s="57">
        <f>H9+H10+H11</f>
        <v>326.59999999999997</v>
      </c>
      <c r="I12" s="1"/>
      <c r="J12" s="1"/>
      <c r="K12" s="1"/>
      <c r="L12" s="1"/>
    </row>
    <row r="13" ht="15" customHeight="1">
      <c r="A13" s="1"/>
      <c r="B13" s="35" t="s">
        <v>72</v>
      </c>
      <c r="C13" s="29">
        <f>C12/Inputs!C145-1</f>
        <v>-0.017433122933573797</v>
      </c>
      <c r="D13" s="29">
        <f>D12/Inputs!D145-1</f>
        <v>-0.022421524663677084</v>
      </c>
      <c r="E13" s="29">
        <f>E12/Inputs!E145-1</f>
        <v>-0.014105642256902695</v>
      </c>
      <c r="F13" s="29">
        <f>F12/Inputs!F145-1</f>
        <v>-0.018618618618618576</v>
      </c>
      <c r="G13" s="29">
        <f>G12/Inputs!G145-1</f>
        <v>-0.001833740831295727</v>
      </c>
      <c r="H13" s="36">
        <f>H12/C12-1</f>
        <v>-0.0009177118384827709</v>
      </c>
      <c r="I13" s="1"/>
      <c r="J13" s="1"/>
      <c r="K13" s="1"/>
      <c r="L13" s="1"/>
    </row>
    <row r="14" ht="15" customHeight="1">
      <c r="A14" s="1"/>
      <c r="B14" s="37" t="s">
        <v>73</v>
      </c>
      <c r="C14" s="15">
        <f>C12-Inputs!G145</f>
        <v>-0.30000000000001137</v>
      </c>
      <c r="D14" s="16">
        <f t="shared" si="2" ref="D14:H14">D12-C12</f>
        <v>0.10000000000002274</v>
      </c>
      <c r="E14" s="16" t="s">
        <v>74</v>
      </c>
      <c r="F14" s="16">
        <f>F12-D12</f>
        <v>-0.19999999999998863</v>
      </c>
      <c r="G14" s="16">
        <f t="shared" si="2"/>
        <v>-0.19999999999998863</v>
      </c>
      <c r="H14" s="53">
        <f t="shared" si="2"/>
        <v>0</v>
      </c>
      <c r="I14" s="1"/>
      <c r="J14" s="1"/>
      <c r="K14" s="1"/>
      <c r="L14" s="1"/>
    </row>
    <row r="15" ht="25.5" customHeight="1">
      <c r="A15" s="1"/>
      <c r="B15" s="1" t="s">
        <v>447</v>
      </c>
      <c r="C15" s="62" t="b">
        <f t="shared" si="3" ref="C15:H15">ABS(C9+C10+C11-C12)&lt;=0.15</f>
        <v>1</v>
      </c>
      <c r="D15" s="62" t="b">
        <f t="shared" si="3"/>
        <v>1</v>
      </c>
      <c r="E15" s="62" t="b">
        <f t="shared" si="3"/>
        <v>1</v>
      </c>
      <c r="F15" s="62" t="b">
        <f t="shared" si="3"/>
        <v>1</v>
      </c>
      <c r="G15" s="62" t="b">
        <f t="shared" si="3"/>
        <v>1</v>
      </c>
      <c r="H15" s="63" t="b">
        <f t="shared" si="3"/>
        <v>1</v>
      </c>
      <c r="I15" s="18" t="s">
        <v>448</v>
      </c>
      <c r="J15" s="1"/>
      <c r="K15" s="1"/>
      <c r="L15" s="1"/>
    </row>
    <row r="16" ht="15" customHeight="1">
      <c r="A16" s="1"/>
      <c r="B16" s="1"/>
      <c r="C16" s="1"/>
      <c r="D16" s="1"/>
      <c r="E16" s="1"/>
      <c r="F16" s="1"/>
      <c r="G16" s="1"/>
      <c r="H16" s="32"/>
      <c r="I16" s="1"/>
      <c r="J16" s="1"/>
      <c r="K16" s="1"/>
      <c r="L16" s="1"/>
    </row>
    <row r="17" ht="15" customHeight="1">
      <c r="A17" s="1"/>
      <c r="B17" s="3" t="s">
        <v>449</v>
      </c>
      <c r="C17" s="1"/>
      <c r="D17" s="1"/>
      <c r="E17" s="1"/>
      <c r="F17" s="1"/>
      <c r="G17" s="1"/>
      <c r="H17" s="32"/>
      <c r="I17" s="1"/>
      <c r="J17" s="1"/>
      <c r="K17" s="1"/>
      <c r="L17" s="1"/>
    </row>
    <row r="18" ht="15" customHeight="1">
      <c r="A18" s="1"/>
      <c r="B18" s="30" t="s">
        <v>450</v>
      </c>
      <c r="C18" s="54">
        <v>323.743462</v>
      </c>
      <c r="D18" s="54">
        <v>323.470682</v>
      </c>
      <c r="E18" s="16">
        <f>D18</f>
        <v>323.470682</v>
      </c>
      <c r="F18" s="54">
        <v>324.603702</v>
      </c>
      <c r="G18" s="54">
        <v>324.583772</v>
      </c>
      <c r="H18" s="53">
        <f>G18-H20</f>
        <v>324.583772</v>
      </c>
      <c r="I18" s="1"/>
      <c r="J18" s="1"/>
      <c r="K18" s="1"/>
      <c r="L18" s="1"/>
    </row>
    <row r="19" ht="15" customHeight="1">
      <c r="A19" s="1"/>
      <c r="B19" s="30" t="s">
        <v>451</v>
      </c>
      <c r="C19" s="15">
        <f>-'Cash Flow Statement'!C28</f>
        <v>21</v>
      </c>
      <c r="D19" s="15">
        <f>-'Cash Flow Statement'!D28</f>
        <v>27</v>
      </c>
      <c r="E19" s="15">
        <f>-'Cash Flow Statement'!E28</f>
        <v>637</v>
      </c>
      <c r="F19" s="15">
        <f>-'Cash Flow Statement'!F28</f>
        <v>27</v>
      </c>
      <c r="G19" s="15">
        <f>-'Cash Flow Statement'!G28</f>
        <v>0</v>
      </c>
      <c r="H19" s="67">
        <f>-'Cash Flow Statement'!H28</f>
        <v>0</v>
      </c>
      <c r="I19" s="22" t="s">
        <v>452</v>
      </c>
      <c r="J19" s="1"/>
      <c r="K19" s="1"/>
      <c r="L19" s="1"/>
    </row>
    <row r="20" ht="15" customHeight="1">
      <c r="A20" s="1"/>
      <c r="B20" s="30" t="s">
        <v>453</v>
      </c>
      <c r="C20" s="54">
        <v>0.2</v>
      </c>
      <c r="D20" s="16" t="s">
        <v>102</v>
      </c>
      <c r="E20" s="16" t="s">
        <v>102</v>
      </c>
      <c r="F20" s="54">
        <v>0.3</v>
      </c>
      <c r="G20" s="54">
        <v>0</v>
      </c>
      <c r="H20" s="55">
        <v>0</v>
      </c>
      <c r="I20" s="22" t="s">
        <v>454</v>
      </c>
      <c r="J20" s="1"/>
      <c r="K20" s="1"/>
      <c r="L20" s="1"/>
    </row>
    <row r="21" ht="15" customHeight="1">
      <c r="A21" s="1"/>
      <c r="B21" s="37" t="s">
        <v>455</v>
      </c>
      <c r="C21" s="46">
        <f t="shared" si="4" ref="C21:H21">IF(C20&gt;0,C19/C20,"n.a.")</f>
        <v>105</v>
      </c>
      <c r="D21" s="46" t="s">
        <v>41</v>
      </c>
      <c r="E21" s="46" t="s">
        <v>41</v>
      </c>
      <c r="F21" s="46">
        <f t="shared" si="4"/>
        <v>90</v>
      </c>
      <c r="G21" s="46" t="str">
        <f t="shared" si="4"/>
        <v>n.a.</v>
      </c>
      <c r="H21" s="47" t="str">
        <f t="shared" si="4"/>
        <v>n.a.</v>
      </c>
      <c r="I21" s="22" t="s">
        <v>456</v>
      </c>
      <c r="J21" s="1"/>
      <c r="K21" s="1"/>
      <c r="L21" s="1"/>
    </row>
    <row r="22" ht="15" customHeight="1">
      <c r="A22" s="1"/>
      <c r="B22" s="30" t="s">
        <v>457</v>
      </c>
      <c r="C22" s="1"/>
      <c r="D22" s="1"/>
      <c r="E22" s="1"/>
      <c r="F22" s="1"/>
      <c r="G22" s="1"/>
      <c r="H22" s="78">
        <f>'Income Statement'!H126</f>
        <v>2.693272240653579</v>
      </c>
      <c r="I22" s="22" t="s">
        <v>458</v>
      </c>
      <c r="J22" s="1"/>
      <c r="K22" s="1"/>
      <c r="L22" s="1"/>
    </row>
    <row r="23" ht="1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1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0C40A38-BB88-F826-1ED3-FBB2BCE9979A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3" t="s">
        <v>459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1"/>
      <c r="J5" s="1"/>
      <c r="K5" s="1"/>
      <c r="L5" s="1"/>
    </row>
    <row r="6" ht="15" customHeight="1">
      <c r="A6" s="1"/>
      <c r="B6" s="7" t="s">
        <v>10</v>
      </c>
      <c r="C6" s="8">
        <f>DATE(2025,9,30)</f>
        <v>45930</v>
      </c>
      <c r="D6" s="8">
        <f t="shared" si="0" ref="D6:E6">DATE(2025,12,31)</f>
        <v>46022</v>
      </c>
      <c r="E6" s="8">
        <f t="shared" si="0"/>
        <v>46022</v>
      </c>
      <c r="F6" s="8">
        <f>DATE(2026,3,31)</f>
        <v>46112</v>
      </c>
      <c r="G6" s="8">
        <f>DATE(2026,6,30)</f>
        <v>46203</v>
      </c>
      <c r="H6" s="8">
        <f>DATE(2026,9,30)</f>
        <v>46295</v>
      </c>
      <c r="I6" s="1"/>
      <c r="J6" s="1"/>
      <c r="K6" s="1"/>
      <c r="L6" s="1"/>
    </row>
    <row r="7" ht="15" customHeight="1">
      <c r="A7" s="1"/>
      <c r="B7" s="9" t="s">
        <v>11</v>
      </c>
      <c r="C7" s="10">
        <f t="shared" si="1" ref="C7:H7">C6-EOMONTH(C6,-3)</f>
        <v>92</v>
      </c>
      <c r="D7" s="10">
        <f t="shared" si="1"/>
        <v>92</v>
      </c>
      <c r="E7" s="10">
        <f>E6-EOMONTH(E6,-12)</f>
        <v>365</v>
      </c>
      <c r="F7" s="10">
        <f t="shared" si="1"/>
        <v>90</v>
      </c>
      <c r="G7" s="10">
        <f t="shared" si="1"/>
        <v>91</v>
      </c>
      <c r="H7" s="10">
        <f t="shared" si="1"/>
        <v>92</v>
      </c>
      <c r="I7" s="1"/>
      <c r="J7" s="1"/>
      <c r="K7" s="1"/>
      <c r="L7" s="1"/>
    </row>
    <row r="8" ht="15" customHeight="1">
      <c r="A8" s="1"/>
      <c r="B8" s="95" t="s">
        <v>460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ht="25.5" customHeight="1">
      <c r="A9" s="1"/>
      <c r="B9" s="13" t="s">
        <v>461</v>
      </c>
      <c r="C9" s="14" t="s">
        <v>462</v>
      </c>
      <c r="D9" s="14" t="s">
        <v>3</v>
      </c>
      <c r="E9" s="14" t="s">
        <v>463</v>
      </c>
      <c r="F9" s="14" t="s">
        <v>464</v>
      </c>
      <c r="G9" s="14" t="s">
        <v>465</v>
      </c>
      <c r="H9" s="14" t="s">
        <v>466</v>
      </c>
      <c r="I9" s="14" t="s">
        <v>467</v>
      </c>
      <c r="J9" s="14" t="s">
        <v>468</v>
      </c>
      <c r="K9" s="96" t="s">
        <v>469</v>
      </c>
      <c r="L9" s="1"/>
    </row>
    <row r="10" ht="15" customHeight="1">
      <c r="A10" s="1"/>
      <c r="B10" s="30" t="s">
        <v>258</v>
      </c>
      <c r="C10" s="97">
        <v>45854</v>
      </c>
      <c r="D10" s="24" t="s">
        <v>470</v>
      </c>
      <c r="E10" s="76">
        <v>2.25</v>
      </c>
      <c r="F10" s="76">
        <v>2.75</v>
      </c>
      <c r="G10" s="24">
        <f t="shared" si="2" ref="G10:G25">AVERAGE(E10,F10)</f>
        <v>2.5</v>
      </c>
      <c r="H10" s="23">
        <f>'Income Statement'!C128</f>
        <v>2.78</v>
      </c>
      <c r="I10" s="24" t="str">
        <f t="shared" si="3" ref="I10:I15">IF(H10&gt;G10,"Beat",IF(H10&lt;G10,"Miss","In line"))</f>
        <v>Beat</v>
      </c>
      <c r="J10" s="24">
        <f t="shared" si="4" ref="J10:J36">H10-G10</f>
        <v>0.2799999999999998</v>
      </c>
      <c r="K10" s="98" t="s">
        <v>472</v>
      </c>
      <c r="L10" s="1"/>
    </row>
    <row r="11" ht="15" customHeight="1">
      <c r="A11" s="1"/>
      <c r="B11" s="30" t="s">
        <v>258</v>
      </c>
      <c r="C11" s="97">
        <v>45854</v>
      </c>
      <c r="D11" s="24" t="s">
        <v>473</v>
      </c>
      <c r="E11" s="76">
        <v>9</v>
      </c>
      <c r="F11" s="76">
        <v>11</v>
      </c>
      <c r="G11" s="24">
        <f t="shared" si="2"/>
        <v>10</v>
      </c>
      <c r="H11" s="23">
        <f>'Income Statement'!E128</f>
        <v>10.62</v>
      </c>
      <c r="I11" s="24" t="str">
        <f t="shared" si="3"/>
        <v>Beat</v>
      </c>
      <c r="J11" s="24">
        <f t="shared" si="4"/>
        <v>0.6199999999999992</v>
      </c>
      <c r="K11" s="98" t="s">
        <v>474</v>
      </c>
      <c r="L11" s="1"/>
    </row>
    <row r="12" ht="15" customHeight="1">
      <c r="A12" s="1"/>
      <c r="B12" s="30" t="s">
        <v>258</v>
      </c>
      <c r="C12" s="97">
        <v>45945</v>
      </c>
      <c r="D12" s="24" t="s">
        <v>475</v>
      </c>
      <c r="E12" s="76">
        <v>3</v>
      </c>
      <c r="F12" s="76">
        <v>3.5</v>
      </c>
      <c r="G12" s="24">
        <f t="shared" si="2"/>
        <v>3.25</v>
      </c>
      <c r="H12" s="23">
        <f>'Income Statement'!D128</f>
        <v>3.1</v>
      </c>
      <c r="I12" s="24" t="str">
        <f t="shared" si="3"/>
        <v>Miss</v>
      </c>
      <c r="J12" s="24">
        <f t="shared" si="4"/>
        <v>-0.1499999999999999</v>
      </c>
      <c r="K12" s="98" t="s">
        <v>477</v>
      </c>
      <c r="L12" s="1"/>
    </row>
    <row r="13" ht="15" customHeight="1">
      <c r="A13" s="1"/>
      <c r="B13" s="30" t="s">
        <v>258</v>
      </c>
      <c r="C13" s="97">
        <v>46042</v>
      </c>
      <c r="D13" s="24" t="s">
        <v>478</v>
      </c>
      <c r="E13" s="76">
        <v>1</v>
      </c>
      <c r="F13" s="76">
        <v>1.5</v>
      </c>
      <c r="G13" s="24">
        <f t="shared" si="2"/>
        <v>1.25</v>
      </c>
      <c r="H13" s="23">
        <f>'Income Statement'!F128</f>
        <v>1.19</v>
      </c>
      <c r="I13" s="24" t="str">
        <f t="shared" si="3"/>
        <v>Miss</v>
      </c>
      <c r="J13" s="24">
        <f t="shared" si="4"/>
        <v>-0.06000000000000005</v>
      </c>
      <c r="K13" s="98" t="s">
        <v>479</v>
      </c>
      <c r="L13" s="1"/>
    </row>
    <row r="14" ht="15" customHeight="1">
      <c r="A14" s="1"/>
      <c r="B14" s="30" t="s">
        <v>258</v>
      </c>
      <c r="C14" s="97">
        <v>46042</v>
      </c>
      <c r="D14" s="24" t="s">
        <v>480</v>
      </c>
      <c r="E14" s="76">
        <v>12</v>
      </c>
      <c r="F14" s="76">
        <v>14</v>
      </c>
      <c r="G14" s="24">
        <f t="shared" si="2"/>
        <v>13</v>
      </c>
      <c r="H14" s="24" t="s">
        <v>481</v>
      </c>
      <c r="I14" s="24" t="s">
        <v>41</v>
      </c>
      <c r="J14" s="24" t="s">
        <v>41</v>
      </c>
      <c r="K14" s="98" t="s">
        <v>482</v>
      </c>
      <c r="L14" s="1"/>
    </row>
    <row r="15" ht="15" customHeight="1">
      <c r="A15" s="1"/>
      <c r="B15" s="30" t="s">
        <v>258</v>
      </c>
      <c r="C15" s="97">
        <v>46133</v>
      </c>
      <c r="D15" s="24" t="s">
        <v>483</v>
      </c>
      <c r="E15" s="76">
        <v>1</v>
      </c>
      <c r="F15" s="76">
        <v>2</v>
      </c>
      <c r="G15" s="24">
        <f t="shared" si="2"/>
        <v>1.5</v>
      </c>
      <c r="H15" s="23">
        <f>'Income Statement'!G128</f>
        <v>1.99</v>
      </c>
      <c r="I15" s="24" t="str">
        <f t="shared" si="3"/>
        <v>Beat</v>
      </c>
      <c r="J15" s="24">
        <f t="shared" si="4"/>
        <v>0.49</v>
      </c>
      <c r="K15" s="98" t="s">
        <v>484</v>
      </c>
      <c r="L15" s="1"/>
    </row>
    <row r="16" ht="15" customHeight="1">
      <c r="A16" s="1"/>
      <c r="B16" s="30" t="s">
        <v>258</v>
      </c>
      <c r="C16" s="97">
        <v>46133</v>
      </c>
      <c r="D16" s="24" t="s">
        <v>480</v>
      </c>
      <c r="E16" s="76">
        <v>7</v>
      </c>
      <c r="F16" s="76">
        <v>11</v>
      </c>
      <c r="G16" s="24">
        <f t="shared" si="2"/>
        <v>9</v>
      </c>
      <c r="H16" s="24" t="s">
        <v>481</v>
      </c>
      <c r="I16" s="24" t="s">
        <v>41</v>
      </c>
      <c r="J16" s="24" t="s">
        <v>41</v>
      </c>
      <c r="K16" s="98" t="s">
        <v>485</v>
      </c>
      <c r="L16" s="1"/>
    </row>
    <row r="17" ht="15" customHeight="1">
      <c r="A17" s="1"/>
      <c r="B17" s="30" t="s">
        <v>258</v>
      </c>
      <c r="C17" s="97">
        <v>46218</v>
      </c>
      <c r="D17" s="24" t="s">
        <v>486</v>
      </c>
      <c r="E17" s="76">
        <v>2.5</v>
      </c>
      <c r="F17" s="76">
        <v>3.5</v>
      </c>
      <c r="G17" s="24">
        <f t="shared" si="2"/>
        <v>3</v>
      </c>
      <c r="H17" s="24" t="s">
        <v>481</v>
      </c>
      <c r="I17" s="24" t="s">
        <v>41</v>
      </c>
      <c r="J17" s="24" t="s">
        <v>41</v>
      </c>
      <c r="K17" s="98" t="s">
        <v>487</v>
      </c>
      <c r="L17" s="1"/>
    </row>
    <row r="18" ht="15" customHeight="1">
      <c r="A18" s="1"/>
      <c r="B18" s="30" t="s">
        <v>258</v>
      </c>
      <c r="C18" s="97">
        <v>46218</v>
      </c>
      <c r="D18" s="24" t="s">
        <v>480</v>
      </c>
      <c r="E18" s="76">
        <v>9</v>
      </c>
      <c r="F18" s="76">
        <v>11</v>
      </c>
      <c r="G18" s="24">
        <f t="shared" si="2"/>
        <v>10</v>
      </c>
      <c r="H18" s="24" t="s">
        <v>481</v>
      </c>
      <c r="I18" s="24" t="s">
        <v>41</v>
      </c>
      <c r="J18" s="24" t="s">
        <v>41</v>
      </c>
      <c r="K18" s="98" t="s">
        <v>487</v>
      </c>
      <c r="L18" s="1"/>
    </row>
    <row r="19" ht="15" customHeight="1">
      <c r="A19" s="1"/>
      <c r="B19" s="30" t="s">
        <v>62</v>
      </c>
      <c r="C19" s="97">
        <v>46218</v>
      </c>
      <c r="D19" s="46" t="s">
        <v>486</v>
      </c>
      <c r="E19" s="69">
        <v>3.69</v>
      </c>
      <c r="F19" s="69">
        <v>3.69</v>
      </c>
      <c r="G19" s="46">
        <f t="shared" si="2"/>
        <v>3.69</v>
      </c>
      <c r="H19" s="46" t="s">
        <v>481</v>
      </c>
      <c r="I19" s="46" t="s">
        <v>41</v>
      </c>
      <c r="J19" s="46" t="s">
        <v>41</v>
      </c>
      <c r="K19" s="99" t="s">
        <v>488</v>
      </c>
      <c r="L19" s="1"/>
    </row>
    <row r="20" ht="15" customHeight="1">
      <c r="A20" s="1"/>
      <c r="B20" s="30" t="s">
        <v>489</v>
      </c>
      <c r="C20" s="97">
        <v>46218</v>
      </c>
      <c r="D20" s="16" t="s">
        <v>486</v>
      </c>
      <c r="E20" s="54">
        <v>135</v>
      </c>
      <c r="F20" s="54">
        <v>220</v>
      </c>
      <c r="G20" s="16">
        <f t="shared" si="2"/>
        <v>177.5</v>
      </c>
      <c r="H20" s="16" t="s">
        <v>481</v>
      </c>
      <c r="I20" s="16" t="s">
        <v>41</v>
      </c>
      <c r="J20" s="16" t="s">
        <v>41</v>
      </c>
      <c r="K20" s="100" t="s">
        <v>487</v>
      </c>
      <c r="L20" s="1"/>
    </row>
    <row r="21" ht="15" customHeight="1">
      <c r="A21" s="1"/>
      <c r="B21" s="30" t="s">
        <v>490</v>
      </c>
      <c r="C21" s="97">
        <v>46218</v>
      </c>
      <c r="D21" s="16" t="s">
        <v>486</v>
      </c>
      <c r="E21" s="54">
        <v>40</v>
      </c>
      <c r="F21" s="54">
        <v>40</v>
      </c>
      <c r="G21" s="16">
        <f t="shared" si="2"/>
        <v>40</v>
      </c>
      <c r="H21" s="16" t="s">
        <v>481</v>
      </c>
      <c r="I21" s="16" t="s">
        <v>41</v>
      </c>
      <c r="J21" s="16" t="s">
        <v>41</v>
      </c>
      <c r="K21" s="100" t="s">
        <v>487</v>
      </c>
      <c r="L21" s="1"/>
    </row>
    <row r="22" ht="15" customHeight="1">
      <c r="A22" s="1"/>
      <c r="B22" s="28" t="s">
        <v>491</v>
      </c>
      <c r="C22" s="101">
        <v>46218</v>
      </c>
      <c r="D22" s="41" t="s">
        <v>486</v>
      </c>
      <c r="E22" s="90">
        <v>0.121</v>
      </c>
      <c r="F22" s="41" t="s">
        <v>41</v>
      </c>
      <c r="G22" s="41" t="s">
        <v>41</v>
      </c>
      <c r="H22" s="41" t="s">
        <v>481</v>
      </c>
      <c r="I22" s="41" t="s">
        <v>41</v>
      </c>
      <c r="J22" s="41" t="s">
        <v>41</v>
      </c>
      <c r="K22" s="102" t="s">
        <v>487</v>
      </c>
      <c r="L22" s="1"/>
    </row>
    <row r="23" ht="15" customHeight="1">
      <c r="A23" s="1"/>
      <c r="B23" s="28" t="s">
        <v>492</v>
      </c>
      <c r="C23" s="101">
        <v>46218</v>
      </c>
      <c r="D23" s="41" t="s">
        <v>486</v>
      </c>
      <c r="E23" s="90">
        <v>0.8</v>
      </c>
      <c r="F23" s="90">
        <v>0.9</v>
      </c>
      <c r="G23" s="41">
        <f t="shared" si="2"/>
        <v>0.8500000000000001</v>
      </c>
      <c r="H23" s="41" t="s">
        <v>481</v>
      </c>
      <c r="I23" s="41" t="s">
        <v>41</v>
      </c>
      <c r="J23" s="41" t="s">
        <v>41</v>
      </c>
      <c r="K23" s="102" t="s">
        <v>487</v>
      </c>
      <c r="L23" s="1"/>
    </row>
    <row r="24" ht="15" customHeight="1">
      <c r="A24" s="1"/>
      <c r="B24" s="28" t="s">
        <v>493</v>
      </c>
      <c r="C24" s="101">
        <v>46133</v>
      </c>
      <c r="D24" s="41" t="s">
        <v>486</v>
      </c>
      <c r="E24" s="90">
        <v>0</v>
      </c>
      <c r="F24" s="90">
        <v>0.02</v>
      </c>
      <c r="G24" s="41">
        <f t="shared" si="2"/>
        <v>0.01</v>
      </c>
      <c r="H24" s="41" t="s">
        <v>481</v>
      </c>
      <c r="I24" s="41" t="s">
        <v>41</v>
      </c>
      <c r="J24" s="41" t="s">
        <v>41</v>
      </c>
      <c r="K24" s="102" t="s">
        <v>494</v>
      </c>
      <c r="L24" s="1"/>
    </row>
    <row r="25" ht="15" customHeight="1">
      <c r="A25" s="1"/>
      <c r="B25" s="30" t="s">
        <v>495</v>
      </c>
      <c r="C25" s="97">
        <v>46218</v>
      </c>
      <c r="D25" s="16" t="s">
        <v>480</v>
      </c>
      <c r="E25" s="54">
        <v>7.5</v>
      </c>
      <c r="F25" s="54">
        <v>7.5</v>
      </c>
      <c r="G25" s="16">
        <f t="shared" si="2"/>
        <v>7.5</v>
      </c>
      <c r="H25" s="16" t="s">
        <v>481</v>
      </c>
      <c r="I25" s="16" t="s">
        <v>41</v>
      </c>
      <c r="J25" s="16" t="s">
        <v>41</v>
      </c>
      <c r="K25" s="100" t="s">
        <v>496</v>
      </c>
      <c r="L25" s="1"/>
    </row>
    <row r="26" ht="15" customHeight="1">
      <c r="A26" s="1"/>
      <c r="B26" s="3" t="s">
        <v>497</v>
      </c>
      <c r="C26" s="1"/>
      <c r="D26" s="1"/>
      <c r="E26" s="1"/>
      <c r="F26" s="1"/>
      <c r="G26" s="1"/>
      <c r="H26" s="1"/>
      <c r="I26" s="1"/>
      <c r="J26" s="20">
        <f>AVERAGE(J10,J12,J13,J15)</f>
        <v>0.13999999999999996</v>
      </c>
      <c r="K26" s="1"/>
      <c r="L26" s="1"/>
    </row>
    <row r="27" ht="15" customHeight="1">
      <c r="A27" s="1"/>
      <c r="B27" s="1" t="s">
        <v>498</v>
      </c>
      <c r="C27" s="1"/>
      <c r="D27" s="1"/>
      <c r="E27" s="1"/>
      <c r="F27" s="1"/>
      <c r="G27" s="1"/>
      <c r="H27" s="1"/>
      <c r="I27" s="1"/>
      <c r="J27" s="39">
        <f>COUNTIF(I10,"Beat")+COUNTIF(I12,"Beat")+COUNTIF(I13,"Beat")+COUNTIF(I15,"Beat")</f>
        <v>2</v>
      </c>
      <c r="K27" s="1"/>
      <c r="L27" s="1"/>
    </row>
    <row r="28" ht="1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ht="25.5" customHeight="1">
      <c r="A29" s="1"/>
      <c r="B29" s="13" t="s">
        <v>499</v>
      </c>
      <c r="C29" s="14"/>
      <c r="D29" s="14"/>
      <c r="E29" s="14" t="s">
        <v>463</v>
      </c>
      <c r="F29" s="14" t="s">
        <v>464</v>
      </c>
      <c r="G29" s="14" t="s">
        <v>465</v>
      </c>
      <c r="H29" s="14" t="s">
        <v>500</v>
      </c>
      <c r="I29" s="14"/>
      <c r="J29" s="14" t="s">
        <v>501</v>
      </c>
      <c r="K29" s="1"/>
      <c r="L29" s="1"/>
    </row>
    <row r="30" ht="15" customHeight="1">
      <c r="A30" s="1"/>
      <c r="B30" s="30" t="s">
        <v>258</v>
      </c>
      <c r="C30" s="1"/>
      <c r="D30" s="1"/>
      <c r="E30" s="24">
        <f t="shared" si="5" ref="E30:G30">E17</f>
        <v>2.5</v>
      </c>
      <c r="F30" s="24">
        <f t="shared" si="5"/>
        <v>3.5</v>
      </c>
      <c r="G30" s="24">
        <f t="shared" si="5"/>
        <v>3</v>
      </c>
      <c r="H30" s="23">
        <f>'Income Statement'!H126</f>
        <v>2.693272240653579</v>
      </c>
      <c r="I30" s="1"/>
      <c r="J30" s="24">
        <f>H30-G17</f>
        <v>-0.3067277593464208</v>
      </c>
      <c r="K30" s="1"/>
      <c r="L30" s="1"/>
    </row>
    <row r="31" ht="15" customHeight="1">
      <c r="A31" s="1"/>
      <c r="B31" s="30" t="s">
        <v>62</v>
      </c>
      <c r="C31" s="1"/>
      <c r="D31" s="1"/>
      <c r="E31" s="46">
        <f t="shared" si="6" ref="E31:G34">E19</f>
        <v>3.69</v>
      </c>
      <c r="F31" s="46">
        <f t="shared" si="6"/>
        <v>3.69</v>
      </c>
      <c r="G31" s="46">
        <f t="shared" si="6"/>
        <v>3.69</v>
      </c>
      <c r="H31" s="31">
        <f>'Income Statement'!H30</f>
        <v>3.86</v>
      </c>
      <c r="I31" s="1"/>
      <c r="J31" s="46">
        <f t="shared" si="7" ref="J31:J33">H31-G19</f>
        <v>0.16999999999999993</v>
      </c>
      <c r="K31" s="1"/>
      <c r="L31" s="1"/>
    </row>
    <row r="32" ht="15" customHeight="1">
      <c r="A32" s="1"/>
      <c r="B32" s="30" t="s">
        <v>489</v>
      </c>
      <c r="C32" s="1"/>
      <c r="D32" s="1"/>
      <c r="E32" s="16">
        <f t="shared" si="6"/>
        <v>135</v>
      </c>
      <c r="F32" s="16">
        <f t="shared" si="6"/>
        <v>220</v>
      </c>
      <c r="G32" s="16">
        <f t="shared" si="6"/>
        <v>177.5</v>
      </c>
      <c r="H32" s="15">
        <f>'Income Statement'!H21</f>
        <v>151.15435673109437</v>
      </c>
      <c r="I32" s="1"/>
      <c r="J32" s="16">
        <f t="shared" si="7"/>
        <v>-26.345643268905633</v>
      </c>
      <c r="K32" s="1"/>
      <c r="L32" s="1"/>
    </row>
    <row r="33" ht="15" customHeight="1">
      <c r="A33" s="1"/>
      <c r="B33" s="30" t="s">
        <v>490</v>
      </c>
      <c r="C33" s="1"/>
      <c r="D33" s="1"/>
      <c r="E33" s="16">
        <f t="shared" si="6"/>
        <v>40</v>
      </c>
      <c r="F33" s="16">
        <f t="shared" si="6"/>
        <v>40</v>
      </c>
      <c r="G33" s="16">
        <f t="shared" si="6"/>
        <v>40</v>
      </c>
      <c r="H33" s="15">
        <f>'Income Statement'!H143</f>
        <v>40</v>
      </c>
      <c r="I33" s="1"/>
      <c r="J33" s="16">
        <f t="shared" si="7"/>
        <v>0</v>
      </c>
      <c r="K33" s="1"/>
      <c r="L33" s="1"/>
    </row>
    <row r="34" ht="15" customHeight="1">
      <c r="A34" s="1"/>
      <c r="B34" s="28" t="s">
        <v>502</v>
      </c>
      <c r="C34" s="1"/>
      <c r="D34" s="1"/>
      <c r="E34" s="41">
        <f t="shared" si="6"/>
        <v>0.121</v>
      </c>
      <c r="F34" s="41" t="str">
        <f t="shared" si="6"/>
        <v>n.a.</v>
      </c>
      <c r="G34" s="41" t="str">
        <f t="shared" si="6"/>
        <v>n.a.</v>
      </c>
      <c r="H34" s="29">
        <f>'Revenue summary'!H33</f>
        <v>0.15955544506362873</v>
      </c>
      <c r="I34" s="1"/>
      <c r="J34" s="41">
        <f>H34-E22</f>
        <v>0.038555445063628735</v>
      </c>
      <c r="K34" s="1"/>
      <c r="L34" s="1"/>
    </row>
    <row r="35" ht="15" customHeight="1">
      <c r="A35" s="1"/>
      <c r="B35" s="28" t="s">
        <v>493</v>
      </c>
      <c r="C35" s="1"/>
      <c r="D35" s="1"/>
      <c r="E35" s="41">
        <f t="shared" si="8" ref="E35:G35">E24</f>
        <v>0</v>
      </c>
      <c r="F35" s="41">
        <f t="shared" si="8"/>
        <v>0.02</v>
      </c>
      <c r="G35" s="41">
        <f t="shared" si="8"/>
        <v>0.01</v>
      </c>
      <c r="H35" s="29">
        <f>'Revenue summary'!H12</f>
        <v>0.014265646270176235</v>
      </c>
      <c r="I35" s="1"/>
      <c r="J35" s="41">
        <f>H35-G24</f>
        <v>0.004265646270176235</v>
      </c>
      <c r="K35" s="1"/>
      <c r="L35" s="1"/>
    </row>
    <row r="36" ht="15" customHeight="1">
      <c r="A36" s="1"/>
      <c r="B36" s="30" t="s">
        <v>503</v>
      </c>
      <c r="C36" s="1"/>
      <c r="D36" s="1"/>
      <c r="E36" s="1"/>
      <c r="F36" s="1"/>
      <c r="G36" s="15">
        <f>G17*'Share Count'!H12</f>
        <v>979.8</v>
      </c>
      <c r="H36" s="15">
        <f>'Income Statement'!H109</f>
        <v>879.6227137974588</v>
      </c>
      <c r="I36" s="1"/>
      <c r="J36" s="16">
        <f t="shared" si="4"/>
        <v>-100.17728620254115</v>
      </c>
      <c r="K36" s="1"/>
      <c r="L36" s="1"/>
    </row>
    <row r="37" ht="1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1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A09BFE8-4CD8-C2D4-6392-BAC99E8448E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3" t="s">
        <v>504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1"/>
      <c r="J5" s="1"/>
      <c r="K5" s="1"/>
      <c r="L5" s="1"/>
    </row>
    <row r="6" ht="15" customHeight="1">
      <c r="A6" s="1"/>
      <c r="B6" s="7" t="s">
        <v>10</v>
      </c>
      <c r="C6" s="8">
        <f>DATE(2025,9,30)</f>
        <v>45930</v>
      </c>
      <c r="D6" s="8">
        <f t="shared" si="0" ref="D6:E6">DATE(2025,12,31)</f>
        <v>46022</v>
      </c>
      <c r="E6" s="8">
        <f t="shared" si="0"/>
        <v>46022</v>
      </c>
      <c r="F6" s="8">
        <f>DATE(2026,3,31)</f>
        <v>46112</v>
      </c>
      <c r="G6" s="8">
        <f>DATE(2026,6,30)</f>
        <v>46203</v>
      </c>
      <c r="H6" s="8">
        <f>DATE(2026,9,30)</f>
        <v>46295</v>
      </c>
      <c r="I6" s="1"/>
      <c r="J6" s="1"/>
      <c r="K6" s="1"/>
      <c r="L6" s="1"/>
    </row>
    <row r="7" ht="15" customHeight="1">
      <c r="A7" s="1"/>
      <c r="B7" s="9" t="s">
        <v>11</v>
      </c>
      <c r="C7" s="10">
        <f t="shared" si="1" ref="C7:H7">C6-EOMONTH(C6,-3)</f>
        <v>92</v>
      </c>
      <c r="D7" s="10">
        <f t="shared" si="1"/>
        <v>92</v>
      </c>
      <c r="E7" s="10">
        <f>E6-EOMONTH(E6,-12)</f>
        <v>365</v>
      </c>
      <c r="F7" s="10">
        <f t="shared" si="1"/>
        <v>90</v>
      </c>
      <c r="G7" s="10">
        <f t="shared" si="1"/>
        <v>91</v>
      </c>
      <c r="H7" s="10">
        <f t="shared" si="1"/>
        <v>92</v>
      </c>
      <c r="I7" s="1"/>
      <c r="J7" s="1"/>
      <c r="K7" s="1"/>
      <c r="L7" s="1"/>
    </row>
    <row r="8" ht="15" customHeight="1">
      <c r="A8" s="1"/>
      <c r="B8" s="95" t="s">
        <v>505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ht="15" customHeight="1">
      <c r="A9" s="1"/>
      <c r="B9" s="3" t="s">
        <v>506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ht="15" customHeight="1">
      <c r="A10" s="1"/>
      <c r="B10" s="1" t="s">
        <v>507</v>
      </c>
      <c r="C10" s="12" t="s">
        <v>508</v>
      </c>
      <c r="D10" s="1"/>
      <c r="E10" s="1"/>
      <c r="F10" s="1"/>
      <c r="G10" s="1"/>
      <c r="H10" s="1"/>
      <c r="I10" s="1"/>
      <c r="J10" s="1"/>
      <c r="K10" s="1"/>
      <c r="L10" s="1"/>
    </row>
    <row r="11" ht="15" customHeight="1">
      <c r="A11" s="1"/>
      <c r="B11" s="1" t="s">
        <v>509</v>
      </c>
      <c r="C11" s="12" t="s">
        <v>17</v>
      </c>
      <c r="D11" s="1"/>
      <c r="E11" s="1"/>
      <c r="F11" s="1"/>
      <c r="G11" s="1"/>
      <c r="H11" s="1"/>
      <c r="I11" s="1"/>
      <c r="J11" s="1"/>
      <c r="K11" s="1"/>
      <c r="L11" s="1"/>
    </row>
    <row r="12" ht="15" customHeight="1">
      <c r="A12" s="1"/>
      <c r="B12" s="1" t="s">
        <v>510</v>
      </c>
      <c r="C12" s="12" t="s">
        <v>15</v>
      </c>
      <c r="D12" s="1"/>
      <c r="E12" s="1"/>
      <c r="F12" s="1"/>
      <c r="G12" s="1"/>
      <c r="H12" s="1"/>
      <c r="I12" s="1"/>
      <c r="J12" s="1"/>
      <c r="K12" s="1"/>
      <c r="L12" s="1"/>
    </row>
    <row r="13" ht="15" customHeight="1">
      <c r="A13" s="1"/>
      <c r="B13" s="1" t="s">
        <v>511</v>
      </c>
      <c r="C13" s="12" t="s">
        <v>512</v>
      </c>
      <c r="D13" s="1"/>
      <c r="E13" s="1"/>
      <c r="F13" s="1"/>
      <c r="G13" s="1"/>
      <c r="H13" s="1"/>
      <c r="I13" s="1"/>
      <c r="J13" s="1"/>
      <c r="K13" s="1"/>
      <c r="L13" s="1"/>
    </row>
    <row r="14" ht="15" customHeight="1">
      <c r="A14" s="1"/>
      <c r="B14" s="1" t="s">
        <v>513</v>
      </c>
      <c r="C14" s="97">
        <v>46295</v>
      </c>
      <c r="D14" s="1"/>
      <c r="E14" s="1"/>
      <c r="F14" s="1"/>
      <c r="G14" s="1"/>
      <c r="H14" s="1"/>
      <c r="I14" s="1"/>
      <c r="J14" s="1"/>
      <c r="K14" s="1"/>
      <c r="L14" s="1"/>
    </row>
    <row r="15" ht="15" customHeight="1">
      <c r="A15" s="1"/>
      <c r="B15" s="1" t="s">
        <v>514</v>
      </c>
      <c r="C15" s="97">
        <v>46313</v>
      </c>
      <c r="D15" s="1"/>
      <c r="E15" s="1"/>
      <c r="F15" s="1"/>
      <c r="G15" s="1"/>
      <c r="H15" s="1"/>
      <c r="I15" s="1"/>
      <c r="J15" s="1"/>
      <c r="K15" s="1"/>
      <c r="L15" s="1"/>
    </row>
    <row r="16" ht="15" customHeight="1">
      <c r="A16" s="1"/>
      <c r="B16" s="1" t="s">
        <v>515</v>
      </c>
      <c r="C16" s="33">
        <v>19</v>
      </c>
      <c r="D16" s="1"/>
      <c r="E16" s="1"/>
      <c r="F16" s="1"/>
      <c r="G16" s="1"/>
      <c r="H16" s="1"/>
      <c r="I16" s="1"/>
      <c r="J16" s="1"/>
      <c r="K16" s="1"/>
      <c r="L16" s="1"/>
    </row>
    <row r="17" ht="15" customHeight="1">
      <c r="A17" s="1"/>
      <c r="B17" s="1" t="s">
        <v>516</v>
      </c>
      <c r="C17" s="76">
        <v>2.59</v>
      </c>
      <c r="D17" s="1"/>
      <c r="E17" s="1"/>
      <c r="F17" s="1"/>
      <c r="G17" s="1"/>
      <c r="H17" s="1"/>
      <c r="I17" s="1"/>
      <c r="J17" s="1"/>
      <c r="K17" s="1"/>
      <c r="L17" s="1"/>
    </row>
    <row r="18" ht="15" customHeight="1">
      <c r="A18" s="1"/>
      <c r="B18" s="1" t="s">
        <v>517</v>
      </c>
      <c r="C18" s="12" t="s">
        <v>518</v>
      </c>
      <c r="D18" s="1"/>
      <c r="E18" s="1"/>
      <c r="F18" s="1"/>
      <c r="G18" s="1"/>
      <c r="H18" s="1"/>
      <c r="I18" s="1"/>
      <c r="J18" s="1"/>
      <c r="K18" s="1"/>
      <c r="L18" s="1"/>
    </row>
    <row r="19" ht="15" customHeight="1">
      <c r="A19" s="1"/>
      <c r="B19" s="1" t="s">
        <v>519</v>
      </c>
      <c r="C19" s="54">
        <v>17899.19</v>
      </c>
      <c r="D19" s="1"/>
      <c r="E19" s="1"/>
      <c r="F19" s="1"/>
      <c r="G19" s="1"/>
      <c r="H19" s="1"/>
      <c r="I19" s="1"/>
      <c r="J19" s="1"/>
      <c r="K19" s="1"/>
      <c r="L19" s="1"/>
    </row>
    <row r="20" ht="15" customHeight="1">
      <c r="A20" s="1"/>
      <c r="B20" s="1" t="s">
        <v>520</v>
      </c>
      <c r="C20" s="12" t="s">
        <v>521</v>
      </c>
      <c r="D20" s="1"/>
      <c r="E20" s="1"/>
      <c r="F20" s="1"/>
      <c r="G20" s="1"/>
      <c r="H20" s="1"/>
      <c r="I20" s="1"/>
      <c r="J20" s="1"/>
      <c r="K20" s="1"/>
      <c r="L20" s="1"/>
    </row>
    <row r="21" ht="15" customHeight="1">
      <c r="A21" s="1"/>
      <c r="B21" s="1" t="s">
        <v>522</v>
      </c>
      <c r="C21" s="12" t="s">
        <v>523</v>
      </c>
      <c r="D21" s="1"/>
      <c r="E21" s="1"/>
      <c r="F21" s="1"/>
      <c r="G21" s="1"/>
      <c r="H21" s="1"/>
      <c r="I21" s="1"/>
      <c r="J21" s="1"/>
      <c r="K21" s="1"/>
      <c r="L21" s="1"/>
    </row>
    <row r="22" ht="15" customHeight="1">
      <c r="A22" s="1"/>
      <c r="B22" s="1" t="s">
        <v>524</v>
      </c>
      <c r="C22" s="12" t="s">
        <v>525</v>
      </c>
      <c r="D22" s="1"/>
      <c r="E22" s="1"/>
      <c r="F22" s="1"/>
      <c r="G22" s="1"/>
      <c r="H22" s="1"/>
      <c r="I22" s="1"/>
      <c r="J22" s="1"/>
      <c r="K22" s="1"/>
      <c r="L22" s="1"/>
    </row>
    <row r="23" ht="15" customHeight="1">
      <c r="A23" s="1"/>
      <c r="B23" s="1" t="s">
        <v>526</v>
      </c>
      <c r="C23" s="12" t="s">
        <v>521</v>
      </c>
      <c r="D23" s="1"/>
      <c r="E23" s="1"/>
      <c r="F23" s="1"/>
      <c r="G23" s="1"/>
      <c r="H23" s="1"/>
      <c r="I23" s="1"/>
      <c r="J23" s="1"/>
      <c r="K23" s="1"/>
      <c r="L23" s="1"/>
    </row>
    <row r="24" ht="15" customHeight="1">
      <c r="A24" s="1"/>
      <c r="B24" s="1" t="s">
        <v>527</v>
      </c>
      <c r="C24" s="12" t="s">
        <v>521</v>
      </c>
      <c r="D24" s="1"/>
      <c r="E24" s="1"/>
      <c r="F24" s="1"/>
      <c r="G24" s="1"/>
      <c r="H24" s="1"/>
      <c r="I24" s="1"/>
      <c r="J24" s="1"/>
      <c r="K24" s="1"/>
      <c r="L24" s="1"/>
    </row>
    <row r="25" ht="15" customHeight="1">
      <c r="A25" s="1"/>
      <c r="B25" s="1" t="s">
        <v>528</v>
      </c>
      <c r="C25" s="12" t="s">
        <v>529</v>
      </c>
      <c r="D25" s="1"/>
      <c r="E25" s="1"/>
      <c r="F25" s="1"/>
      <c r="G25" s="1"/>
      <c r="H25" s="1"/>
      <c r="I25" s="1"/>
      <c r="J25" s="1"/>
      <c r="K25" s="1"/>
      <c r="L25" s="1"/>
    </row>
    <row r="26" ht="15" customHeight="1">
      <c r="A26" s="1"/>
      <c r="B26" s="1" t="s">
        <v>530</v>
      </c>
      <c r="C26" s="12" t="s">
        <v>521</v>
      </c>
      <c r="D26" s="1"/>
      <c r="E26" s="1"/>
      <c r="F26" s="1"/>
      <c r="G26" s="1"/>
      <c r="H26" s="1"/>
      <c r="I26" s="1"/>
      <c r="J26" s="1"/>
      <c r="K26" s="1"/>
      <c r="L26" s="1"/>
    </row>
    <row r="27" ht="15" customHeight="1">
      <c r="A27" s="1"/>
      <c r="B27" s="1" t="s">
        <v>531</v>
      </c>
      <c r="C27" s="12" t="s">
        <v>532</v>
      </c>
      <c r="D27" s="1"/>
      <c r="E27" s="1"/>
      <c r="F27" s="1"/>
      <c r="G27" s="1"/>
      <c r="H27" s="1"/>
      <c r="I27" s="1"/>
      <c r="J27" s="1"/>
      <c r="K27" s="1"/>
      <c r="L27" s="1"/>
    </row>
    <row r="28" ht="15" customHeight="1">
      <c r="A28" s="1"/>
      <c r="B28" s="1" t="s">
        <v>533</v>
      </c>
      <c r="C28" s="12" t="s">
        <v>534</v>
      </c>
      <c r="D28" s="1"/>
      <c r="E28" s="1"/>
      <c r="F28" s="1"/>
      <c r="G28" s="1"/>
      <c r="H28" s="1"/>
      <c r="I28" s="1"/>
      <c r="J28" s="1"/>
      <c r="K28" s="1"/>
      <c r="L28" s="1"/>
    </row>
    <row r="29" ht="15" customHeight="1">
      <c r="A29" s="1"/>
      <c r="B29" s="1" t="s">
        <v>535</v>
      </c>
      <c r="C29" s="12" t="s">
        <v>536</v>
      </c>
      <c r="D29" s="1"/>
      <c r="E29" s="1"/>
      <c r="F29" s="1"/>
      <c r="G29" s="1"/>
      <c r="H29" s="1"/>
      <c r="I29" s="1"/>
      <c r="J29" s="1"/>
      <c r="K29" s="1"/>
      <c r="L29" s="1"/>
    </row>
    <row r="30" ht="1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15" customHeight="1">
      <c r="A31" s="1"/>
      <c r="B31" s="3" t="s">
        <v>537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15" customHeight="1">
      <c r="A32" s="1"/>
      <c r="B32" s="1" t="s">
        <v>509</v>
      </c>
      <c r="C32" s="12" t="s">
        <v>17</v>
      </c>
      <c r="D32" s="1"/>
      <c r="E32" s="1"/>
      <c r="F32" s="1"/>
      <c r="G32" s="1"/>
      <c r="H32" s="1"/>
      <c r="I32" s="1"/>
      <c r="J32" s="1"/>
      <c r="K32" s="1"/>
      <c r="L32" s="1"/>
    </row>
    <row r="33" ht="15" customHeight="1">
      <c r="A33" s="1"/>
      <c r="B33" s="1" t="s">
        <v>538</v>
      </c>
      <c r="C33" s="12" t="s">
        <v>15</v>
      </c>
      <c r="D33" s="1"/>
      <c r="E33" s="1"/>
      <c r="F33" s="1"/>
      <c r="G33" s="1"/>
      <c r="H33" s="1"/>
      <c r="I33" s="1"/>
      <c r="J33" s="1"/>
      <c r="K33" s="1"/>
      <c r="L33" s="1"/>
    </row>
    <row r="34" ht="15" customHeight="1">
      <c r="A34" s="1"/>
      <c r="B34" s="1" t="s">
        <v>539</v>
      </c>
      <c r="C34" s="12" t="s">
        <v>540</v>
      </c>
      <c r="D34" s="1"/>
      <c r="E34" s="1"/>
      <c r="F34" s="1"/>
      <c r="G34" s="1"/>
      <c r="H34" s="1"/>
      <c r="I34" s="1"/>
      <c r="J34" s="1"/>
      <c r="K34" s="1"/>
      <c r="L34" s="1"/>
    </row>
    <row r="35" ht="15" customHeight="1">
      <c r="A35" s="1"/>
      <c r="B35" s="1" t="s">
        <v>541</v>
      </c>
      <c r="C35" s="103">
        <v>309845</v>
      </c>
      <c r="D35" s="1"/>
      <c r="E35" s="1"/>
      <c r="F35" s="1"/>
      <c r="G35" s="1"/>
      <c r="H35" s="1"/>
      <c r="I35" s="1"/>
      <c r="J35" s="1"/>
      <c r="K35" s="1"/>
      <c r="L35" s="1"/>
    </row>
    <row r="36" ht="15" customHeight="1">
      <c r="A36" s="1"/>
      <c r="B36" s="1" t="s">
        <v>542</v>
      </c>
      <c r="C36" s="12" t="s">
        <v>521</v>
      </c>
      <c r="D36" s="1"/>
      <c r="E36" s="1"/>
      <c r="F36" s="1"/>
      <c r="G36" s="1"/>
      <c r="H36" s="1"/>
      <c r="I36" s="1"/>
      <c r="J36" s="1"/>
      <c r="K36" s="1"/>
      <c r="L36" s="1"/>
    </row>
    <row r="37" ht="15" customHeight="1">
      <c r="A37" s="1"/>
      <c r="B37" s="1" t="s">
        <v>543</v>
      </c>
      <c r="C37" s="12" t="s">
        <v>544</v>
      </c>
      <c r="D37" s="1"/>
      <c r="E37" s="1"/>
      <c r="F37" s="1"/>
      <c r="G37" s="1"/>
      <c r="H37" s="1"/>
      <c r="I37" s="1"/>
      <c r="J37" s="1"/>
      <c r="K37" s="1"/>
      <c r="L37" s="1"/>
    </row>
    <row r="38" ht="15" customHeight="1">
      <c r="A38" s="1"/>
      <c r="B38" s="1" t="s">
        <v>545</v>
      </c>
      <c r="C38" s="12" t="s">
        <v>512</v>
      </c>
      <c r="D38" s="1"/>
      <c r="E38" s="1"/>
      <c r="F38" s="1"/>
      <c r="G38" s="1"/>
      <c r="H38" s="1"/>
      <c r="I38" s="1"/>
      <c r="J38" s="1"/>
      <c r="K38" s="1"/>
      <c r="L38" s="1"/>
    </row>
    <row r="39" ht="15" customHeight="1">
      <c r="A39" s="1"/>
      <c r="B39" s="1" t="s">
        <v>546</v>
      </c>
      <c r="C39" s="97">
        <v>46295</v>
      </c>
      <c r="D39" s="1"/>
      <c r="E39" s="1"/>
      <c r="F39" s="1"/>
      <c r="G39" s="1"/>
      <c r="H39" s="1"/>
      <c r="I39" s="1"/>
      <c r="J39" s="1"/>
      <c r="K39" s="1"/>
      <c r="L39" s="1"/>
    </row>
    <row r="40" ht="15" customHeight="1">
      <c r="A40" s="1"/>
      <c r="B40" s="1" t="s">
        <v>547</v>
      </c>
      <c r="C40" s="97">
        <v>46315</v>
      </c>
      <c r="D40" s="1"/>
      <c r="E40" s="1"/>
      <c r="F40" s="1"/>
      <c r="G40" s="1"/>
      <c r="H40" s="1"/>
      <c r="I40" s="1"/>
      <c r="J40" s="1"/>
      <c r="K40" s="1"/>
      <c r="L40" s="1"/>
    </row>
    <row r="41" ht="15" customHeight="1">
      <c r="A41" s="1"/>
      <c r="B41" s="1" t="s">
        <v>517</v>
      </c>
      <c r="C41" s="12" t="s">
        <v>548</v>
      </c>
      <c r="D41" s="1"/>
      <c r="E41" s="1"/>
      <c r="F41" s="1"/>
      <c r="G41" s="1"/>
      <c r="H41" s="1"/>
      <c r="I41" s="1"/>
      <c r="J41" s="1"/>
      <c r="K41" s="1"/>
      <c r="L41" s="1"/>
    </row>
    <row r="42" ht="15" customHeight="1">
      <c r="A42" s="1"/>
      <c r="B42" s="1" t="s">
        <v>549</v>
      </c>
      <c r="C42" s="33">
        <v>19</v>
      </c>
      <c r="D42" s="1"/>
      <c r="E42" s="1"/>
      <c r="F42" s="1"/>
      <c r="G42" s="1"/>
      <c r="H42" s="1"/>
      <c r="I42" s="1"/>
      <c r="J42" s="1"/>
      <c r="K42" s="1"/>
      <c r="L42" s="1"/>
    </row>
    <row r="43" ht="15" customHeight="1">
      <c r="A43" s="1"/>
      <c r="B43" s="1" t="s">
        <v>550</v>
      </c>
      <c r="C43" s="33">
        <v>20</v>
      </c>
      <c r="D43" s="1"/>
      <c r="E43" s="1"/>
      <c r="F43" s="1"/>
      <c r="G43" s="1"/>
      <c r="H43" s="1"/>
      <c r="I43" s="1"/>
      <c r="J43" s="1"/>
      <c r="K43" s="1"/>
      <c r="L43" s="1"/>
    </row>
    <row r="44" ht="15" customHeight="1">
      <c r="A44" s="1"/>
      <c r="B44" s="1" t="s">
        <v>551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15" customHeight="1">
      <c r="A45" s="1"/>
      <c r="B45" s="1" t="s">
        <v>552</v>
      </c>
      <c r="C45" s="76">
        <v>2.59</v>
      </c>
      <c r="D45" s="1"/>
      <c r="E45" s="1"/>
      <c r="F45" s="1"/>
      <c r="G45" s="1"/>
      <c r="H45" s="1"/>
      <c r="I45" s="1"/>
      <c r="J45" s="1"/>
      <c r="K45" s="1"/>
      <c r="L45" s="1"/>
    </row>
    <row r="46" ht="15" customHeight="1">
      <c r="A46" s="1"/>
      <c r="B46" s="1" t="s">
        <v>553</v>
      </c>
      <c r="C46" s="76">
        <v>2.55</v>
      </c>
      <c r="D46" s="1"/>
      <c r="E46" s="1"/>
      <c r="F46" s="1"/>
      <c r="G46" s="1"/>
      <c r="H46" s="1"/>
      <c r="I46" s="1"/>
      <c r="J46" s="1"/>
      <c r="K46" s="1"/>
      <c r="L46" s="1"/>
    </row>
    <row r="47" ht="15" customHeight="1">
      <c r="A47" s="1"/>
      <c r="B47" s="1" t="s">
        <v>554</v>
      </c>
      <c r="C47" s="76">
        <v>3.01</v>
      </c>
      <c r="D47" s="1"/>
      <c r="E47" s="1"/>
      <c r="F47" s="1"/>
      <c r="G47" s="1"/>
      <c r="H47" s="1"/>
      <c r="I47" s="1"/>
      <c r="J47" s="1"/>
      <c r="K47" s="1"/>
      <c r="L47" s="1"/>
    </row>
    <row r="48" ht="15" customHeight="1">
      <c r="A48" s="1"/>
      <c r="B48" s="1" t="s">
        <v>555</v>
      </c>
      <c r="C48" s="76">
        <v>2.29</v>
      </c>
      <c r="D48" s="1"/>
      <c r="E48" s="1"/>
      <c r="F48" s="1"/>
      <c r="G48" s="1"/>
      <c r="H48" s="1"/>
      <c r="I48" s="1"/>
      <c r="J48" s="1"/>
      <c r="K48" s="1"/>
      <c r="L48" s="1"/>
    </row>
    <row r="49" ht="15" customHeight="1">
      <c r="A49" s="1"/>
      <c r="B49" s="1" t="s">
        <v>556</v>
      </c>
      <c r="C49" s="76">
        <v>0.14</v>
      </c>
      <c r="D49" s="1"/>
      <c r="E49" s="1"/>
      <c r="F49" s="1"/>
      <c r="G49" s="1"/>
      <c r="H49" s="1"/>
      <c r="I49" s="1"/>
      <c r="J49" s="1"/>
      <c r="K49" s="1"/>
      <c r="L49" s="1"/>
    </row>
    <row r="50" ht="15" customHeight="1">
      <c r="A50" s="1"/>
      <c r="B50" s="1" t="s">
        <v>557</v>
      </c>
      <c r="C50" s="33">
        <v>19</v>
      </c>
      <c r="D50" s="1"/>
      <c r="E50" s="1"/>
      <c r="F50" s="1"/>
      <c r="G50" s="1"/>
      <c r="H50" s="1"/>
      <c r="I50" s="1"/>
      <c r="J50" s="1"/>
      <c r="K50" s="1"/>
      <c r="L50" s="1"/>
    </row>
    <row r="51" ht="15" customHeight="1">
      <c r="A51" s="1"/>
      <c r="B51" s="1" t="s">
        <v>558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ht="15" customHeight="1">
      <c r="A52" s="1"/>
      <c r="B52" s="1" t="s">
        <v>559</v>
      </c>
      <c r="C52" s="76">
        <v>2.5</v>
      </c>
      <c r="D52" s="1"/>
      <c r="E52" s="1"/>
      <c r="F52" s="1"/>
      <c r="G52" s="1"/>
      <c r="H52" s="1"/>
      <c r="I52" s="1"/>
      <c r="J52" s="1"/>
      <c r="K52" s="1"/>
      <c r="L52" s="1"/>
    </row>
    <row r="53" ht="15" customHeight="1">
      <c r="A53" s="1"/>
      <c r="B53" s="1" t="s">
        <v>560</v>
      </c>
      <c r="C53" s="76">
        <v>3.5</v>
      </c>
      <c r="D53" s="1"/>
      <c r="E53" s="1"/>
      <c r="F53" s="1"/>
      <c r="G53" s="1"/>
      <c r="H53" s="1"/>
      <c r="I53" s="1"/>
      <c r="J53" s="1"/>
      <c r="K53" s="1"/>
      <c r="L53" s="1"/>
    </row>
    <row r="54" ht="15" customHeight="1">
      <c r="A54" s="1"/>
      <c r="B54" s="1" t="s">
        <v>561</v>
      </c>
      <c r="C54" s="76">
        <v>2.79</v>
      </c>
      <c r="D54" s="1"/>
      <c r="E54" s="1"/>
      <c r="F54" s="1"/>
      <c r="G54" s="1"/>
      <c r="H54" s="1"/>
      <c r="I54" s="1"/>
      <c r="J54" s="1"/>
      <c r="K54" s="1"/>
      <c r="L54" s="1"/>
    </row>
    <row r="55" ht="15" customHeight="1">
      <c r="A55" s="1"/>
      <c r="B55" s="1" t="s">
        <v>562</v>
      </c>
      <c r="C55" s="76">
        <v>2.68</v>
      </c>
      <c r="D55" s="1"/>
      <c r="E55" s="1"/>
      <c r="F55" s="1"/>
      <c r="G55" s="1"/>
      <c r="H55" s="1"/>
      <c r="I55" s="1"/>
      <c r="J55" s="1"/>
      <c r="K55" s="1"/>
      <c r="L55" s="1"/>
    </row>
    <row r="56" ht="15" customHeight="1">
      <c r="A56" s="1"/>
      <c r="B56" s="1" t="s">
        <v>563</v>
      </c>
      <c r="C56" s="76">
        <v>3.43</v>
      </c>
      <c r="D56" s="1"/>
      <c r="E56" s="1"/>
      <c r="F56" s="1"/>
      <c r="G56" s="1"/>
      <c r="H56" s="1"/>
      <c r="I56" s="1"/>
      <c r="J56" s="1"/>
      <c r="K56" s="1"/>
      <c r="L56" s="1"/>
    </row>
    <row r="57" ht="15" customHeight="1">
      <c r="A57" s="1"/>
      <c r="B57" s="1" t="s">
        <v>564</v>
      </c>
      <c r="C57" s="76">
        <v>2.45</v>
      </c>
      <c r="D57" s="1"/>
      <c r="E57" s="1"/>
      <c r="F57" s="1"/>
      <c r="G57" s="1"/>
      <c r="H57" s="1"/>
      <c r="I57" s="1"/>
      <c r="J57" s="1"/>
      <c r="K57" s="1"/>
      <c r="L57" s="1"/>
    </row>
    <row r="58" ht="15" customHeight="1">
      <c r="A58" s="1"/>
      <c r="B58" s="1" t="s">
        <v>565</v>
      </c>
      <c r="C58" s="76">
        <v>0.31</v>
      </c>
      <c r="D58" s="1"/>
      <c r="E58" s="1"/>
      <c r="F58" s="1"/>
      <c r="G58" s="1"/>
      <c r="H58" s="1"/>
      <c r="I58" s="1"/>
      <c r="J58" s="1"/>
      <c r="K58" s="1"/>
      <c r="L58" s="1"/>
    </row>
    <row r="59" ht="15" customHeight="1">
      <c r="A59" s="1"/>
      <c r="B59" s="1" t="s">
        <v>566</v>
      </c>
      <c r="C59" s="33">
        <v>7</v>
      </c>
      <c r="D59" s="1"/>
      <c r="E59" s="1"/>
      <c r="F59" s="1"/>
      <c r="G59" s="1"/>
      <c r="H59" s="1"/>
      <c r="I59" s="1"/>
      <c r="J59" s="1"/>
      <c r="K59" s="1"/>
      <c r="L59" s="1"/>
    </row>
    <row r="60" ht="15" customHeight="1">
      <c r="A60" s="1"/>
      <c r="B60" s="1" t="s">
        <v>567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ht="15" customHeight="1">
      <c r="A61" s="1"/>
      <c r="B61" s="1" t="s">
        <v>568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ht="15" customHeight="1">
      <c r="A62" s="1"/>
      <c r="B62" s="1" t="s">
        <v>569</v>
      </c>
      <c r="C62" s="1"/>
      <c r="D62" s="1"/>
      <c r="E62" s="1"/>
      <c r="F62" s="1"/>
      <c r="G62" s="1"/>
      <c r="H62" s="1"/>
      <c r="I62" s="1"/>
      <c r="J62" s="1"/>
      <c r="K62" s="1"/>
      <c r="L62" s="1"/>
    </row>
    <row r="63" ht="15" customHeight="1">
      <c r="A63" s="1"/>
      <c r="B63" s="1" t="s">
        <v>570</v>
      </c>
      <c r="C63" s="54">
        <v>17899.19</v>
      </c>
      <c r="D63" s="1"/>
      <c r="E63" s="1"/>
      <c r="F63" s="1"/>
      <c r="G63" s="1"/>
      <c r="H63" s="1"/>
      <c r="I63" s="1"/>
      <c r="J63" s="1"/>
      <c r="K63" s="1"/>
      <c r="L63" s="1"/>
    </row>
    <row r="64" ht="15" customHeight="1">
      <c r="A64" s="1"/>
      <c r="B64" s="1" t="s">
        <v>571</v>
      </c>
      <c r="C64" s="54">
        <v>17931.49</v>
      </c>
      <c r="D64" s="1"/>
      <c r="E64" s="1"/>
      <c r="F64" s="1"/>
      <c r="G64" s="1"/>
      <c r="H64" s="1"/>
      <c r="I64" s="1"/>
      <c r="J64" s="1"/>
      <c r="K64" s="1"/>
      <c r="L64" s="1"/>
    </row>
    <row r="65" ht="15" customHeight="1">
      <c r="A65" s="1"/>
      <c r="B65" s="1" t="s">
        <v>572</v>
      </c>
      <c r="C65" s="54">
        <v>18018</v>
      </c>
      <c r="D65" s="1"/>
      <c r="E65" s="1"/>
      <c r="F65" s="1"/>
      <c r="G65" s="1"/>
      <c r="H65" s="1"/>
      <c r="I65" s="1"/>
      <c r="J65" s="1"/>
      <c r="K65" s="1"/>
      <c r="L65" s="1"/>
    </row>
    <row r="66" ht="15" customHeight="1">
      <c r="A66" s="1"/>
      <c r="B66" s="1" t="s">
        <v>573</v>
      </c>
      <c r="C66" s="54">
        <v>17688</v>
      </c>
      <c r="D66" s="1"/>
      <c r="E66" s="1"/>
      <c r="F66" s="1"/>
      <c r="G66" s="1"/>
      <c r="H66" s="1"/>
      <c r="I66" s="1"/>
      <c r="J66" s="1"/>
      <c r="K66" s="1"/>
      <c r="L66" s="1"/>
    </row>
    <row r="67" ht="15" customHeight="1">
      <c r="A67" s="1"/>
      <c r="B67" s="1" t="s">
        <v>574</v>
      </c>
      <c r="C67" s="54">
        <v>97.49</v>
      </c>
      <c r="D67" s="1"/>
      <c r="E67" s="1"/>
      <c r="F67" s="1"/>
      <c r="G67" s="1"/>
      <c r="H67" s="1"/>
      <c r="I67" s="1"/>
      <c r="J67" s="1"/>
      <c r="K67" s="1"/>
      <c r="L67" s="1"/>
    </row>
    <row r="68" ht="15" customHeight="1">
      <c r="A68" s="1"/>
      <c r="B68" s="1" t="s">
        <v>575</v>
      </c>
      <c r="C68" s="33">
        <v>16</v>
      </c>
      <c r="D68" s="1"/>
      <c r="E68" s="1"/>
      <c r="F68" s="1"/>
      <c r="G68" s="1"/>
      <c r="H68" s="1"/>
      <c r="I68" s="1"/>
      <c r="J68" s="1"/>
      <c r="K68" s="1"/>
      <c r="L68" s="1"/>
    </row>
    <row r="69" ht="15" customHeight="1">
      <c r="A69" s="1"/>
      <c r="B69" s="1" t="s">
        <v>576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ht="15" customHeight="1">
      <c r="A70" s="1"/>
      <c r="B70" s="1" t="s">
        <v>577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ht="15" customHeight="1">
      <c r="A71" s="1"/>
      <c r="B71" s="1" t="s">
        <v>578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ht="15" customHeight="1">
      <c r="A72" s="1"/>
      <c r="B72" s="1" t="s">
        <v>579</v>
      </c>
      <c r="C72" s="54">
        <v>2090.35</v>
      </c>
      <c r="D72" s="1"/>
      <c r="E72" s="1"/>
      <c r="F72" s="1"/>
      <c r="G72" s="1"/>
      <c r="H72" s="1"/>
      <c r="I72" s="1"/>
      <c r="J72" s="1"/>
      <c r="K72" s="1"/>
      <c r="L72" s="1"/>
    </row>
    <row r="73" ht="15" customHeight="1">
      <c r="A73" s="1"/>
      <c r="B73" s="1" t="s">
        <v>580</v>
      </c>
      <c r="C73" s="54">
        <v>1254.16</v>
      </c>
      <c r="D73" s="1"/>
      <c r="E73" s="1"/>
      <c r="F73" s="1"/>
      <c r="G73" s="1"/>
      <c r="H73" s="1"/>
      <c r="I73" s="1"/>
      <c r="J73" s="1"/>
      <c r="K73" s="1"/>
      <c r="L73" s="1"/>
    </row>
    <row r="74" ht="15" customHeight="1">
      <c r="A74" s="1"/>
      <c r="B74" s="1" t="s">
        <v>581</v>
      </c>
      <c r="C74" s="54">
        <v>1137.25</v>
      </c>
      <c r="D74" s="1"/>
      <c r="E74" s="1"/>
      <c r="F74" s="1"/>
      <c r="G74" s="1"/>
      <c r="H74" s="1"/>
      <c r="I74" s="1"/>
      <c r="J74" s="1"/>
      <c r="K74" s="1"/>
      <c r="L74" s="1"/>
    </row>
    <row r="75" ht="15" customHeight="1">
      <c r="A75" s="1"/>
      <c r="B75" s="1" t="s">
        <v>582</v>
      </c>
      <c r="C75" s="54">
        <v>1204.4</v>
      </c>
      <c r="D75" s="1"/>
      <c r="E75" s="1"/>
      <c r="F75" s="1"/>
      <c r="G75" s="1"/>
      <c r="H75" s="1"/>
      <c r="I75" s="1"/>
      <c r="J75" s="1"/>
      <c r="K75" s="1"/>
      <c r="L75" s="1"/>
    </row>
    <row r="76" ht="15" customHeight="1">
      <c r="A76" s="1"/>
      <c r="B76" s="1" t="s">
        <v>583</v>
      </c>
      <c r="C76" s="54">
        <v>859.78</v>
      </c>
      <c r="D76" s="1"/>
      <c r="E76" s="1"/>
      <c r="F76" s="1"/>
      <c r="G76" s="1"/>
      <c r="H76" s="1"/>
      <c r="I76" s="1"/>
      <c r="J76" s="1"/>
      <c r="K76" s="1"/>
      <c r="L76" s="1"/>
    </row>
    <row r="77" ht="15" customHeight="1">
      <c r="A77" s="1"/>
      <c r="B77" s="1" t="s">
        <v>584</v>
      </c>
      <c r="C77" s="54">
        <v>909.74</v>
      </c>
      <c r="D77" s="1"/>
      <c r="E77" s="1"/>
      <c r="F77" s="1"/>
      <c r="G77" s="1"/>
      <c r="H77" s="1"/>
      <c r="I77" s="1"/>
      <c r="J77" s="1"/>
      <c r="K77" s="1"/>
      <c r="L77" s="1"/>
    </row>
    <row r="78" ht="15" customHeight="1">
      <c r="A78" s="1"/>
      <c r="B78" s="1" t="s">
        <v>585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ht="15" customHeight="1">
      <c r="A79" s="1"/>
      <c r="B79" s="1" t="s">
        <v>586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ht="15" customHeight="1">
      <c r="A80" s="1"/>
      <c r="B80" s="1" t="s">
        <v>587</v>
      </c>
      <c r="C80" s="54">
        <v>767.11</v>
      </c>
      <c r="D80" s="1"/>
      <c r="E80" s="1"/>
      <c r="F80" s="1"/>
      <c r="G80" s="1"/>
      <c r="H80" s="1"/>
      <c r="I80" s="1"/>
      <c r="J80" s="1"/>
      <c r="K80" s="1"/>
      <c r="L80" s="1"/>
    </row>
    <row r="81" ht="15" customHeight="1">
      <c r="A81" s="1"/>
      <c r="B81" s="1" t="s">
        <v>588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ht="15" customHeight="1">
      <c r="A82" s="1"/>
      <c r="B82" s="1" t="s">
        <v>589</v>
      </c>
      <c r="C82" s="1"/>
      <c r="D82" s="1"/>
      <c r="E82" s="1"/>
      <c r="F82" s="1"/>
      <c r="G82" s="1"/>
      <c r="H82" s="1"/>
      <c r="I82" s="1"/>
      <c r="J82" s="1"/>
      <c r="K82" s="1"/>
      <c r="L82" s="1"/>
    </row>
    <row r="83" ht="15" customHeight="1">
      <c r="A83" s="1"/>
      <c r="B83" s="1" t="s">
        <v>590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ht="15" customHeight="1">
      <c r="A84" s="1"/>
      <c r="B84" s="1" t="s">
        <v>591</v>
      </c>
      <c r="C84" s="54">
        <v>-345</v>
      </c>
      <c r="D84" s="1"/>
      <c r="E84" s="1"/>
      <c r="F84" s="1"/>
      <c r="G84" s="1"/>
      <c r="H84" s="1"/>
      <c r="I84" s="1"/>
      <c r="J84" s="1"/>
      <c r="K84" s="1"/>
      <c r="L84" s="1"/>
    </row>
    <row r="85" ht="15" customHeight="1">
      <c r="A85" s="1"/>
      <c r="B85" s="1" t="s">
        <v>592</v>
      </c>
      <c r="C85" s="54">
        <v>11354.49</v>
      </c>
      <c r="D85" s="1"/>
      <c r="E85" s="1"/>
      <c r="F85" s="1"/>
      <c r="G85" s="1"/>
      <c r="H85" s="1"/>
      <c r="I85" s="1"/>
      <c r="J85" s="1"/>
      <c r="K85" s="1"/>
      <c r="L85" s="1"/>
    </row>
    <row r="86" ht="15" customHeight="1">
      <c r="A86" s="1"/>
      <c r="B86" s="1" t="s">
        <v>593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ht="15" customHeight="1">
      <c r="A87" s="1"/>
      <c r="B87" s="1" t="s">
        <v>594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ht="15" customHeight="1">
      <c r="A88" s="1"/>
      <c r="B88" s="1" t="s">
        <v>595</v>
      </c>
      <c r="C88" s="76">
        <v>152.48</v>
      </c>
      <c r="D88" s="1"/>
      <c r="E88" s="1"/>
      <c r="F88" s="1"/>
      <c r="G88" s="1"/>
      <c r="H88" s="1"/>
      <c r="I88" s="1"/>
      <c r="J88" s="1"/>
      <c r="K88" s="1"/>
      <c r="L88" s="1"/>
    </row>
    <row r="89" ht="15" customHeight="1">
      <c r="A89" s="1"/>
      <c r="B89" s="1" t="s">
        <v>596</v>
      </c>
      <c r="C89" s="76">
        <v>150</v>
      </c>
      <c r="D89" s="1"/>
      <c r="E89" s="1"/>
      <c r="F89" s="1"/>
      <c r="G89" s="1"/>
      <c r="H89" s="1"/>
      <c r="I89" s="1"/>
      <c r="J89" s="1"/>
      <c r="K89" s="1"/>
      <c r="L89" s="1"/>
    </row>
    <row r="90" ht="15" customHeight="1">
      <c r="A90" s="1"/>
      <c r="B90" s="1" t="s">
        <v>597</v>
      </c>
      <c r="C90" s="76">
        <v>203</v>
      </c>
      <c r="D90" s="1"/>
      <c r="E90" s="1"/>
      <c r="F90" s="1"/>
      <c r="G90" s="1"/>
      <c r="H90" s="1"/>
      <c r="I90" s="1"/>
      <c r="J90" s="1"/>
      <c r="K90" s="1"/>
      <c r="L90" s="1"/>
    </row>
    <row r="91" ht="15" customHeight="1">
      <c r="A91" s="1"/>
      <c r="B91" s="1" t="s">
        <v>598</v>
      </c>
      <c r="C91" s="76">
        <v>102</v>
      </c>
      <c r="D91" s="1"/>
      <c r="E91" s="1"/>
      <c r="F91" s="1"/>
      <c r="G91" s="1"/>
      <c r="H91" s="1"/>
      <c r="I91" s="1"/>
      <c r="J91" s="1"/>
      <c r="K91" s="1"/>
      <c r="L91" s="1"/>
    </row>
    <row r="92" ht="15" customHeight="1">
      <c r="A92" s="1"/>
      <c r="B92" s="1" t="s">
        <v>599</v>
      </c>
      <c r="C92" s="76">
        <v>20.28</v>
      </c>
      <c r="D92" s="1"/>
      <c r="E92" s="1"/>
      <c r="F92" s="1"/>
      <c r="G92" s="1"/>
      <c r="H92" s="1"/>
      <c r="I92" s="1"/>
      <c r="J92" s="1"/>
      <c r="K92" s="1"/>
      <c r="L92" s="1"/>
    </row>
    <row r="93" ht="15" customHeight="1">
      <c r="A93" s="1"/>
      <c r="B93" s="1" t="s">
        <v>600</v>
      </c>
      <c r="C93" s="33">
        <v>23</v>
      </c>
      <c r="D93" s="1"/>
      <c r="E93" s="1"/>
      <c r="F93" s="1"/>
      <c r="G93" s="1"/>
      <c r="H93" s="1"/>
      <c r="I93" s="1"/>
      <c r="J93" s="1"/>
      <c r="K93" s="1"/>
      <c r="L93" s="1"/>
    </row>
    <row r="94" ht="15" customHeight="1">
      <c r="A94" s="1"/>
      <c r="B94" s="1" t="s">
        <v>601</v>
      </c>
      <c r="C94" s="12" t="s">
        <v>602</v>
      </c>
      <c r="D94" s="1"/>
      <c r="E94" s="1"/>
      <c r="F94" s="1"/>
      <c r="G94" s="1"/>
      <c r="H94" s="1"/>
      <c r="I94" s="1"/>
      <c r="J94" s="1"/>
      <c r="K94" s="1"/>
      <c r="L94" s="1"/>
    </row>
    <row r="95" ht="15" customHeight="1">
      <c r="A95" s="1"/>
      <c r="B95" s="1" t="s">
        <v>603</v>
      </c>
      <c r="C95" s="69">
        <v>1.32</v>
      </c>
      <c r="D95" s="1"/>
      <c r="E95" s="1"/>
      <c r="F95" s="1"/>
      <c r="G95" s="1"/>
      <c r="H95" s="1"/>
      <c r="I95" s="1"/>
      <c r="J95" s="1"/>
      <c r="K95" s="1"/>
      <c r="L95" s="1"/>
    </row>
    <row r="96" ht="15" customHeight="1">
      <c r="A96" s="1"/>
      <c r="B96" s="1" t="s">
        <v>604</v>
      </c>
      <c r="C96" s="76">
        <v>96.1</v>
      </c>
      <c r="D96" s="1"/>
      <c r="E96" s="1"/>
      <c r="F96" s="1"/>
      <c r="G96" s="1"/>
      <c r="H96" s="1"/>
      <c r="I96" s="1"/>
      <c r="J96" s="1"/>
      <c r="K96" s="1"/>
      <c r="L96" s="1"/>
    </row>
    <row r="97" ht="15" customHeight="1">
      <c r="A97" s="1"/>
      <c r="B97" s="1" t="s">
        <v>605</v>
      </c>
      <c r="C97" s="12" t="s">
        <v>606</v>
      </c>
      <c r="D97" s="1"/>
      <c r="E97" s="1"/>
      <c r="F97" s="1"/>
      <c r="G97" s="1"/>
      <c r="H97" s="1"/>
      <c r="I97" s="1"/>
      <c r="J97" s="1"/>
      <c r="K97" s="1"/>
      <c r="L97" s="1"/>
    </row>
    <row r="98" ht="15" customHeight="1">
      <c r="A98" s="1"/>
      <c r="B98" s="1" t="s">
        <v>607</v>
      </c>
      <c r="C98" s="97">
        <v>46313</v>
      </c>
      <c r="D98" s="1"/>
      <c r="E98" s="1"/>
      <c r="F98" s="1"/>
      <c r="G98" s="1"/>
      <c r="H98" s="1"/>
      <c r="I98" s="1"/>
      <c r="J98" s="1"/>
      <c r="K98" s="1"/>
      <c r="L98" s="1"/>
    </row>
    <row r="99" ht="15" customHeight="1">
      <c r="A99" s="1"/>
      <c r="B99" s="1" t="s">
        <v>608</v>
      </c>
      <c r="C99" s="12" t="s">
        <v>609</v>
      </c>
      <c r="D99" s="1"/>
      <c r="E99" s="1"/>
      <c r="F99" s="1"/>
      <c r="G99" s="1"/>
      <c r="H99" s="1"/>
      <c r="I99" s="1"/>
      <c r="J99" s="1"/>
      <c r="K99" s="1"/>
      <c r="L99" s="1"/>
    </row>
    <row r="100" ht="1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ht="15" customHeight="1">
      <c r="A101" s="1"/>
      <c r="B101" s="3" t="s">
        <v>610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ht="38.25" customHeight="1">
      <c r="A102" s="1"/>
      <c r="B102" s="13" t="s">
        <v>513</v>
      </c>
      <c r="C102" s="14" t="s">
        <v>611</v>
      </c>
      <c r="D102" s="14" t="s">
        <v>612</v>
      </c>
      <c r="E102" s="14" t="s">
        <v>613</v>
      </c>
      <c r="F102" s="14" t="s">
        <v>614</v>
      </c>
      <c r="G102" s="14" t="s">
        <v>615</v>
      </c>
      <c r="H102" s="14" t="s">
        <v>616</v>
      </c>
      <c r="I102" s="14" t="s">
        <v>617</v>
      </c>
      <c r="J102" s="1"/>
      <c r="K102" s="1"/>
      <c r="L102" s="1"/>
    </row>
    <row r="103" ht="15" customHeight="1">
      <c r="A103" s="1"/>
      <c r="B103" s="104">
        <v>45747</v>
      </c>
      <c r="C103" s="97">
        <v>45762</v>
      </c>
      <c r="D103" s="76">
        <v>0.74</v>
      </c>
      <c r="E103" s="76">
        <v>0.91</v>
      </c>
      <c r="F103" s="76">
        <v>0.73</v>
      </c>
      <c r="G103" s="76">
        <v>1.16</v>
      </c>
      <c r="H103" s="54">
        <v>13183.74</v>
      </c>
      <c r="I103" s="54">
        <v>13213</v>
      </c>
      <c r="J103" s="1"/>
      <c r="K103" s="1"/>
      <c r="L103" s="1"/>
    </row>
    <row r="104" ht="15" customHeight="1">
      <c r="A104" s="1"/>
      <c r="B104" s="104">
        <v>45838</v>
      </c>
      <c r="C104" s="97">
        <v>45854</v>
      </c>
      <c r="D104" s="76">
        <v>3.81</v>
      </c>
      <c r="E104" s="76">
        <v>3.87</v>
      </c>
      <c r="F104" s="76">
        <v>3.88</v>
      </c>
      <c r="G104" s="76">
        <v>2.97</v>
      </c>
      <c r="H104" s="54">
        <v>15340.46</v>
      </c>
      <c r="I104" s="54">
        <v>15236</v>
      </c>
      <c r="J104" s="1"/>
      <c r="K104" s="1"/>
      <c r="L104" s="1"/>
    </row>
    <row r="105" ht="15" customHeight="1">
      <c r="A105" s="1"/>
      <c r="B105" s="104">
        <v>45930</v>
      </c>
      <c r="C105" s="97">
        <v>45945</v>
      </c>
      <c r="D105" s="76">
        <v>2.68</v>
      </c>
      <c r="E105" s="76">
        <v>2.78</v>
      </c>
      <c r="F105" s="76">
        <v>2.73</v>
      </c>
      <c r="G105" s="76">
        <v>2.9</v>
      </c>
      <c r="H105" s="54">
        <v>15293.99</v>
      </c>
      <c r="I105" s="54">
        <v>15225</v>
      </c>
      <c r="J105" s="1"/>
      <c r="K105" s="1"/>
      <c r="L105" s="1"/>
    </row>
    <row r="106" ht="15" customHeight="1">
      <c r="A106" s="1"/>
      <c r="B106" s="104">
        <v>46022</v>
      </c>
      <c r="C106" s="97">
        <v>46042</v>
      </c>
      <c r="D106" s="76">
        <v>2.94</v>
      </c>
      <c r="E106" s="76">
        <v>3.1</v>
      </c>
      <c r="F106" s="76">
        <v>2.92</v>
      </c>
      <c r="G106" s="76">
        <v>3.19</v>
      </c>
      <c r="H106" s="54">
        <v>15343.06</v>
      </c>
      <c r="I106" s="54">
        <v>15397</v>
      </c>
      <c r="J106" s="1"/>
      <c r="K106" s="1"/>
      <c r="L106" s="1"/>
    </row>
    <row r="107" ht="15" customHeight="1">
      <c r="A107" s="1"/>
      <c r="B107" s="104">
        <v>46112</v>
      </c>
      <c r="C107" s="97">
        <v>46133</v>
      </c>
      <c r="D107" s="76">
        <v>1.08</v>
      </c>
      <c r="E107" s="76">
        <v>1.19</v>
      </c>
      <c r="F107" s="76">
        <v>1.12</v>
      </c>
      <c r="G107" s="76">
        <v>2.14</v>
      </c>
      <c r="H107" s="54">
        <v>14375.93</v>
      </c>
      <c r="I107" s="54">
        <v>14608</v>
      </c>
      <c r="J107" s="1"/>
      <c r="K107" s="1"/>
      <c r="L107" s="1"/>
    </row>
    <row r="108" ht="15" customHeight="1">
      <c r="A108" s="1"/>
      <c r="B108" s="104">
        <v>46203</v>
      </c>
      <c r="C108" s="97">
        <v>46218</v>
      </c>
      <c r="D108" s="76">
        <v>1.85</v>
      </c>
      <c r="E108" s="76">
        <v>1.99</v>
      </c>
      <c r="F108" s="76">
        <v>1.79</v>
      </c>
      <c r="G108" s="76">
        <v>2.46</v>
      </c>
      <c r="H108" s="54">
        <v>17570.97</v>
      </c>
      <c r="I108" s="54">
        <v>17672</v>
      </c>
      <c r="J108" s="1"/>
      <c r="K108" s="1"/>
      <c r="L108" s="1"/>
    </row>
    <row r="109" ht="25.5" customHeight="1">
      <c r="A109" s="1"/>
      <c r="B109" s="13" t="s">
        <v>618</v>
      </c>
      <c r="C109" s="14"/>
      <c r="D109" s="14" t="s">
        <v>619</v>
      </c>
      <c r="E109" s="14" t="s">
        <v>620</v>
      </c>
      <c r="F109" s="14" t="s">
        <v>621</v>
      </c>
      <c r="G109" s="14" t="s">
        <v>622</v>
      </c>
      <c r="H109" s="14"/>
      <c r="I109" s="1"/>
      <c r="J109" s="1"/>
      <c r="K109" s="1"/>
      <c r="L109" s="1"/>
    </row>
    <row r="110" ht="15" customHeight="1">
      <c r="A110" s="1"/>
      <c r="B110" s="105">
        <f t="shared" si="3" ref="B110:B115">B103</f>
        <v>45747</v>
      </c>
      <c r="C110" s="1"/>
      <c r="D110" s="39">
        <f t="shared" si="2" ref="D110:F115">IF(E103&gt;D103,1,0)</f>
        <v>1</v>
      </c>
      <c r="E110" s="24">
        <f t="shared" si="4" ref="E110:E115">E103-D103</f>
        <v>0.17000000000000004</v>
      </c>
      <c r="F110" s="39">
        <f t="shared" si="2"/>
        <v>1</v>
      </c>
      <c r="G110" s="17">
        <f t="shared" si="5" ref="G110:G115">I103/H103-1</f>
        <v>0.002219400564634988</v>
      </c>
      <c r="H110" s="1"/>
      <c r="I110" s="1"/>
      <c r="J110" s="1"/>
      <c r="K110" s="1"/>
      <c r="L110" s="1"/>
    </row>
    <row r="111" ht="15" customHeight="1">
      <c r="A111" s="1"/>
      <c r="B111" s="105">
        <f t="shared" si="3"/>
        <v>45838</v>
      </c>
      <c r="C111" s="1"/>
      <c r="D111" s="39">
        <f t="shared" si="2"/>
        <v>1</v>
      </c>
      <c r="E111" s="24">
        <f t="shared" si="4"/>
        <v>0.06000000000000005</v>
      </c>
      <c r="F111" s="39">
        <f t="shared" si="2"/>
        <v>0</v>
      </c>
      <c r="G111" s="17">
        <f t="shared" si="5"/>
        <v>-0.006809443784606128</v>
      </c>
      <c r="H111" s="1"/>
      <c r="I111" s="1"/>
      <c r="J111" s="1"/>
      <c r="K111" s="1"/>
      <c r="L111" s="1"/>
    </row>
    <row r="112" ht="15" customHeight="1">
      <c r="A112" s="1"/>
      <c r="B112" s="105">
        <f t="shared" si="3"/>
        <v>45930</v>
      </c>
      <c r="C112" s="1"/>
      <c r="D112" s="39">
        <f t="shared" si="2"/>
        <v>1</v>
      </c>
      <c r="E112" s="24">
        <f t="shared" si="4"/>
        <v>0.09999999999999964</v>
      </c>
      <c r="F112" s="39">
        <f t="shared" si="2"/>
        <v>1</v>
      </c>
      <c r="G112" s="17">
        <f t="shared" si="5"/>
        <v>-0.004510922264235773</v>
      </c>
      <c r="H112" s="1"/>
      <c r="I112" s="1"/>
      <c r="J112" s="1"/>
      <c r="K112" s="1"/>
      <c r="L112" s="1"/>
    </row>
    <row r="113" ht="15" customHeight="1">
      <c r="A113" s="1"/>
      <c r="B113" s="105">
        <f t="shared" si="3"/>
        <v>46022</v>
      </c>
      <c r="C113" s="1"/>
      <c r="D113" s="39">
        <f t="shared" si="2"/>
        <v>1</v>
      </c>
      <c r="E113" s="24">
        <f t="shared" si="4"/>
        <v>0.16000000000000014</v>
      </c>
      <c r="F113" s="39">
        <f t="shared" si="2"/>
        <v>1</v>
      </c>
      <c r="G113" s="17">
        <f t="shared" si="5"/>
        <v>0.0035155959762915856</v>
      </c>
      <c r="H113" s="1"/>
      <c r="I113" s="1"/>
      <c r="J113" s="1"/>
      <c r="K113" s="1"/>
      <c r="L113" s="1"/>
    </row>
    <row r="114" ht="15" customHeight="1">
      <c r="A114" s="1"/>
      <c r="B114" s="105">
        <f t="shared" si="3"/>
        <v>46112</v>
      </c>
      <c r="C114" s="1"/>
      <c r="D114" s="39">
        <f t="shared" si="2"/>
        <v>1</v>
      </c>
      <c r="E114" s="24">
        <f t="shared" si="4"/>
        <v>0.10999999999999988</v>
      </c>
      <c r="F114" s="39">
        <f t="shared" si="2"/>
        <v>1</v>
      </c>
      <c r="G114" s="17">
        <f t="shared" si="5"/>
        <v>0.01614295562095802</v>
      </c>
      <c r="H114" s="1"/>
      <c r="I114" s="1"/>
      <c r="J114" s="1"/>
      <c r="K114" s="1"/>
      <c r="L114" s="1"/>
    </row>
    <row r="115" ht="15" customHeight="1">
      <c r="A115" s="1"/>
      <c r="B115" s="105">
        <f t="shared" si="3"/>
        <v>46203</v>
      </c>
      <c r="C115" s="1"/>
      <c r="D115" s="39">
        <f t="shared" si="2"/>
        <v>1</v>
      </c>
      <c r="E115" s="24">
        <f t="shared" si="4"/>
        <v>0.1399999999999999</v>
      </c>
      <c r="F115" s="39">
        <f t="shared" si="2"/>
        <v>1</v>
      </c>
      <c r="G115" s="17">
        <f t="shared" si="5"/>
        <v>0.005749824853152674</v>
      </c>
      <c r="H115" s="1"/>
      <c r="I115" s="1"/>
      <c r="J115" s="1"/>
      <c r="K115" s="1"/>
      <c r="L115" s="1"/>
    </row>
    <row r="116" ht="1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ht="15" customHeight="1">
      <c r="A117" s="1"/>
      <c r="B117" s="3" t="s">
        <v>623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ht="15" customHeight="1">
      <c r="A118" s="1"/>
      <c r="B118" s="13" t="s">
        <v>3</v>
      </c>
      <c r="C118" s="14" t="s">
        <v>624</v>
      </c>
      <c r="D118" s="14" t="s">
        <v>625</v>
      </c>
      <c r="E118" s="14" t="s">
        <v>626</v>
      </c>
      <c r="F118" s="14" t="s">
        <v>627</v>
      </c>
      <c r="G118" s="14" t="s">
        <v>628</v>
      </c>
      <c r="H118" s="14"/>
      <c r="I118" s="1"/>
      <c r="J118" s="1"/>
      <c r="K118" s="1"/>
      <c r="L118" s="1"/>
    </row>
    <row r="119" ht="15" customHeight="1">
      <c r="A119" s="1"/>
      <c r="B119" s="30" t="s">
        <v>146</v>
      </c>
      <c r="C119" s="54">
        <v>13561</v>
      </c>
      <c r="D119" s="54">
        <v>13275</v>
      </c>
      <c r="E119" s="54">
        <v>51829</v>
      </c>
      <c r="F119" s="54">
        <v>11860</v>
      </c>
      <c r="G119" s="54">
        <v>13836</v>
      </c>
      <c r="H119" s="1"/>
      <c r="I119" s="1"/>
      <c r="J119" s="1"/>
      <c r="K119" s="1"/>
      <c r="L119" s="1"/>
    </row>
    <row r="120" ht="15" customHeight="1">
      <c r="A120" s="1"/>
      <c r="B120" s="30" t="s">
        <v>147</v>
      </c>
      <c r="C120" s="54">
        <v>417</v>
      </c>
      <c r="D120" s="54">
        <v>521</v>
      </c>
      <c r="E120" s="54">
        <v>1743</v>
      </c>
      <c r="F120" s="54">
        <v>429</v>
      </c>
      <c r="G120" s="54">
        <v>430</v>
      </c>
      <c r="H120" s="1"/>
      <c r="I120" s="1"/>
      <c r="J120" s="1"/>
      <c r="K120" s="1"/>
      <c r="L120" s="1"/>
    </row>
    <row r="121" ht="15" customHeight="1">
      <c r="A121" s="1"/>
      <c r="B121" s="30" t="s">
        <v>154</v>
      </c>
      <c r="C121" s="54">
        <v>865</v>
      </c>
      <c r="D121" s="54">
        <v>899</v>
      </c>
      <c r="E121" s="54">
        <v>3491</v>
      </c>
      <c r="F121" s="54">
        <v>923</v>
      </c>
      <c r="G121" s="54">
        <v>970</v>
      </c>
      <c r="H121" s="1"/>
      <c r="I121" s="1"/>
      <c r="J121" s="1"/>
      <c r="K121" s="1"/>
      <c r="L121" s="1"/>
    </row>
    <row r="122" ht="15" customHeight="1">
      <c r="A122" s="1"/>
      <c r="B122" s="30" t="s">
        <v>155</v>
      </c>
      <c r="C122" s="54">
        <v>14843</v>
      </c>
      <c r="D122" s="54">
        <v>14695</v>
      </c>
      <c r="E122" s="54">
        <v>57063</v>
      </c>
      <c r="F122" s="54">
        <v>13213</v>
      </c>
      <c r="G122" s="54">
        <v>15236</v>
      </c>
      <c r="H122" s="1"/>
      <c r="I122" s="1"/>
      <c r="J122" s="1"/>
      <c r="K122" s="1"/>
      <c r="L122" s="1"/>
    </row>
    <row r="123" ht="15" customHeight="1">
      <c r="A123" s="1"/>
      <c r="B123" s="30" t="s">
        <v>171</v>
      </c>
      <c r="C123" s="54">
        <v>4323</v>
      </c>
      <c r="D123" s="54">
        <v>4325</v>
      </c>
      <c r="E123" s="54">
        <v>16678</v>
      </c>
      <c r="F123" s="54">
        <v>4155</v>
      </c>
      <c r="G123" s="54">
        <v>4413</v>
      </c>
      <c r="H123" s="1"/>
      <c r="I123" s="1"/>
      <c r="J123" s="1"/>
      <c r="K123" s="1"/>
      <c r="L123" s="1"/>
    </row>
    <row r="124" ht="15" customHeight="1">
      <c r="A124" s="1"/>
      <c r="B124" s="30" t="s">
        <v>178</v>
      </c>
      <c r="C124" s="54">
        <v>2993</v>
      </c>
      <c r="D124" s="54">
        <v>2676</v>
      </c>
      <c r="E124" s="54">
        <v>11756</v>
      </c>
      <c r="F124" s="54">
        <v>2701</v>
      </c>
      <c r="G124" s="54">
        <v>2775</v>
      </c>
      <c r="H124" s="1"/>
      <c r="I124" s="1"/>
      <c r="J124" s="1"/>
      <c r="K124" s="1"/>
      <c r="L124" s="1"/>
    </row>
    <row r="125" ht="15" customHeight="1">
      <c r="A125" s="1"/>
      <c r="B125" s="30" t="s">
        <v>179</v>
      </c>
      <c r="C125" s="54">
        <v>866</v>
      </c>
      <c r="D125" s="54">
        <v>901</v>
      </c>
      <c r="E125" s="54">
        <v>3437</v>
      </c>
      <c r="F125" s="54">
        <v>873</v>
      </c>
      <c r="G125" s="54">
        <v>961</v>
      </c>
      <c r="H125" s="1"/>
      <c r="I125" s="1"/>
      <c r="J125" s="1"/>
      <c r="K125" s="1"/>
      <c r="L125" s="1"/>
    </row>
    <row r="126" ht="15" customHeight="1">
      <c r="A126" s="1"/>
      <c r="B126" s="30" t="s">
        <v>181</v>
      </c>
      <c r="C126" s="54">
        <v>765</v>
      </c>
      <c r="D126" s="54">
        <v>809</v>
      </c>
      <c r="E126" s="54">
        <v>3063</v>
      </c>
      <c r="F126" s="54">
        <v>731</v>
      </c>
      <c r="G126" s="54">
        <v>865</v>
      </c>
      <c r="H126" s="1"/>
      <c r="I126" s="1"/>
      <c r="J126" s="1"/>
      <c r="K126" s="1"/>
      <c r="L126" s="1"/>
    </row>
    <row r="127" ht="15" customHeight="1">
      <c r="A127" s="1"/>
      <c r="B127" s="30" t="s">
        <v>184</v>
      </c>
      <c r="C127" s="54">
        <v>742</v>
      </c>
      <c r="D127" s="54">
        <v>759</v>
      </c>
      <c r="E127" s="54">
        <v>2928</v>
      </c>
      <c r="F127" s="54">
        <v>727</v>
      </c>
      <c r="G127" s="54">
        <v>733</v>
      </c>
      <c r="H127" s="1"/>
      <c r="I127" s="1"/>
      <c r="J127" s="1"/>
      <c r="K127" s="1"/>
      <c r="L127" s="1"/>
    </row>
    <row r="128" ht="15" customHeight="1">
      <c r="A128" s="1"/>
      <c r="B128" s="30" t="s">
        <v>186</v>
      </c>
      <c r="C128" s="54">
        <v>651</v>
      </c>
      <c r="D128" s="54">
        <v>668</v>
      </c>
      <c r="E128" s="54">
        <v>2516</v>
      </c>
      <c r="F128" s="54">
        <v>650</v>
      </c>
      <c r="G128" s="54">
        <v>676</v>
      </c>
      <c r="H128" s="1"/>
      <c r="I128" s="1"/>
      <c r="J128" s="1"/>
      <c r="K128" s="1"/>
      <c r="L128" s="1"/>
    </row>
    <row r="129" ht="15" customHeight="1">
      <c r="A129" s="1"/>
      <c r="B129" s="30" t="s">
        <v>188</v>
      </c>
      <c r="C129" s="54">
        <v>574</v>
      </c>
      <c r="D129" s="54">
        <v>551</v>
      </c>
      <c r="E129" s="54">
        <v>2231</v>
      </c>
      <c r="F129" s="54">
        <v>496</v>
      </c>
      <c r="G129" s="54">
        <v>487</v>
      </c>
      <c r="H129" s="1"/>
      <c r="I129" s="1"/>
      <c r="J129" s="1"/>
      <c r="K129" s="1"/>
      <c r="L129" s="1"/>
    </row>
    <row r="130" ht="15" customHeight="1">
      <c r="A130" s="1"/>
      <c r="B130" s="30" t="s">
        <v>191</v>
      </c>
      <c r="C130" s="54">
        <v>65</v>
      </c>
      <c r="D130" s="54">
        <v>45</v>
      </c>
      <c r="E130" s="54">
        <v>193</v>
      </c>
      <c r="F130" s="54">
        <v>51</v>
      </c>
      <c r="G130" s="54">
        <v>67</v>
      </c>
      <c r="H130" s="1"/>
      <c r="I130" s="1"/>
      <c r="J130" s="1"/>
      <c r="K130" s="1"/>
      <c r="L130" s="1"/>
    </row>
    <row r="131" ht="15" customHeight="1">
      <c r="A131" s="1"/>
      <c r="B131" s="30" t="s">
        <v>193</v>
      </c>
      <c r="C131" s="54">
        <v>-5</v>
      </c>
      <c r="D131" s="54">
        <v>68</v>
      </c>
      <c r="E131" s="54">
        <v>112</v>
      </c>
      <c r="F131" s="54">
        <v>-108</v>
      </c>
      <c r="G131" s="54">
        <v>447</v>
      </c>
      <c r="H131" s="1"/>
      <c r="I131" s="1"/>
      <c r="J131" s="1"/>
      <c r="K131" s="1"/>
      <c r="L131" s="1"/>
    </row>
    <row r="132" ht="15" customHeight="1">
      <c r="A132" s="1"/>
      <c r="B132" s="30" t="s">
        <v>195</v>
      </c>
      <c r="C132" s="54">
        <v>2304</v>
      </c>
      <c r="D132" s="54">
        <v>2390</v>
      </c>
      <c r="E132" s="54">
        <v>9053</v>
      </c>
      <c r="F132" s="54">
        <v>2326</v>
      </c>
      <c r="G132" s="54">
        <v>2487</v>
      </c>
      <c r="H132" s="1"/>
      <c r="I132" s="1"/>
      <c r="J132" s="1"/>
      <c r="K132" s="1"/>
      <c r="L132" s="1"/>
    </row>
    <row r="133" ht="15" customHeight="1">
      <c r="A133" s="1"/>
      <c r="B133" s="30" t="s">
        <v>197</v>
      </c>
      <c r="C133" s="54">
        <v>13278</v>
      </c>
      <c r="D133" s="54">
        <v>13192</v>
      </c>
      <c r="E133" s="54">
        <v>51967</v>
      </c>
      <c r="F133" s="54">
        <v>12605</v>
      </c>
      <c r="G133" s="54">
        <v>13911</v>
      </c>
      <c r="H133" s="1"/>
      <c r="I133" s="1"/>
      <c r="J133" s="1"/>
      <c r="K133" s="1"/>
      <c r="L133" s="1"/>
    </row>
    <row r="134" ht="15" customHeight="1">
      <c r="A134" s="1"/>
      <c r="B134" s="30" t="s">
        <v>629</v>
      </c>
      <c r="C134" s="54">
        <v>1565</v>
      </c>
      <c r="D134" s="54">
        <v>1503</v>
      </c>
      <c r="E134" s="54">
        <v>5096</v>
      </c>
      <c r="F134" s="54">
        <v>607</v>
      </c>
      <c r="G134" s="54">
        <v>1325</v>
      </c>
      <c r="H134" s="1"/>
      <c r="I134" s="1"/>
      <c r="J134" s="1"/>
      <c r="K134" s="1"/>
      <c r="L134" s="1"/>
    </row>
    <row r="135" ht="15" customHeight="1">
      <c r="A135" s="1"/>
      <c r="B135" s="30" t="s">
        <v>213</v>
      </c>
      <c r="C135" s="54">
        <v>-379</v>
      </c>
      <c r="D135" s="54">
        <v>-369</v>
      </c>
      <c r="E135" s="54">
        <v>-1629</v>
      </c>
      <c r="F135" s="54">
        <v>-356</v>
      </c>
      <c r="G135" s="54">
        <v>-361</v>
      </c>
      <c r="H135" s="1"/>
      <c r="I135" s="1"/>
      <c r="J135" s="1"/>
      <c r="K135" s="1"/>
      <c r="L135" s="1"/>
    </row>
    <row r="136" ht="15" customHeight="1">
      <c r="A136" s="1"/>
      <c r="B136" s="30" t="s">
        <v>215</v>
      </c>
      <c r="C136" s="54">
        <v>187</v>
      </c>
      <c r="D136" s="54">
        <v>172</v>
      </c>
      <c r="E136" s="54">
        <v>726</v>
      </c>
      <c r="F136" s="54">
        <v>164</v>
      </c>
      <c r="G136" s="54">
        <v>167</v>
      </c>
      <c r="H136" s="1"/>
      <c r="I136" s="1"/>
      <c r="J136" s="1"/>
      <c r="K136" s="1"/>
      <c r="L136" s="1"/>
    </row>
    <row r="137" ht="15" customHeight="1">
      <c r="A137" s="1"/>
      <c r="B137" s="30" t="s">
        <v>217</v>
      </c>
      <c r="C137" s="54">
        <v>53</v>
      </c>
      <c r="D137" s="54">
        <v>53</v>
      </c>
      <c r="E137" s="54">
        <v>227</v>
      </c>
      <c r="F137" s="54">
        <v>48</v>
      </c>
      <c r="G137" s="54">
        <v>51</v>
      </c>
      <c r="H137" s="1"/>
      <c r="I137" s="1"/>
      <c r="J137" s="1"/>
      <c r="K137" s="1"/>
      <c r="L137" s="1"/>
    </row>
    <row r="138" ht="15" customHeight="1">
      <c r="A138" s="1"/>
      <c r="B138" s="30" t="s">
        <v>630</v>
      </c>
      <c r="C138" s="54">
        <v>-90</v>
      </c>
      <c r="D138" s="54">
        <v>-39</v>
      </c>
      <c r="E138" s="54">
        <v>-199</v>
      </c>
      <c r="F138" s="54">
        <v>-21</v>
      </c>
      <c r="G138" s="54">
        <v>26</v>
      </c>
      <c r="H138" s="1"/>
      <c r="I138" s="1"/>
      <c r="J138" s="1"/>
      <c r="K138" s="1"/>
      <c r="L138" s="1"/>
    </row>
    <row r="139" ht="15" customHeight="1">
      <c r="A139" s="1"/>
      <c r="B139" s="30" t="s">
        <v>221</v>
      </c>
      <c r="C139" s="54">
        <v>-50</v>
      </c>
      <c r="D139" s="54">
        <v>-13</v>
      </c>
      <c r="E139" s="54">
        <v>-53</v>
      </c>
      <c r="F139" s="54">
        <v>36</v>
      </c>
      <c r="G139" s="54">
        <v>41</v>
      </c>
      <c r="H139" s="1"/>
      <c r="I139" s="1"/>
      <c r="J139" s="1"/>
      <c r="K139" s="1"/>
      <c r="L139" s="1"/>
    </row>
    <row r="140" ht="15" customHeight="1">
      <c r="A140" s="1"/>
      <c r="B140" s="30" t="s">
        <v>631</v>
      </c>
      <c r="C140" s="54">
        <v>-279</v>
      </c>
      <c r="D140" s="54">
        <v>-196</v>
      </c>
      <c r="E140" s="54">
        <v>-928</v>
      </c>
      <c r="F140" s="54">
        <v>-129</v>
      </c>
      <c r="G140" s="54">
        <v>-77</v>
      </c>
      <c r="H140" s="1"/>
      <c r="I140" s="1"/>
      <c r="J140" s="1"/>
      <c r="K140" s="1"/>
      <c r="L140" s="1"/>
    </row>
    <row r="141" ht="15" customHeight="1">
      <c r="A141" s="1"/>
      <c r="B141" s="30" t="s">
        <v>632</v>
      </c>
      <c r="C141" s="54">
        <v>1286</v>
      </c>
      <c r="D141" s="54">
        <v>1307</v>
      </c>
      <c r="E141" s="54">
        <v>4168</v>
      </c>
      <c r="F141" s="54">
        <v>478</v>
      </c>
      <c r="G141" s="54">
        <v>1248</v>
      </c>
      <c r="H141" s="1"/>
      <c r="I141" s="1"/>
      <c r="J141" s="1"/>
      <c r="K141" s="1"/>
      <c r="L141" s="1"/>
    </row>
    <row r="142" ht="15" customHeight="1">
      <c r="A142" s="1"/>
      <c r="B142" s="30" t="s">
        <v>226</v>
      </c>
      <c r="C142" s="54">
        <v>321</v>
      </c>
      <c r="D142" s="54">
        <v>322</v>
      </c>
      <c r="E142" s="54">
        <v>1019</v>
      </c>
      <c r="F142" s="54">
        <v>91</v>
      </c>
      <c r="G142" s="54">
        <v>275</v>
      </c>
      <c r="H142" s="1"/>
      <c r="I142" s="1"/>
      <c r="J142" s="1"/>
      <c r="K142" s="1"/>
      <c r="L142" s="1"/>
    </row>
    <row r="143" ht="15" customHeight="1">
      <c r="A143" s="1"/>
      <c r="B143" s="30" t="s">
        <v>343</v>
      </c>
      <c r="C143" s="54">
        <v>965</v>
      </c>
      <c r="D143" s="54">
        <v>985</v>
      </c>
      <c r="E143" s="54">
        <v>3149</v>
      </c>
      <c r="F143" s="54">
        <v>387</v>
      </c>
      <c r="G143" s="54">
        <v>973</v>
      </c>
      <c r="H143" s="1"/>
      <c r="I143" s="1"/>
      <c r="J143" s="1"/>
      <c r="K143" s="1"/>
      <c r="L143" s="1"/>
    </row>
    <row r="144" ht="15" customHeight="1">
      <c r="A144" s="1"/>
      <c r="B144" s="30" t="s">
        <v>236</v>
      </c>
      <c r="C144" s="76">
        <v>2.9</v>
      </c>
      <c r="D144" s="76">
        <v>2.95</v>
      </c>
      <c r="E144" s="76">
        <v>9.45</v>
      </c>
      <c r="F144" s="76">
        <v>1.16</v>
      </c>
      <c r="G144" s="76">
        <v>2.97</v>
      </c>
      <c r="H144" s="1"/>
      <c r="I144" s="1"/>
      <c r="J144" s="1"/>
      <c r="K144" s="1"/>
      <c r="L144" s="1"/>
    </row>
    <row r="145" ht="15" customHeight="1">
      <c r="A145" s="1"/>
      <c r="B145" s="30" t="s">
        <v>234</v>
      </c>
      <c r="C145" s="54">
        <v>332.7</v>
      </c>
      <c r="D145" s="54">
        <v>334.5</v>
      </c>
      <c r="E145" s="54">
        <v>333.2</v>
      </c>
      <c r="F145" s="54">
        <v>333</v>
      </c>
      <c r="G145" s="54">
        <v>327.2</v>
      </c>
      <c r="H145" s="1"/>
      <c r="I145" s="1"/>
      <c r="J145" s="1"/>
      <c r="K145" s="1"/>
      <c r="L145" s="1"/>
    </row>
    <row r="146" ht="15" customHeight="1">
      <c r="A146" s="1"/>
      <c r="B146" s="30" t="s">
        <v>633</v>
      </c>
      <c r="C146" s="54">
        <v>231</v>
      </c>
      <c r="D146" s="54">
        <v>294</v>
      </c>
      <c r="E146" s="54">
        <v>713</v>
      </c>
      <c r="F146" s="54">
        <v>43</v>
      </c>
      <c r="G146" s="54">
        <v>188</v>
      </c>
      <c r="H146" s="1"/>
      <c r="I146" s="1"/>
      <c r="J146" s="1"/>
      <c r="K146" s="1"/>
      <c r="L146" s="1"/>
    </row>
    <row r="147" ht="15" customHeight="1">
      <c r="A147" s="1"/>
      <c r="B147" s="30" t="s">
        <v>207</v>
      </c>
      <c r="C147" s="54">
        <v>61</v>
      </c>
      <c r="D147" s="54">
        <v>63</v>
      </c>
      <c r="E147" s="54">
        <v>246</v>
      </c>
      <c r="F147" s="54">
        <v>68</v>
      </c>
      <c r="G147" s="54">
        <v>72</v>
      </c>
      <c r="H147" s="1"/>
      <c r="I147" s="1"/>
      <c r="J147" s="1"/>
      <c r="K147" s="1"/>
      <c r="L147" s="1"/>
    </row>
    <row r="148" ht="15" customHeight="1">
      <c r="A148" s="1"/>
      <c r="B148" s="30" t="s">
        <v>634</v>
      </c>
      <c r="C148" s="54">
        <v>75</v>
      </c>
      <c r="D148" s="54">
        <v>18</v>
      </c>
      <c r="E148" s="54">
        <v>128</v>
      </c>
      <c r="F148" s="54">
        <v>0</v>
      </c>
      <c r="G148" s="54">
        <v>0</v>
      </c>
      <c r="H148" s="1"/>
      <c r="I148" s="1"/>
      <c r="J148" s="1"/>
      <c r="K148" s="1"/>
      <c r="L148" s="1"/>
    </row>
    <row r="149" ht="15" customHeight="1">
      <c r="A149" s="1"/>
      <c r="B149" s="30" t="s">
        <v>635</v>
      </c>
      <c r="C149" s="54">
        <v>-15</v>
      </c>
      <c r="D149" s="54">
        <v>-20</v>
      </c>
      <c r="E149" s="54">
        <v>-54</v>
      </c>
      <c r="F149" s="54">
        <v>2</v>
      </c>
      <c r="G149" s="54">
        <v>-128</v>
      </c>
      <c r="H149" s="1"/>
      <c r="I149" s="1"/>
      <c r="J149" s="1"/>
      <c r="K149" s="1"/>
      <c r="L149" s="1"/>
    </row>
    <row r="150" ht="15" customHeight="1">
      <c r="A150" s="1"/>
      <c r="B150" s="30" t="s">
        <v>636</v>
      </c>
      <c r="C150" s="54">
        <v>1110</v>
      </c>
      <c r="D150" s="54">
        <v>1090</v>
      </c>
      <c r="E150" s="54">
        <v>3534</v>
      </c>
      <c r="F150" s="54">
        <v>302</v>
      </c>
      <c r="G150" s="54">
        <v>1267</v>
      </c>
      <c r="H150" s="1"/>
      <c r="I150" s="1"/>
      <c r="J150" s="1"/>
      <c r="K150" s="1"/>
      <c r="L150" s="1"/>
    </row>
    <row r="151" ht="15" customHeight="1">
      <c r="A151" s="1"/>
      <c r="B151" s="30" t="s">
        <v>258</v>
      </c>
      <c r="C151" s="76">
        <v>3.33</v>
      </c>
      <c r="D151" s="76">
        <v>3.26</v>
      </c>
      <c r="E151" s="76">
        <v>10.61</v>
      </c>
      <c r="F151" s="76">
        <v>0.91</v>
      </c>
      <c r="G151" s="76">
        <v>3.87</v>
      </c>
      <c r="H151" s="1"/>
      <c r="I151" s="1"/>
      <c r="J151" s="1"/>
      <c r="K151" s="1"/>
      <c r="L151" s="1"/>
    </row>
    <row r="152" ht="15" customHeight="1">
      <c r="A152" s="1"/>
      <c r="B152" s="30" t="s">
        <v>637</v>
      </c>
      <c r="C152" s="54">
        <v>1446</v>
      </c>
      <c r="D152" s="54">
        <v>1432</v>
      </c>
      <c r="E152" s="54">
        <v>4607</v>
      </c>
      <c r="F152" s="54">
        <v>391</v>
      </c>
      <c r="G152" s="54">
        <v>1670</v>
      </c>
      <c r="H152" s="1"/>
      <c r="I152" s="1"/>
      <c r="J152" s="1"/>
      <c r="K152" s="1"/>
      <c r="L152" s="1"/>
    </row>
    <row r="153" ht="15" customHeight="1">
      <c r="A153" s="1"/>
      <c r="B153" s="30" t="s">
        <v>266</v>
      </c>
      <c r="C153" s="54">
        <v>2327</v>
      </c>
      <c r="D153" s="54">
        <v>2335</v>
      </c>
      <c r="E153" s="54">
        <v>8211</v>
      </c>
      <c r="F153" s="54">
        <v>1263</v>
      </c>
      <c r="G153" s="54">
        <v>2547</v>
      </c>
      <c r="H153" s="1"/>
      <c r="I153" s="1"/>
      <c r="J153" s="1"/>
      <c r="K153" s="1"/>
      <c r="L153" s="1"/>
    </row>
    <row r="154" ht="15" customHeight="1">
      <c r="A154" s="1"/>
      <c r="B154" s="30" t="s">
        <v>209</v>
      </c>
      <c r="C154" s="69">
        <v>12.26</v>
      </c>
      <c r="D154" s="69">
        <v>12.89</v>
      </c>
      <c r="E154" s="69">
        <v>12.58</v>
      </c>
      <c r="F154" s="69">
        <v>13.17</v>
      </c>
      <c r="G154" s="69">
        <v>12.36</v>
      </c>
      <c r="H154" s="1"/>
      <c r="I154" s="1"/>
      <c r="J154" s="1"/>
      <c r="K154" s="1"/>
      <c r="L154" s="1"/>
    </row>
    <row r="155" ht="15" customHeight="1">
      <c r="A155" s="1"/>
      <c r="B155" s="30" t="s">
        <v>638</v>
      </c>
      <c r="C155" s="33">
        <v>1381</v>
      </c>
      <c r="D155" s="33">
        <v>1406</v>
      </c>
      <c r="E155" s="39">
        <f>D155</f>
        <v>1406</v>
      </c>
      <c r="F155" s="33">
        <v>1442</v>
      </c>
      <c r="G155" s="33">
        <v>1473</v>
      </c>
      <c r="H155" s="1"/>
      <c r="I155" s="1"/>
      <c r="J155" s="1"/>
      <c r="K155" s="1"/>
      <c r="L155" s="1"/>
    </row>
    <row r="156" ht="15" customHeight="1">
      <c r="A156" s="1"/>
      <c r="B156" s="30" t="s">
        <v>399</v>
      </c>
      <c r="C156" s="33">
        <v>81541</v>
      </c>
      <c r="D156" s="33">
        <v>78298</v>
      </c>
      <c r="E156" s="33">
        <v>311185</v>
      </c>
      <c r="F156" s="33">
        <v>75155</v>
      </c>
      <c r="G156" s="33">
        <v>84347</v>
      </c>
      <c r="H156" s="1"/>
      <c r="I156" s="1"/>
      <c r="J156" s="1"/>
      <c r="K156" s="1"/>
      <c r="L156" s="1"/>
    </row>
    <row r="157" ht="15" customHeight="1">
      <c r="A157" s="1"/>
      <c r="B157" s="30" t="s">
        <v>401</v>
      </c>
      <c r="C157" s="33">
        <v>69549</v>
      </c>
      <c r="D157" s="33">
        <v>64463</v>
      </c>
      <c r="E157" s="33">
        <v>258503</v>
      </c>
      <c r="F157" s="33">
        <v>59517</v>
      </c>
      <c r="G157" s="33">
        <v>70088</v>
      </c>
      <c r="H157" s="1"/>
      <c r="I157" s="1"/>
      <c r="J157" s="1"/>
      <c r="K157" s="1"/>
      <c r="L157" s="1"/>
    </row>
    <row r="158" ht="15" customHeight="1">
      <c r="A158" s="1"/>
      <c r="B158" s="30" t="s">
        <v>82</v>
      </c>
      <c r="C158" s="33">
        <v>45559</v>
      </c>
      <c r="D158" s="33">
        <v>44344</v>
      </c>
      <c r="E158" s="33">
        <v>173603</v>
      </c>
      <c r="F158" s="33">
        <v>40806</v>
      </c>
      <c r="G158" s="33">
        <v>46186</v>
      </c>
      <c r="H158" s="1"/>
      <c r="I158" s="1"/>
      <c r="J158" s="1"/>
      <c r="K158" s="1"/>
      <c r="L158" s="1"/>
    </row>
    <row r="159" ht="15" customHeight="1">
      <c r="A159" s="1"/>
      <c r="B159" s="30" t="s">
        <v>79</v>
      </c>
      <c r="C159" s="33">
        <v>1510</v>
      </c>
      <c r="D159" s="33">
        <v>1450</v>
      </c>
      <c r="E159" s="33">
        <v>1490</v>
      </c>
      <c r="F159" s="33">
        <v>1454</v>
      </c>
      <c r="G159" s="33">
        <v>1508</v>
      </c>
      <c r="H159" s="1"/>
      <c r="I159" s="1"/>
      <c r="J159" s="1"/>
      <c r="K159" s="1"/>
      <c r="L159" s="1"/>
    </row>
    <row r="160" ht="15" customHeight="1">
      <c r="A160" s="1"/>
      <c r="B160" s="30" t="s">
        <v>91</v>
      </c>
      <c r="C160" s="33">
        <v>881</v>
      </c>
      <c r="D160" s="33">
        <v>981</v>
      </c>
      <c r="E160" s="33">
        <v>3604</v>
      </c>
      <c r="F160" s="33">
        <v>889</v>
      </c>
      <c r="G160" s="33">
        <v>885</v>
      </c>
      <c r="H160" s="1"/>
      <c r="I160" s="1"/>
      <c r="J160" s="1"/>
      <c r="K160" s="1"/>
      <c r="L160" s="1"/>
    </row>
    <row r="161" ht="15" customHeight="1">
      <c r="A161" s="1"/>
      <c r="B161" s="30" t="s">
        <v>172</v>
      </c>
      <c r="C161" s="33">
        <v>1170</v>
      </c>
      <c r="D161" s="33">
        <v>1115</v>
      </c>
      <c r="E161" s="33">
        <v>4444</v>
      </c>
      <c r="F161" s="33">
        <v>1067</v>
      </c>
      <c r="G161" s="33">
        <v>1188</v>
      </c>
      <c r="H161" s="1"/>
      <c r="I161" s="1"/>
      <c r="J161" s="1"/>
      <c r="K161" s="1"/>
      <c r="L161" s="1"/>
    </row>
    <row r="162" ht="15" customHeight="1">
      <c r="A162" s="1"/>
      <c r="B162" s="30" t="s">
        <v>176</v>
      </c>
      <c r="C162" s="69">
        <v>2.56</v>
      </c>
      <c r="D162" s="69">
        <v>2.4</v>
      </c>
      <c r="E162" s="69">
        <v>2.65</v>
      </c>
      <c r="F162" s="69">
        <v>2.53</v>
      </c>
      <c r="G162" s="69">
        <v>2.34</v>
      </c>
      <c r="H162" s="1"/>
      <c r="I162" s="1"/>
      <c r="J162" s="1"/>
      <c r="K162" s="1"/>
      <c r="L162" s="1"/>
    </row>
    <row r="163" ht="15" customHeight="1">
      <c r="A163" s="1"/>
      <c r="B163" s="30" t="s">
        <v>639</v>
      </c>
      <c r="C163" s="54">
        <v>1100</v>
      </c>
      <c r="D163" s="16">
        <f t="shared" si="6" ref="D163:D167">E163-F209</f>
        <v>1200</v>
      </c>
      <c r="E163" s="54">
        <v>4500</v>
      </c>
      <c r="F163" s="54">
        <v>1000</v>
      </c>
      <c r="G163" s="54">
        <v>1200</v>
      </c>
      <c r="H163" s="1"/>
      <c r="I163" s="1"/>
      <c r="J163" s="1"/>
      <c r="K163" s="1"/>
      <c r="L163" s="1"/>
    </row>
    <row r="164" ht="15" customHeight="1">
      <c r="A164" s="1"/>
      <c r="B164" s="30" t="s">
        <v>148</v>
      </c>
      <c r="C164" s="54">
        <v>700</v>
      </c>
      <c r="D164" s="16">
        <f t="shared" si="6"/>
        <v>700</v>
      </c>
      <c r="E164" s="54">
        <v>2900</v>
      </c>
      <c r="F164" s="54">
        <v>774</v>
      </c>
      <c r="G164" s="54">
        <v>800</v>
      </c>
      <c r="H164" s="1"/>
      <c r="I164" s="1"/>
      <c r="J164" s="1"/>
      <c r="K164" s="1"/>
      <c r="L164" s="1"/>
    </row>
    <row r="165" ht="15" customHeight="1">
      <c r="A165" s="1"/>
      <c r="B165" s="30" t="s">
        <v>640</v>
      </c>
      <c r="C165" s="54">
        <v>884</v>
      </c>
      <c r="D165" s="16">
        <f t="shared" si="6"/>
        <v>920</v>
      </c>
      <c r="E165" s="54">
        <v>3563</v>
      </c>
      <c r="F165" s="54">
        <v>919</v>
      </c>
      <c r="G165" s="54">
        <v>991</v>
      </c>
      <c r="H165" s="1"/>
      <c r="I165" s="1"/>
      <c r="J165" s="1"/>
      <c r="K165" s="1"/>
      <c r="L165" s="1"/>
    </row>
    <row r="166" ht="15" customHeight="1">
      <c r="A166" s="1"/>
      <c r="B166" s="30" t="s">
        <v>115</v>
      </c>
      <c r="C166" s="54">
        <v>-842</v>
      </c>
      <c r="D166" s="16">
        <f t="shared" si="6"/>
        <v>-825</v>
      </c>
      <c r="E166" s="54">
        <v>-3150</v>
      </c>
      <c r="F166" s="54">
        <v>-730</v>
      </c>
      <c r="G166" s="54">
        <v>-888</v>
      </c>
      <c r="H166" s="1"/>
      <c r="I166" s="1"/>
      <c r="J166" s="1"/>
      <c r="K166" s="1"/>
      <c r="L166" s="1"/>
    </row>
    <row r="167" ht="15" customHeight="1">
      <c r="A167" s="1"/>
      <c r="B167" s="30" t="s">
        <v>117</v>
      </c>
      <c r="C167" s="54">
        <v>-24</v>
      </c>
      <c r="D167" s="16">
        <f t="shared" si="6"/>
        <v>-25</v>
      </c>
      <c r="E167" s="54">
        <v>-115</v>
      </c>
      <c r="F167" s="54">
        <v>-38</v>
      </c>
      <c r="G167" s="54">
        <v>-29</v>
      </c>
      <c r="H167" s="1"/>
      <c r="I167" s="1"/>
      <c r="J167" s="1"/>
      <c r="K167" s="1"/>
      <c r="L167" s="1"/>
    </row>
    <row r="168" ht="15" customHeight="1">
      <c r="A168" s="1"/>
      <c r="B168" s="30" t="s">
        <v>641</v>
      </c>
      <c r="C168" s="54">
        <v>8648</v>
      </c>
      <c r="D168" s="16">
        <f t="shared" si="7" ref="D168:D171">E168-F205</f>
        <v>8985</v>
      </c>
      <c r="E168" s="54">
        <v>34067</v>
      </c>
      <c r="F168" s="54">
        <v>8034</v>
      </c>
      <c r="G168" s="54">
        <v>8784</v>
      </c>
      <c r="H168" s="1"/>
      <c r="I168" s="1"/>
      <c r="J168" s="1"/>
      <c r="K168" s="1"/>
      <c r="L168" s="1"/>
    </row>
    <row r="169" ht="15" customHeight="1">
      <c r="A169" s="1"/>
      <c r="B169" s="30" t="s">
        <v>642</v>
      </c>
      <c r="C169" s="54">
        <v>3432</v>
      </c>
      <c r="D169" s="16">
        <f t="shared" si="7"/>
        <v>2555</v>
      </c>
      <c r="E169" s="54">
        <v>11097</v>
      </c>
      <c r="F169" s="54">
        <v>1899</v>
      </c>
      <c r="G169" s="54">
        <v>3370</v>
      </c>
      <c r="H169" s="1"/>
      <c r="I169" s="1"/>
      <c r="J169" s="1"/>
      <c r="K169" s="1"/>
      <c r="L169" s="1"/>
    </row>
    <row r="170" ht="15" customHeight="1">
      <c r="A170" s="1"/>
      <c r="B170" s="30" t="s">
        <v>643</v>
      </c>
      <c r="C170" s="54">
        <v>1531</v>
      </c>
      <c r="D170" s="16">
        <f t="shared" si="7"/>
        <v>1741</v>
      </c>
      <c r="E170" s="54">
        <v>6462</v>
      </c>
      <c r="F170" s="54">
        <v>1722</v>
      </c>
      <c r="G170" s="54">
        <v>1720</v>
      </c>
      <c r="H170" s="1"/>
      <c r="I170" s="1"/>
      <c r="J170" s="1"/>
      <c r="K170" s="1"/>
      <c r="L170" s="1"/>
    </row>
    <row r="171" ht="15" customHeight="1">
      <c r="A171" s="1"/>
      <c r="B171" s="30" t="s">
        <v>644</v>
      </c>
      <c r="C171" s="54">
        <v>1232</v>
      </c>
      <c r="D171" s="16">
        <f t="shared" si="7"/>
        <v>1414</v>
      </c>
      <c r="E171" s="54">
        <v>5437</v>
      </c>
      <c r="F171" s="54">
        <v>1557</v>
      </c>
      <c r="G171" s="54">
        <v>1362</v>
      </c>
      <c r="H171" s="1"/>
      <c r="I171" s="1"/>
      <c r="J171" s="1"/>
      <c r="K171" s="1"/>
      <c r="L171" s="1"/>
    </row>
    <row r="172" ht="15" customHeight="1">
      <c r="A172" s="1"/>
      <c r="B172" s="30" t="s">
        <v>645</v>
      </c>
      <c r="C172" s="16" t="s">
        <v>102</v>
      </c>
      <c r="D172" s="16" t="s">
        <v>102</v>
      </c>
      <c r="E172" s="16" t="s">
        <v>102</v>
      </c>
      <c r="F172" s="54">
        <v>7182</v>
      </c>
      <c r="G172" s="54">
        <v>7905</v>
      </c>
      <c r="H172" s="1"/>
      <c r="I172" s="1"/>
      <c r="J172" s="1"/>
      <c r="K172" s="1"/>
      <c r="L172" s="1"/>
    </row>
    <row r="173" ht="15" customHeight="1">
      <c r="A173" s="1"/>
      <c r="B173" s="30" t="s">
        <v>646</v>
      </c>
      <c r="C173" s="39" t="s">
        <v>102</v>
      </c>
      <c r="D173" s="39" t="s">
        <v>102</v>
      </c>
      <c r="E173" s="39" t="s">
        <v>102</v>
      </c>
      <c r="F173" s="33">
        <v>41810</v>
      </c>
      <c r="G173" s="33">
        <v>45100</v>
      </c>
      <c r="H173" s="1"/>
      <c r="I173" s="1"/>
      <c r="J173" s="1"/>
      <c r="K173" s="1"/>
      <c r="L173" s="1"/>
    </row>
    <row r="174" ht="15" customHeight="1">
      <c r="A174" s="1"/>
      <c r="B174" s="30" t="s">
        <v>647</v>
      </c>
      <c r="C174" s="39" t="s">
        <v>102</v>
      </c>
      <c r="D174" s="39" t="s">
        <v>102</v>
      </c>
      <c r="E174" s="39" t="s">
        <v>102</v>
      </c>
      <c r="F174" s="33">
        <v>33557</v>
      </c>
      <c r="G174" s="33">
        <v>37936</v>
      </c>
      <c r="H174" s="1"/>
      <c r="I174" s="1"/>
      <c r="J174" s="1"/>
      <c r="K174" s="1"/>
      <c r="L174" s="1"/>
    </row>
    <row r="175" ht="15" customHeight="1">
      <c r="A175" s="1"/>
      <c r="B175" s="30" t="s">
        <v>648</v>
      </c>
      <c r="C175" s="16" t="s">
        <v>102</v>
      </c>
      <c r="D175" s="16" t="s">
        <v>102</v>
      </c>
      <c r="E175" s="16" t="s">
        <v>102</v>
      </c>
      <c r="F175" s="54">
        <v>1476</v>
      </c>
      <c r="G175" s="54">
        <v>2904</v>
      </c>
      <c r="H175" s="1"/>
      <c r="I175" s="1"/>
      <c r="J175" s="1"/>
      <c r="K175" s="1"/>
      <c r="L175" s="1"/>
    </row>
    <row r="176" ht="15" customHeight="1">
      <c r="A176" s="1"/>
      <c r="B176" s="30" t="s">
        <v>649</v>
      </c>
      <c r="C176" s="39" t="s">
        <v>102</v>
      </c>
      <c r="D176" s="39" t="s">
        <v>102</v>
      </c>
      <c r="E176" s="39" t="s">
        <v>102</v>
      </c>
      <c r="F176" s="33">
        <v>10184</v>
      </c>
      <c r="G176" s="33">
        <v>17311</v>
      </c>
      <c r="H176" s="1"/>
      <c r="I176" s="1"/>
      <c r="J176" s="1"/>
      <c r="K176" s="1"/>
      <c r="L176" s="1"/>
    </row>
    <row r="177" ht="15" customHeight="1">
      <c r="A177" s="1"/>
      <c r="B177" s="30" t="s">
        <v>650</v>
      </c>
      <c r="C177" s="39" t="s">
        <v>102</v>
      </c>
      <c r="D177" s="39" t="s">
        <v>102</v>
      </c>
      <c r="E177" s="39" t="s">
        <v>102</v>
      </c>
      <c r="F177" s="33">
        <v>7433</v>
      </c>
      <c r="G177" s="33">
        <v>13969</v>
      </c>
      <c r="H177" s="1"/>
      <c r="I177" s="1"/>
      <c r="J177" s="1"/>
      <c r="K177" s="1"/>
      <c r="L177" s="1"/>
    </row>
    <row r="178" ht="15" customHeight="1">
      <c r="A178" s="1"/>
      <c r="B178" s="30" t="s">
        <v>651</v>
      </c>
      <c r="C178" s="16" t="s">
        <v>102</v>
      </c>
      <c r="D178" s="16" t="s">
        <v>102</v>
      </c>
      <c r="E178" s="16" t="s">
        <v>102</v>
      </c>
      <c r="F178" s="54">
        <v>260</v>
      </c>
      <c r="G178" s="54">
        <v>269</v>
      </c>
      <c r="H178" s="1"/>
      <c r="I178" s="1"/>
      <c r="J178" s="1"/>
      <c r="K178" s="1"/>
      <c r="L178" s="1"/>
    </row>
    <row r="179" ht="15" customHeight="1">
      <c r="A179" s="1"/>
      <c r="B179" s="30" t="s">
        <v>652</v>
      </c>
      <c r="C179" s="39" t="s">
        <v>102</v>
      </c>
      <c r="D179" s="39" t="s">
        <v>102</v>
      </c>
      <c r="E179" s="39" t="s">
        <v>102</v>
      </c>
      <c r="F179" s="33">
        <v>1843</v>
      </c>
      <c r="G179" s="33">
        <v>1997</v>
      </c>
      <c r="H179" s="1"/>
      <c r="I179" s="1"/>
      <c r="J179" s="1"/>
      <c r="K179" s="1"/>
      <c r="L179" s="1"/>
    </row>
    <row r="180" ht="15" customHeight="1">
      <c r="A180" s="1"/>
      <c r="B180" s="30" t="s">
        <v>653</v>
      </c>
      <c r="C180" s="39" t="s">
        <v>102</v>
      </c>
      <c r="D180" s="39" t="s">
        <v>102</v>
      </c>
      <c r="E180" s="39" t="s">
        <v>102</v>
      </c>
      <c r="F180" s="33">
        <v>1484</v>
      </c>
      <c r="G180" s="33">
        <v>1657</v>
      </c>
      <c r="H180" s="1"/>
      <c r="I180" s="1"/>
      <c r="J180" s="1"/>
      <c r="K180" s="1"/>
      <c r="L180" s="1"/>
    </row>
    <row r="181" ht="15" customHeight="1">
      <c r="A181" s="1"/>
      <c r="B181" s="30" t="s">
        <v>654</v>
      </c>
      <c r="C181" s="16" t="s">
        <v>102</v>
      </c>
      <c r="D181" s="16" t="s">
        <v>102</v>
      </c>
      <c r="E181" s="16" t="s">
        <v>102</v>
      </c>
      <c r="F181" s="54">
        <v>1511</v>
      </c>
      <c r="G181" s="54">
        <v>1507</v>
      </c>
      <c r="H181" s="1"/>
      <c r="I181" s="1"/>
      <c r="J181" s="1"/>
      <c r="K181" s="1"/>
      <c r="L181" s="1"/>
    </row>
    <row r="182" ht="15" customHeight="1">
      <c r="A182" s="1"/>
      <c r="B182" s="30" t="s">
        <v>655</v>
      </c>
      <c r="C182" s="39" t="s">
        <v>102</v>
      </c>
      <c r="D182" s="39" t="s">
        <v>102</v>
      </c>
      <c r="E182" s="39" t="s">
        <v>102</v>
      </c>
      <c r="F182" s="33">
        <v>11901</v>
      </c>
      <c r="G182" s="33">
        <v>11036</v>
      </c>
      <c r="H182" s="1"/>
      <c r="I182" s="1"/>
      <c r="J182" s="1"/>
      <c r="K182" s="1"/>
      <c r="L182" s="1"/>
    </row>
    <row r="183" ht="15" customHeight="1">
      <c r="A183" s="1"/>
      <c r="B183" s="30" t="s">
        <v>656</v>
      </c>
      <c r="C183" s="39" t="s">
        <v>102</v>
      </c>
      <c r="D183" s="39" t="s">
        <v>102</v>
      </c>
      <c r="E183" s="39" t="s">
        <v>102</v>
      </c>
      <c r="F183" s="33">
        <v>9159</v>
      </c>
      <c r="G183" s="33">
        <v>9059</v>
      </c>
      <c r="H183" s="1"/>
      <c r="I183" s="1"/>
      <c r="J183" s="1"/>
      <c r="K183" s="1"/>
      <c r="L183" s="1"/>
    </row>
    <row r="184" ht="15" customHeight="1">
      <c r="A184" s="1"/>
      <c r="B184" s="30" t="s">
        <v>657</v>
      </c>
      <c r="C184" s="16" t="s">
        <v>102</v>
      </c>
      <c r="D184" s="16" t="s">
        <v>102</v>
      </c>
      <c r="E184" s="16" t="s">
        <v>102</v>
      </c>
      <c r="F184" s="54">
        <v>1431</v>
      </c>
      <c r="G184" s="54">
        <v>1251</v>
      </c>
      <c r="H184" s="1"/>
      <c r="I184" s="1"/>
      <c r="J184" s="1"/>
      <c r="K184" s="1"/>
      <c r="L184" s="1"/>
    </row>
    <row r="185" ht="15" customHeight="1">
      <c r="A185" s="1"/>
      <c r="B185" s="30" t="s">
        <v>658</v>
      </c>
      <c r="C185" s="39" t="s">
        <v>102</v>
      </c>
      <c r="D185" s="39" t="s">
        <v>102</v>
      </c>
      <c r="E185" s="39" t="s">
        <v>102</v>
      </c>
      <c r="F185" s="33">
        <v>9418</v>
      </c>
      <c r="G185" s="33">
        <v>8903</v>
      </c>
      <c r="H185" s="1"/>
      <c r="I185" s="1"/>
      <c r="J185" s="1"/>
      <c r="K185" s="1"/>
      <c r="L185" s="1"/>
    </row>
    <row r="186" ht="15" customHeight="1">
      <c r="A186" s="1"/>
      <c r="B186" s="30" t="s">
        <v>659</v>
      </c>
      <c r="C186" s="39" t="s">
        <v>102</v>
      </c>
      <c r="D186" s="39" t="s">
        <v>102</v>
      </c>
      <c r="E186" s="39" t="s">
        <v>102</v>
      </c>
      <c r="F186" s="33">
        <v>7883</v>
      </c>
      <c r="G186" s="33">
        <v>7467</v>
      </c>
      <c r="H186" s="1"/>
      <c r="I186" s="1"/>
      <c r="J186" s="1"/>
      <c r="K186" s="1"/>
      <c r="L186" s="1"/>
    </row>
    <row r="187" ht="1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ht="15" customHeight="1">
      <c r="A188" s="1"/>
      <c r="B188" s="3" t="s">
        <v>660</v>
      </c>
      <c r="C188" s="1"/>
      <c r="D188" s="1"/>
      <c r="E188" s="1"/>
      <c r="F188" s="1"/>
      <c r="G188" s="106"/>
      <c r="H188" s="106"/>
      <c r="I188" s="1"/>
      <c r="J188" s="1"/>
      <c r="K188" s="1"/>
      <c r="L188" s="1"/>
    </row>
    <row r="189" ht="15" customHeight="1">
      <c r="A189" s="1"/>
      <c r="B189" s="13" t="s">
        <v>661</v>
      </c>
      <c r="C189" s="14" t="s">
        <v>662</v>
      </c>
      <c r="D189" s="14" t="s">
        <v>663</v>
      </c>
      <c r="E189" s="14" t="s">
        <v>664</v>
      </c>
      <c r="F189" s="107" t="s">
        <v>665</v>
      </c>
      <c r="G189" s="107"/>
      <c r="H189" s="107"/>
      <c r="I189" s="1"/>
      <c r="J189" s="1"/>
      <c r="K189" s="1"/>
      <c r="L189" s="1"/>
    </row>
    <row r="190" ht="15" customHeight="1">
      <c r="A190" s="1"/>
      <c r="B190" s="30" t="s">
        <v>666</v>
      </c>
      <c r="C190" s="54">
        <v>5927</v>
      </c>
      <c r="D190" s="54">
        <v>7145</v>
      </c>
      <c r="E190" s="54">
        <v>6409</v>
      </c>
      <c r="F190" s="1"/>
      <c r="G190" s="1"/>
      <c r="H190" s="1"/>
      <c r="I190" s="1"/>
      <c r="J190" s="1"/>
      <c r="K190" s="1"/>
      <c r="L190" s="1"/>
    </row>
    <row r="191" ht="15" customHeight="1">
      <c r="A191" s="1"/>
      <c r="B191" s="30" t="s">
        <v>353</v>
      </c>
      <c r="C191" s="54">
        <v>-2520</v>
      </c>
      <c r="D191" s="54">
        <v>-3984</v>
      </c>
      <c r="E191" s="54">
        <v>-3015</v>
      </c>
      <c r="F191" s="1"/>
      <c r="G191" s="1"/>
      <c r="H191" s="1"/>
      <c r="I191" s="1"/>
      <c r="J191" s="1"/>
      <c r="K191" s="1"/>
      <c r="L191" s="1"/>
    </row>
    <row r="192" ht="15" customHeight="1">
      <c r="A192" s="1"/>
      <c r="B192" s="30" t="s">
        <v>355</v>
      </c>
      <c r="C192" s="54">
        <v>-4722</v>
      </c>
      <c r="D192" s="54">
        <v>-6454</v>
      </c>
      <c r="E192" s="54">
        <v>-4439</v>
      </c>
      <c r="F192" s="1"/>
      <c r="G192" s="1"/>
      <c r="H192" s="1"/>
      <c r="I192" s="1"/>
      <c r="J192" s="1"/>
      <c r="K192" s="1"/>
      <c r="L192" s="1"/>
    </row>
    <row r="193" ht="15" customHeight="1">
      <c r="A193" s="1"/>
      <c r="B193" s="30" t="s">
        <v>357</v>
      </c>
      <c r="C193" s="54">
        <v>4222</v>
      </c>
      <c r="D193" s="54">
        <v>5654</v>
      </c>
      <c r="E193" s="54">
        <v>4179</v>
      </c>
      <c r="F193" s="1"/>
      <c r="G193" s="1"/>
      <c r="H193" s="1"/>
      <c r="I193" s="1"/>
      <c r="J193" s="1"/>
      <c r="K193" s="1"/>
      <c r="L193" s="1"/>
    </row>
    <row r="194" ht="15" customHeight="1">
      <c r="A194" s="1"/>
      <c r="B194" s="30" t="s">
        <v>359</v>
      </c>
      <c r="C194" s="54">
        <v>48</v>
      </c>
      <c r="D194" s="54">
        <v>63</v>
      </c>
      <c r="E194" s="54">
        <v>33</v>
      </c>
      <c r="F194" s="1"/>
      <c r="G194" s="1"/>
      <c r="H194" s="1"/>
      <c r="I194" s="1"/>
      <c r="J194" s="1"/>
      <c r="K194" s="1"/>
      <c r="L194" s="1"/>
    </row>
    <row r="195" ht="15" customHeight="1">
      <c r="A195" s="1"/>
      <c r="B195" s="30" t="s">
        <v>361</v>
      </c>
      <c r="C195" s="54">
        <v>-70</v>
      </c>
      <c r="D195" s="54">
        <v>-64</v>
      </c>
      <c r="E195" s="54">
        <v>-111</v>
      </c>
      <c r="F195" s="1"/>
      <c r="G195" s="1"/>
      <c r="H195" s="1"/>
      <c r="I195" s="1"/>
      <c r="J195" s="1"/>
      <c r="K195" s="1"/>
      <c r="L195" s="1"/>
    </row>
    <row r="196" ht="15" customHeight="1">
      <c r="A196" s="1"/>
      <c r="B196" s="30" t="s">
        <v>667</v>
      </c>
      <c r="C196" s="54">
        <v>-3042</v>
      </c>
      <c r="D196" s="54">
        <v>-4785</v>
      </c>
      <c r="E196" s="54">
        <v>-3354</v>
      </c>
      <c r="F196" s="1"/>
      <c r="G196" s="1"/>
      <c r="H196" s="1"/>
      <c r="I196" s="1"/>
      <c r="J196" s="1"/>
      <c r="K196" s="1"/>
      <c r="L196" s="1"/>
    </row>
    <row r="197" ht="15" customHeight="1">
      <c r="A197" s="1"/>
      <c r="B197" s="30" t="s">
        <v>364</v>
      </c>
      <c r="C197" s="54">
        <v>0</v>
      </c>
      <c r="D197" s="54">
        <v>485</v>
      </c>
      <c r="E197" s="54">
        <v>5829</v>
      </c>
      <c r="F197" s="1"/>
      <c r="G197" s="1"/>
      <c r="H197" s="1"/>
      <c r="I197" s="1"/>
      <c r="J197" s="1"/>
      <c r="K197" s="1"/>
      <c r="L197" s="1"/>
    </row>
    <row r="198" ht="15" customHeight="1">
      <c r="A198" s="1"/>
      <c r="B198" s="30" t="s">
        <v>365</v>
      </c>
      <c r="C198" s="54">
        <v>-1611</v>
      </c>
      <c r="D198" s="54">
        <v>-4196</v>
      </c>
      <c r="E198" s="54">
        <v>-4537</v>
      </c>
      <c r="F198" s="1"/>
      <c r="G198" s="1"/>
      <c r="H198" s="1"/>
      <c r="I198" s="1"/>
      <c r="J198" s="1"/>
      <c r="K198" s="1"/>
      <c r="L198" s="1"/>
    </row>
    <row r="199" ht="15" customHeight="1">
      <c r="A199" s="1"/>
      <c r="B199" s="30" t="s">
        <v>367</v>
      </c>
      <c r="C199" s="54">
        <v>-589</v>
      </c>
      <c r="D199" s="54">
        <v>-610</v>
      </c>
      <c r="E199" s="54">
        <v>-27</v>
      </c>
      <c r="F199" s="1"/>
      <c r="G199" s="1"/>
      <c r="H199" s="1"/>
      <c r="I199" s="1"/>
      <c r="J199" s="1"/>
      <c r="K199" s="1"/>
      <c r="L199" s="1"/>
    </row>
    <row r="200" ht="15" customHeight="1">
      <c r="A200" s="1"/>
      <c r="B200" s="30" t="s">
        <v>369</v>
      </c>
      <c r="C200" s="54">
        <v>-99</v>
      </c>
      <c r="D200" s="54">
        <v>-114</v>
      </c>
      <c r="E200" s="54">
        <v>-93</v>
      </c>
      <c r="F200" s="1"/>
      <c r="G200" s="1"/>
      <c r="H200" s="1"/>
      <c r="I200" s="1"/>
      <c r="J200" s="1"/>
      <c r="K200" s="1"/>
      <c r="L200" s="1"/>
    </row>
    <row r="201" ht="15" customHeight="1">
      <c r="A201" s="1"/>
      <c r="B201" s="30" t="s">
        <v>668</v>
      </c>
      <c r="C201" s="54">
        <v>-2300</v>
      </c>
      <c r="D201" s="54">
        <v>-4436</v>
      </c>
      <c r="E201" s="54">
        <v>1172</v>
      </c>
      <c r="F201" s="1"/>
      <c r="G201" s="1"/>
      <c r="H201" s="1"/>
      <c r="I201" s="1"/>
      <c r="J201" s="1"/>
      <c r="K201" s="1"/>
      <c r="L201" s="1"/>
    </row>
    <row r="202" ht="15" customHeight="1">
      <c r="A202" s="1"/>
      <c r="B202" s="30" t="s">
        <v>372</v>
      </c>
      <c r="C202" s="54">
        <v>585</v>
      </c>
      <c r="D202" s="54">
        <v>-2075</v>
      </c>
      <c r="E202" s="54">
        <v>4227</v>
      </c>
      <c r="F202" s="1"/>
      <c r="G202" s="1"/>
      <c r="H202" s="1"/>
      <c r="I202" s="1"/>
      <c r="J202" s="1"/>
      <c r="K202" s="1"/>
      <c r="L202" s="1"/>
    </row>
    <row r="203" ht="15" customHeight="1">
      <c r="A203" s="1"/>
      <c r="B203" s="30" t="s">
        <v>669</v>
      </c>
      <c r="C203" s="54">
        <v>8946</v>
      </c>
      <c r="D203" s="54">
        <v>8946</v>
      </c>
      <c r="E203" s="54">
        <v>6081</v>
      </c>
      <c r="F203" s="1"/>
      <c r="G203" s="1"/>
      <c r="H203" s="1"/>
      <c r="I203" s="1"/>
      <c r="J203" s="1"/>
      <c r="K203" s="1"/>
      <c r="L203" s="1"/>
    </row>
    <row r="204" ht="15" customHeight="1">
      <c r="A204" s="1"/>
      <c r="B204" s="30" t="s">
        <v>670</v>
      </c>
      <c r="C204" s="54">
        <v>9531</v>
      </c>
      <c r="D204" s="54">
        <v>6871</v>
      </c>
      <c r="E204" s="54">
        <v>10308</v>
      </c>
      <c r="F204" s="1"/>
      <c r="G204" s="1"/>
      <c r="H204" s="1"/>
      <c r="I204" s="1"/>
      <c r="J204" s="1"/>
      <c r="K204" s="1"/>
      <c r="L204" s="1"/>
    </row>
    <row r="205" ht="15" customHeight="1">
      <c r="A205" s="1"/>
      <c r="B205" s="30" t="s">
        <v>671</v>
      </c>
      <c r="C205" s="1"/>
      <c r="D205" s="54">
        <v>25808</v>
      </c>
      <c r="E205" s="1"/>
      <c r="F205" s="54">
        <v>25082</v>
      </c>
      <c r="G205" s="1"/>
      <c r="H205" s="1"/>
      <c r="I205" s="1"/>
      <c r="J205" s="1"/>
      <c r="K205" s="1"/>
      <c r="L205" s="1"/>
    </row>
    <row r="206" ht="15" customHeight="1">
      <c r="A206" s="1"/>
      <c r="B206" s="30" t="s">
        <v>672</v>
      </c>
      <c r="C206" s="1"/>
      <c r="D206" s="54">
        <v>8755</v>
      </c>
      <c r="E206" s="1"/>
      <c r="F206" s="54">
        <v>8542</v>
      </c>
      <c r="G206" s="1"/>
      <c r="H206" s="1"/>
      <c r="I206" s="1"/>
      <c r="J206" s="1"/>
      <c r="K206" s="1"/>
      <c r="L206" s="1"/>
    </row>
    <row r="207" ht="15" customHeight="1">
      <c r="A207" s="1"/>
      <c r="B207" s="30" t="s">
        <v>673</v>
      </c>
      <c r="C207" s="1"/>
      <c r="D207" s="54">
        <v>5009</v>
      </c>
      <c r="E207" s="1"/>
      <c r="F207" s="54">
        <v>4721</v>
      </c>
      <c r="G207" s="1"/>
      <c r="H207" s="1"/>
      <c r="I207" s="1"/>
      <c r="J207" s="1"/>
      <c r="K207" s="1"/>
      <c r="L207" s="1"/>
    </row>
    <row r="208" ht="15" customHeight="1">
      <c r="A208" s="1"/>
      <c r="B208" s="30" t="s">
        <v>674</v>
      </c>
      <c r="C208" s="1"/>
      <c r="D208" s="54">
        <v>4100</v>
      </c>
      <c r="E208" s="1"/>
      <c r="F208" s="54">
        <v>4023</v>
      </c>
      <c r="G208" s="1"/>
      <c r="H208" s="1"/>
      <c r="I208" s="1"/>
      <c r="J208" s="1"/>
      <c r="K208" s="1"/>
      <c r="L208" s="1"/>
    </row>
    <row r="209" ht="15" customHeight="1">
      <c r="A209" s="1"/>
      <c r="B209" s="30" t="s">
        <v>675</v>
      </c>
      <c r="C209" s="1"/>
      <c r="D209" s="54">
        <v>3500</v>
      </c>
      <c r="E209" s="1"/>
      <c r="F209" s="54">
        <v>3300</v>
      </c>
      <c r="G209" s="1"/>
      <c r="H209" s="1"/>
      <c r="I209" s="1"/>
      <c r="J209" s="1"/>
      <c r="K209" s="1"/>
      <c r="L209" s="1"/>
    </row>
    <row r="210" ht="15" customHeight="1">
      <c r="A210" s="1"/>
      <c r="B210" s="30" t="s">
        <v>676</v>
      </c>
      <c r="C210" s="1"/>
      <c r="D210" s="54">
        <v>2400</v>
      </c>
      <c r="E210" s="1"/>
      <c r="F210" s="54">
        <v>2200</v>
      </c>
      <c r="G210" s="1"/>
      <c r="H210" s="1"/>
      <c r="I210" s="1"/>
      <c r="J210" s="1"/>
      <c r="K210" s="1"/>
      <c r="L210" s="1"/>
    </row>
    <row r="211" ht="15" customHeight="1">
      <c r="A211" s="1"/>
      <c r="B211" s="30" t="s">
        <v>677</v>
      </c>
      <c r="C211" s="1"/>
      <c r="D211" s="54">
        <v>2878</v>
      </c>
      <c r="E211" s="1"/>
      <c r="F211" s="54">
        <v>2643</v>
      </c>
      <c r="G211" s="1"/>
      <c r="H211" s="1"/>
      <c r="I211" s="1"/>
      <c r="J211" s="1"/>
      <c r="K211" s="1"/>
      <c r="L211" s="1"/>
    </row>
    <row r="212" ht="15" customHeight="1">
      <c r="A212" s="1"/>
      <c r="B212" s="30" t="s">
        <v>678</v>
      </c>
      <c r="C212" s="1"/>
      <c r="D212" s="54">
        <v>-2514</v>
      </c>
      <c r="E212" s="1"/>
      <c r="F212" s="54">
        <v>-2325</v>
      </c>
      <c r="G212" s="1"/>
      <c r="H212" s="1"/>
      <c r="I212" s="1"/>
      <c r="J212" s="1"/>
      <c r="K212" s="1"/>
      <c r="L212" s="1"/>
    </row>
    <row r="213" ht="15" customHeight="1">
      <c r="A213" s="1"/>
      <c r="B213" s="30" t="s">
        <v>679</v>
      </c>
      <c r="C213" s="1"/>
      <c r="D213" s="54">
        <v>-103</v>
      </c>
      <c r="E213" s="1"/>
      <c r="F213" s="54">
        <v>-90</v>
      </c>
      <c r="G213" s="1"/>
      <c r="H213" s="1"/>
      <c r="I213" s="1"/>
      <c r="J213" s="1"/>
      <c r="K213" s="1"/>
      <c r="L213" s="1"/>
    </row>
    <row r="214" ht="15" customHeight="1">
      <c r="A214" s="1"/>
      <c r="B214" s="30" t="s">
        <v>680</v>
      </c>
      <c r="C214" s="1"/>
      <c r="D214" s="54">
        <v>325.3</v>
      </c>
      <c r="E214" s="1"/>
      <c r="F214" s="1"/>
      <c r="G214" s="1"/>
      <c r="H214" s="1"/>
      <c r="I214" s="1"/>
      <c r="J214" s="1"/>
      <c r="K214" s="1"/>
      <c r="L214" s="1"/>
    </row>
    <row r="215" ht="15" customHeight="1">
      <c r="A215" s="1"/>
      <c r="B215" s="30" t="s">
        <v>681</v>
      </c>
      <c r="C215" s="1"/>
      <c r="D215" s="54">
        <v>0.4</v>
      </c>
      <c r="E215" s="1"/>
      <c r="F215" s="1"/>
      <c r="G215" s="1"/>
      <c r="H215" s="1"/>
      <c r="I215" s="1"/>
      <c r="J215" s="1"/>
      <c r="K215" s="1"/>
      <c r="L215" s="1"/>
    </row>
    <row r="216" ht="15" customHeight="1">
      <c r="A216" s="1"/>
      <c r="B216" s="30" t="s">
        <v>682</v>
      </c>
      <c r="C216" s="1"/>
      <c r="D216" s="54">
        <v>3.3</v>
      </c>
      <c r="E216" s="1"/>
      <c r="F216" s="1"/>
      <c r="G216" s="1"/>
      <c r="H216" s="1"/>
      <c r="I216" s="1"/>
      <c r="J216" s="1"/>
      <c r="K216" s="1"/>
      <c r="L216" s="1"/>
    </row>
    <row r="217" ht="15" customHeight="1">
      <c r="A217" s="1"/>
      <c r="B217" s="30" t="s">
        <v>683</v>
      </c>
      <c r="C217" s="1"/>
      <c r="D217" s="54">
        <v>2309</v>
      </c>
      <c r="E217" s="1"/>
      <c r="F217" s="1"/>
      <c r="G217" s="1"/>
      <c r="H217" s="1"/>
      <c r="I217" s="1"/>
      <c r="J217" s="1"/>
      <c r="K217" s="1"/>
      <c r="L217" s="1"/>
    </row>
    <row r="218" ht="15" customHeight="1">
      <c r="A218" s="1"/>
      <c r="B218" s="30" t="s">
        <v>684</v>
      </c>
      <c r="C218" s="1"/>
      <c r="D218" s="54">
        <v>43673</v>
      </c>
      <c r="E218" s="1"/>
      <c r="F218" s="1"/>
      <c r="G218" s="1"/>
      <c r="H218" s="1"/>
      <c r="I218" s="1"/>
      <c r="J218" s="1"/>
      <c r="K218" s="1"/>
      <c r="L218" s="1"/>
    </row>
    <row r="219" ht="15" customHeight="1">
      <c r="A219" s="1"/>
      <c r="B219" s="30" t="s">
        <v>685</v>
      </c>
      <c r="C219" s="1"/>
      <c r="D219" s="54">
        <v>3328</v>
      </c>
      <c r="E219" s="1"/>
      <c r="F219" s="1"/>
      <c r="G219" s="1"/>
      <c r="H219" s="1"/>
      <c r="I219" s="1"/>
      <c r="J219" s="1"/>
      <c r="K219" s="1"/>
      <c r="L219" s="1"/>
    </row>
    <row r="220" ht="15" customHeight="1">
      <c r="A220" s="1"/>
      <c r="B220" s="30" t="s">
        <v>686</v>
      </c>
      <c r="C220" s="33">
        <v>1369</v>
      </c>
      <c r="D220" s="1"/>
      <c r="E220" s="1"/>
      <c r="F220" s="1"/>
      <c r="G220" s="1"/>
      <c r="H220" s="1"/>
      <c r="I220" s="1"/>
      <c r="J220" s="1"/>
      <c r="K220" s="1"/>
      <c r="L220" s="1"/>
    </row>
    <row r="221" ht="1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ht="15" customHeight="1">
      <c r="A222" s="1"/>
      <c r="B222" s="3" t="s">
        <v>687</v>
      </c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ht="25.5" customHeight="1">
      <c r="A223" s="1"/>
      <c r="B223" s="1" t="s">
        <v>688</v>
      </c>
      <c r="C223" s="54">
        <v>31.19</v>
      </c>
      <c r="D223" s="1"/>
      <c r="E223" s="1"/>
      <c r="F223" s="1"/>
      <c r="G223" s="1"/>
      <c r="H223" s="1"/>
      <c r="I223" s="1"/>
      <c r="J223" s="1"/>
      <c r="K223" s="18" t="s">
        <v>689</v>
      </c>
      <c r="L223" s="1"/>
    </row>
    <row r="224" ht="25.5" customHeight="1">
      <c r="A224" s="1"/>
      <c r="B224" s="108" t="s">
        <v>690</v>
      </c>
      <c r="C224" s="62" t="str">
        <f>IF(C223&gt;10,"large",IF(C223&gt;2,"mid","small"))</f>
        <v>large</v>
      </c>
      <c r="D224" s="1"/>
      <c r="E224" s="1"/>
      <c r="F224" s="1"/>
      <c r="G224" s="1"/>
      <c r="H224" s="1"/>
      <c r="I224" s="1"/>
      <c r="J224" s="1"/>
      <c r="K224" s="1"/>
      <c r="L224" s="1"/>
    </row>
    <row r="225" ht="15" customHeight="1">
      <c r="A225" s="1"/>
      <c r="B225" s="1" t="s">
        <v>692</v>
      </c>
      <c r="C225" s="33">
        <v>1</v>
      </c>
      <c r="D225" s="1"/>
      <c r="E225" s="1"/>
      <c r="F225" s="1"/>
      <c r="G225" s="1"/>
      <c r="H225" s="1"/>
      <c r="I225" s="1"/>
      <c r="J225" s="1"/>
      <c r="K225" s="1"/>
      <c r="L225" s="1"/>
    </row>
    <row r="226" ht="15" customHeight="1">
      <c r="A226" s="1"/>
      <c r="B226" s="4" t="s">
        <v>693</v>
      </c>
      <c r="C226" s="109">
        <v>0.78</v>
      </c>
      <c r="D226" s="1"/>
      <c r="E226" s="1"/>
      <c r="F226" s="1"/>
      <c r="G226" s="1"/>
      <c r="H226" s="1"/>
      <c r="I226" s="1"/>
      <c r="J226" s="1"/>
      <c r="K226" s="1"/>
      <c r="L226" s="1"/>
    </row>
    <row r="227" ht="15" customHeight="1">
      <c r="A227" s="1"/>
      <c r="B227" s="4" t="s">
        <v>694</v>
      </c>
      <c r="C227" s="109">
        <v>0.7</v>
      </c>
      <c r="D227" s="1"/>
      <c r="E227" s="1"/>
      <c r="F227" s="1"/>
      <c r="G227" s="1"/>
      <c r="H227" s="1"/>
      <c r="I227" s="1"/>
      <c r="J227" s="1"/>
      <c r="K227" s="1"/>
      <c r="L227" s="1"/>
    </row>
    <row r="228" ht="15" customHeight="1">
      <c r="A228" s="1"/>
      <c r="B228" s="4" t="s">
        <v>695</v>
      </c>
      <c r="C228" s="109">
        <v>0.6</v>
      </c>
      <c r="D228" s="1"/>
      <c r="E228" s="1"/>
      <c r="F228" s="1"/>
      <c r="G228" s="1"/>
      <c r="H228" s="1"/>
      <c r="I228" s="1"/>
      <c r="J228" s="1"/>
      <c r="K228" s="1"/>
      <c r="L228" s="1"/>
    </row>
    <row r="229" ht="15" customHeight="1">
      <c r="A229" s="1"/>
      <c r="B229" s="4" t="s">
        <v>696</v>
      </c>
      <c r="C229" s="17">
        <f>IF(OR(C224="large",C225=1),C226,IF(C224="mid",C227,C228))</f>
        <v>0.78</v>
      </c>
      <c r="D229" s="1"/>
      <c r="E229" s="1"/>
      <c r="F229" s="1"/>
      <c r="G229" s="1"/>
      <c r="H229" s="1"/>
      <c r="I229" s="1"/>
      <c r="J229" s="1"/>
      <c r="K229" s="1"/>
      <c r="L229" s="1"/>
    </row>
    <row r="230" ht="15" customHeight="1">
      <c r="A230" s="1"/>
      <c r="B230" s="1" t="s">
        <v>697</v>
      </c>
      <c r="C230" s="39">
        <f>SUM(D110:D115)</f>
        <v>6</v>
      </c>
      <c r="D230" s="1"/>
      <c r="E230" s="1"/>
      <c r="F230" s="1"/>
      <c r="G230" s="1"/>
      <c r="H230" s="1"/>
      <c r="I230" s="1"/>
      <c r="J230" s="1"/>
      <c r="K230" s="1"/>
      <c r="L230" s="1"/>
    </row>
    <row r="231" ht="15" customHeight="1">
      <c r="A231" s="1"/>
      <c r="B231" s="1" t="s">
        <v>698</v>
      </c>
      <c r="C231" s="39">
        <f>COUNT(E103:E108)</f>
        <v>6</v>
      </c>
      <c r="D231" s="1"/>
      <c r="E231" s="1"/>
      <c r="F231" s="1"/>
      <c r="G231" s="1"/>
      <c r="H231" s="1"/>
      <c r="I231" s="1"/>
      <c r="J231" s="1"/>
      <c r="K231" s="1"/>
      <c r="L231" s="1"/>
    </row>
    <row r="232" ht="15" customHeight="1">
      <c r="A232" s="1"/>
      <c r="B232" s="1" t="s">
        <v>699</v>
      </c>
      <c r="C232" s="33">
        <v>8</v>
      </c>
      <c r="D232" s="1"/>
      <c r="E232" s="1"/>
      <c r="F232" s="1"/>
      <c r="G232" s="1"/>
      <c r="H232" s="1"/>
      <c r="I232" s="1"/>
      <c r="J232" s="1"/>
      <c r="K232" s="1"/>
      <c r="L232" s="1"/>
    </row>
    <row r="233" ht="15" customHeight="1">
      <c r="A233" s="1"/>
      <c r="B233" s="4" t="s">
        <v>700</v>
      </c>
      <c r="C233" s="17">
        <f>(C232*C229+C230)/(C232+C231)</f>
        <v>0.8742857142857143</v>
      </c>
      <c r="D233" s="1"/>
      <c r="E233" s="1"/>
      <c r="F233" s="1"/>
      <c r="G233" s="1"/>
      <c r="H233" s="1"/>
      <c r="I233" s="1"/>
      <c r="J233" s="1"/>
      <c r="K233" s="1"/>
      <c r="L233" s="1"/>
    </row>
    <row r="234" ht="15" customHeight="1">
      <c r="A234" s="1"/>
      <c r="B234" s="1" t="s">
        <v>701</v>
      </c>
      <c r="C234" s="24">
        <f>AVERAGE(E110:E115)</f>
        <v>0.12333333333333328</v>
      </c>
      <c r="D234" s="1"/>
      <c r="E234" s="1"/>
      <c r="F234" s="1"/>
      <c r="G234" s="1"/>
      <c r="H234" s="1"/>
      <c r="I234" s="1"/>
      <c r="J234" s="1"/>
      <c r="K234" s="1"/>
      <c r="L234" s="1"/>
    </row>
    <row r="235" ht="15" customHeight="1">
      <c r="A235" s="1"/>
      <c r="B235" s="1" t="s">
        <v>702</v>
      </c>
      <c r="C235" s="23">
        <f>'Income Statement'!H126-C45</f>
        <v>0.10327224065357932</v>
      </c>
      <c r="D235" s="1"/>
      <c r="E235" s="1"/>
      <c r="F235" s="1"/>
      <c r="G235" s="1"/>
      <c r="H235" s="1"/>
      <c r="I235" s="1"/>
      <c r="J235" s="1"/>
      <c r="K235" s="1"/>
      <c r="L235" s="1"/>
    </row>
    <row r="236" ht="25.5" customHeight="1">
      <c r="A236" s="1"/>
      <c r="B236" s="1" t="s">
        <v>703</v>
      </c>
      <c r="C236" s="76">
        <v>0.3</v>
      </c>
      <c r="D236" s="1"/>
      <c r="E236" s="1"/>
      <c r="F236" s="1"/>
      <c r="G236" s="1"/>
      <c r="H236" s="1"/>
      <c r="I236" s="1"/>
      <c r="J236" s="1"/>
      <c r="K236" s="18" t="s">
        <v>704</v>
      </c>
      <c r="L236" s="1"/>
    </row>
    <row r="237" ht="15" customHeight="1">
      <c r="A237" s="1"/>
      <c r="B237" s="4" t="s">
        <v>705</v>
      </c>
      <c r="C237" s="17">
        <f>_xlfn.NORM.S.DIST(C235/C236,TRUE)</f>
        <v>0.634667400218891</v>
      </c>
      <c r="D237" s="1"/>
      <c r="E237" s="1"/>
      <c r="F237" s="1"/>
      <c r="G237" s="1"/>
      <c r="H237" s="1"/>
      <c r="I237" s="1"/>
      <c r="J237" s="1"/>
      <c r="K237" s="1"/>
      <c r="L237" s="1"/>
    </row>
    <row r="238" ht="38.25" customHeight="1">
      <c r="A238" s="1"/>
      <c r="B238" s="4" t="s">
        <v>706</v>
      </c>
      <c r="C238" s="109">
        <v>-0.12</v>
      </c>
      <c r="D238" s="1"/>
      <c r="E238" s="1"/>
      <c r="F238" s="1"/>
      <c r="G238" s="1"/>
      <c r="H238" s="1"/>
      <c r="I238" s="1"/>
      <c r="J238" s="1"/>
      <c r="K238" s="18" t="s">
        <v>707</v>
      </c>
      <c r="L238" s="1"/>
    </row>
    <row r="239" ht="15" customHeight="1">
      <c r="A239" s="1"/>
      <c r="B239" s="3" t="s">
        <v>708</v>
      </c>
      <c r="C239" s="21">
        <f>ROUND(C233+C238,2)</f>
        <v>0.75</v>
      </c>
      <c r="D239" s="1"/>
      <c r="E239" s="1"/>
      <c r="F239" s="1"/>
      <c r="G239" s="1"/>
      <c r="H239" s="1"/>
      <c r="I239" s="1"/>
      <c r="J239" s="1"/>
      <c r="K239" s="1"/>
      <c r="L239" s="1"/>
    </row>
    <row r="240" ht="15" customHeight="1">
      <c r="A240" s="1"/>
      <c r="B240" s="1" t="s">
        <v>52</v>
      </c>
      <c r="C240" s="12" t="s">
        <v>53</v>
      </c>
      <c r="D240" s="1"/>
      <c r="E240" s="1"/>
      <c r="F240" s="1"/>
      <c r="G240" s="1"/>
      <c r="H240" s="1"/>
      <c r="I240" s="1"/>
      <c r="J240" s="1"/>
      <c r="K240" s="1"/>
      <c r="L240" s="1"/>
    </row>
    <row r="241" ht="1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ht="15" customHeight="1">
      <c r="A242" s="1"/>
      <c r="B242" s="3" t="s">
        <v>709</v>
      </c>
      <c r="C242" s="1"/>
      <c r="D242" s="1"/>
      <c r="E242" s="1"/>
      <c r="F242" s="1"/>
      <c r="G242" s="106"/>
      <c r="H242" s="106"/>
      <c r="I242" s="1"/>
      <c r="J242" s="1"/>
      <c r="K242" s="1"/>
      <c r="L242" s="1"/>
    </row>
    <row r="243" ht="15" customHeight="1">
      <c r="A243" s="1"/>
      <c r="B243" s="13" t="s">
        <v>469</v>
      </c>
      <c r="C243" s="14" t="s">
        <v>710</v>
      </c>
      <c r="D243" s="14" t="s">
        <v>711</v>
      </c>
      <c r="E243" s="14" t="s">
        <v>712</v>
      </c>
      <c r="F243" s="14" t="s">
        <v>713</v>
      </c>
      <c r="G243" s="107"/>
      <c r="H243" s="107"/>
      <c r="I243" s="1"/>
      <c r="J243" s="1"/>
      <c r="K243" s="1"/>
      <c r="L243" s="1"/>
    </row>
    <row r="244" ht="15" customHeight="1">
      <c r="A244" s="1"/>
      <c r="B244" s="30" t="s">
        <v>714</v>
      </c>
      <c r="C244" s="97">
        <v>46218</v>
      </c>
      <c r="D244" s="76">
        <v>3.6</v>
      </c>
      <c r="E244" s="16" t="s">
        <v>41</v>
      </c>
      <c r="F244" s="62" t="s">
        <v>715</v>
      </c>
      <c r="G244" s="1"/>
      <c r="H244" s="1"/>
      <c r="I244" s="1"/>
      <c r="J244" s="1"/>
      <c r="K244" s="1"/>
      <c r="L244" s="1"/>
    </row>
    <row r="245" ht="15" customHeight="1">
      <c r="A245" s="1"/>
      <c r="B245" s="30" t="s">
        <v>716</v>
      </c>
      <c r="C245" s="97">
        <v>46289</v>
      </c>
      <c r="D245" s="76">
        <v>2.837</v>
      </c>
      <c r="E245" s="54">
        <v>17752</v>
      </c>
      <c r="F245" s="62" t="s">
        <v>717</v>
      </c>
      <c r="G245" s="1"/>
      <c r="H245" s="1"/>
      <c r="I245" s="1"/>
      <c r="J245" s="1"/>
      <c r="K245" s="1"/>
      <c r="L245" s="1"/>
    </row>
    <row r="246" ht="15" customHeight="1">
      <c r="A246" s="1"/>
      <c r="B246" s="30" t="s">
        <v>718</v>
      </c>
      <c r="C246" s="97">
        <v>46304</v>
      </c>
      <c r="D246" s="76">
        <v>2.61</v>
      </c>
      <c r="E246" s="16" t="s">
        <v>41</v>
      </c>
      <c r="F246" s="62" t="s">
        <v>719</v>
      </c>
      <c r="G246" s="1"/>
      <c r="H246" s="1"/>
      <c r="I246" s="1"/>
      <c r="J246" s="1"/>
      <c r="K246" s="1"/>
      <c r="L246" s="1"/>
    </row>
    <row r="247" ht="15" customHeight="1">
      <c r="A247" s="1"/>
      <c r="B247" s="30" t="s">
        <v>720</v>
      </c>
      <c r="C247" s="97">
        <v>46308</v>
      </c>
      <c r="D247" s="24" t="s">
        <v>41</v>
      </c>
      <c r="E247" s="54">
        <v>17840</v>
      </c>
      <c r="F247" s="62" t="s">
        <v>719</v>
      </c>
      <c r="G247" s="1"/>
      <c r="H247" s="1"/>
      <c r="I247" s="1"/>
      <c r="J247" s="1"/>
      <c r="K247" s="1"/>
      <c r="L247" s="1"/>
    </row>
    <row r="248" ht="15" customHeight="1">
      <c r="A248" s="1"/>
      <c r="B248" s="30" t="s">
        <v>721</v>
      </c>
      <c r="C248" s="97">
        <v>46311</v>
      </c>
      <c r="D248" s="76">
        <v>2.59</v>
      </c>
      <c r="E248" s="54">
        <v>17900</v>
      </c>
      <c r="F248" s="62" t="s">
        <v>722</v>
      </c>
      <c r="G248" s="1"/>
      <c r="H248" s="1"/>
      <c r="I248" s="1"/>
      <c r="J248" s="1"/>
      <c r="K248" s="1"/>
      <c r="L248" s="1"/>
    </row>
    <row r="249" ht="15" customHeight="1">
      <c r="A249" s="1"/>
      <c r="B249" s="30" t="s">
        <v>723</v>
      </c>
      <c r="C249" s="97">
        <v>46313</v>
      </c>
      <c r="D249" s="76">
        <v>2.58</v>
      </c>
      <c r="E249" s="54">
        <v>17880</v>
      </c>
      <c r="F249" s="62" t="s">
        <v>722</v>
      </c>
      <c r="G249" s="1"/>
      <c r="H249" s="1"/>
      <c r="I249" s="1"/>
      <c r="J249" s="1"/>
      <c r="K249" s="1"/>
      <c r="L249" s="1"/>
    </row>
    <row r="250" ht="1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ht="1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7384AA3-8E65-CE0E-5FE8-2E5AEF1268C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3" width="12.00390625" customWidth="1"/>
    <col min="4" max="4" width="30.00390625" customWidth="1"/>
    <col min="5" max="5" width="60.00390625" customWidth="1"/>
    <col min="6" max="6" width="14.00390625" customWidth="1"/>
    <col min="7" max="7" width="60.00390625" customWidth="1"/>
    <col min="8" max="11" width="12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15" customHeight="1">
      <c r="A3" s="1"/>
      <c r="B3" s="3" t="s">
        <v>724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15" customHeight="1">
      <c r="A5" s="1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1"/>
      <c r="J5" s="1"/>
      <c r="K5" s="1"/>
      <c r="L5" s="1"/>
    </row>
    <row r="6" ht="15" customHeight="1">
      <c r="A6" s="1"/>
      <c r="B6" s="7" t="s">
        <v>10</v>
      </c>
      <c r="C6" s="8">
        <f>DATE(2025,9,30)</f>
        <v>45930</v>
      </c>
      <c r="D6" s="8">
        <f t="shared" si="0" ref="D6:E6">DATE(2025,12,31)</f>
        <v>46022</v>
      </c>
      <c r="E6" s="8">
        <f t="shared" si="0"/>
        <v>46022</v>
      </c>
      <c r="F6" s="8">
        <f>DATE(2026,3,31)</f>
        <v>46112</v>
      </c>
      <c r="G6" s="8">
        <f>DATE(2026,6,30)</f>
        <v>46203</v>
      </c>
      <c r="H6" s="8">
        <f>DATE(2026,9,30)</f>
        <v>46295</v>
      </c>
      <c r="I6" s="1"/>
      <c r="J6" s="1"/>
      <c r="K6" s="1"/>
      <c r="L6" s="1"/>
    </row>
    <row r="7" ht="15" customHeight="1">
      <c r="A7" s="1"/>
      <c r="B7" s="9" t="s">
        <v>11</v>
      </c>
      <c r="C7" s="10">
        <f t="shared" si="1" ref="C7:H7">C6-EOMONTH(C6,-3)</f>
        <v>92</v>
      </c>
      <c r="D7" s="10">
        <f t="shared" si="1"/>
        <v>92</v>
      </c>
      <c r="E7" s="10">
        <f>E6-EOMONTH(E6,-12)</f>
        <v>365</v>
      </c>
      <c r="F7" s="10">
        <f t="shared" si="1"/>
        <v>90</v>
      </c>
      <c r="G7" s="10">
        <f t="shared" si="1"/>
        <v>91</v>
      </c>
      <c r="H7" s="10">
        <f t="shared" si="1"/>
        <v>92</v>
      </c>
      <c r="I7" s="1"/>
      <c r="J7" s="1"/>
      <c r="K7" s="1"/>
      <c r="L7" s="1"/>
    </row>
    <row r="8" ht="15" customHeight="1">
      <c r="A8" s="1"/>
      <c r="B8" s="95" t="s">
        <v>725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ht="15" customHeight="1">
      <c r="A9" s="1"/>
      <c r="B9" s="13" t="s">
        <v>726</v>
      </c>
      <c r="C9" s="14" t="s">
        <v>727</v>
      </c>
      <c r="D9" s="96" t="s">
        <v>728</v>
      </c>
      <c r="E9" s="96" t="s">
        <v>729</v>
      </c>
      <c r="F9" s="14" t="s">
        <v>730</v>
      </c>
      <c r="G9" s="96" t="s">
        <v>731</v>
      </c>
      <c r="H9" s="14"/>
      <c r="I9" s="1"/>
      <c r="J9" s="1"/>
      <c r="K9" s="1"/>
      <c r="L9" s="1"/>
    </row>
    <row r="10" ht="27" customHeight="1">
      <c r="A10" s="1"/>
      <c r="B10" s="1" t="s">
        <v>732</v>
      </c>
      <c r="C10" s="97">
        <v>46313</v>
      </c>
      <c r="D10" s="110" t="s">
        <v>733</v>
      </c>
      <c r="E10" s="110" t="s">
        <v>734</v>
      </c>
      <c r="F10" s="97">
        <v>46314</v>
      </c>
      <c r="G10" s="110" t="s">
        <v>735</v>
      </c>
      <c r="H10" s="1"/>
      <c r="I10" s="1"/>
      <c r="J10" s="1"/>
      <c r="K10" s="1"/>
      <c r="L10" s="1"/>
    </row>
    <row r="11" ht="27" customHeight="1">
      <c r="A11" s="1"/>
      <c r="B11" s="1" t="s">
        <v>736</v>
      </c>
      <c r="C11" s="97">
        <v>46313</v>
      </c>
      <c r="D11" s="110" t="s">
        <v>733</v>
      </c>
      <c r="E11" s="110" t="s">
        <v>737</v>
      </c>
      <c r="F11" s="97">
        <v>46314</v>
      </c>
      <c r="G11" s="110" t="s">
        <v>738</v>
      </c>
      <c r="H11" s="1"/>
      <c r="I11" s="1"/>
      <c r="J11" s="1"/>
      <c r="K11" s="1"/>
      <c r="L11" s="1"/>
    </row>
    <row r="12" ht="27" customHeight="1">
      <c r="A12" s="1"/>
      <c r="B12" s="1" t="s">
        <v>739</v>
      </c>
      <c r="C12" s="97">
        <v>45945</v>
      </c>
      <c r="D12" s="110" t="s">
        <v>740</v>
      </c>
      <c r="E12" s="110" t="s">
        <v>741</v>
      </c>
      <c r="F12" s="97">
        <v>46314</v>
      </c>
      <c r="G12" s="110" t="s">
        <v>742</v>
      </c>
      <c r="H12" s="1"/>
      <c r="I12" s="1"/>
      <c r="J12" s="1"/>
      <c r="K12" s="1"/>
      <c r="L12" s="1"/>
    </row>
    <row r="13" ht="27" customHeight="1">
      <c r="A13" s="1"/>
      <c r="B13" s="1" t="s">
        <v>743</v>
      </c>
      <c r="C13" s="97">
        <v>46042</v>
      </c>
      <c r="D13" s="110" t="s">
        <v>740</v>
      </c>
      <c r="E13" s="110" t="s">
        <v>744</v>
      </c>
      <c r="F13" s="97">
        <v>46314</v>
      </c>
      <c r="G13" s="110" t="s">
        <v>745</v>
      </c>
      <c r="H13" s="1"/>
      <c r="I13" s="1"/>
      <c r="J13" s="1"/>
      <c r="K13" s="1"/>
      <c r="L13" s="1"/>
    </row>
    <row r="14" ht="27" customHeight="1">
      <c r="A14" s="1"/>
      <c r="B14" s="1" t="s">
        <v>746</v>
      </c>
      <c r="C14" s="97">
        <v>46133</v>
      </c>
      <c r="D14" s="110" t="s">
        <v>740</v>
      </c>
      <c r="E14" s="110" t="s">
        <v>747</v>
      </c>
      <c r="F14" s="97">
        <v>46314</v>
      </c>
      <c r="G14" s="110" t="s">
        <v>748</v>
      </c>
      <c r="H14" s="1"/>
      <c r="I14" s="1"/>
      <c r="J14" s="1"/>
      <c r="K14" s="1"/>
      <c r="L14" s="1"/>
    </row>
    <row r="15" ht="27" customHeight="1">
      <c r="A15" s="1"/>
      <c r="B15" s="1" t="s">
        <v>749</v>
      </c>
      <c r="C15" s="97">
        <v>46218</v>
      </c>
      <c r="D15" s="110" t="s">
        <v>740</v>
      </c>
      <c r="E15" s="110" t="s">
        <v>750</v>
      </c>
      <c r="F15" s="97">
        <v>46314</v>
      </c>
      <c r="G15" s="110" t="s">
        <v>751</v>
      </c>
      <c r="H15" s="1"/>
      <c r="I15" s="1"/>
      <c r="J15" s="1"/>
      <c r="K15" s="1"/>
      <c r="L15" s="1"/>
    </row>
    <row r="16" ht="39" customHeight="1">
      <c r="A16" s="1"/>
      <c r="B16" s="1" t="s">
        <v>487</v>
      </c>
      <c r="C16" s="97">
        <v>46218</v>
      </c>
      <c r="D16" s="110" t="s">
        <v>752</v>
      </c>
      <c r="E16" s="110" t="s">
        <v>753</v>
      </c>
      <c r="F16" s="97">
        <v>46314</v>
      </c>
      <c r="G16" s="110" t="s">
        <v>754</v>
      </c>
      <c r="H16" s="1"/>
      <c r="I16" s="1"/>
      <c r="J16" s="1"/>
      <c r="K16" s="1"/>
      <c r="L16" s="1"/>
    </row>
    <row r="17" ht="27" customHeight="1">
      <c r="A17" s="1"/>
      <c r="B17" s="1" t="s">
        <v>755</v>
      </c>
      <c r="C17" s="97">
        <v>46219</v>
      </c>
      <c r="D17" s="110" t="s">
        <v>756</v>
      </c>
      <c r="E17" s="110" t="s">
        <v>757</v>
      </c>
      <c r="F17" s="97">
        <v>46314</v>
      </c>
      <c r="G17" s="110" t="s">
        <v>758</v>
      </c>
      <c r="H17" s="1"/>
      <c r="I17" s="1"/>
      <c r="J17" s="1"/>
      <c r="K17" s="1"/>
      <c r="L17" s="1"/>
    </row>
    <row r="18" ht="27" customHeight="1">
      <c r="A18" s="1"/>
      <c r="B18" s="1" t="s">
        <v>759</v>
      </c>
      <c r="C18" s="97">
        <v>46134</v>
      </c>
      <c r="D18" s="110" t="s">
        <v>756</v>
      </c>
      <c r="E18" s="110" t="s">
        <v>760</v>
      </c>
      <c r="F18" s="97">
        <v>46314</v>
      </c>
      <c r="G18" s="110" t="s">
        <v>761</v>
      </c>
      <c r="H18" s="1"/>
      <c r="I18" s="1"/>
      <c r="J18" s="1"/>
      <c r="K18" s="1"/>
      <c r="L18" s="1"/>
    </row>
    <row r="19" ht="27" customHeight="1">
      <c r="A19" s="1"/>
      <c r="B19" s="1" t="s">
        <v>762</v>
      </c>
      <c r="C19" s="97">
        <v>45946</v>
      </c>
      <c r="D19" s="110" t="s">
        <v>756</v>
      </c>
      <c r="E19" s="110" t="s">
        <v>763</v>
      </c>
      <c r="F19" s="97">
        <v>46314</v>
      </c>
      <c r="G19" s="110" t="s">
        <v>764</v>
      </c>
      <c r="H19" s="1"/>
      <c r="I19" s="1"/>
      <c r="J19" s="1"/>
      <c r="K19" s="1"/>
      <c r="L19" s="1"/>
    </row>
    <row r="20" ht="27" customHeight="1">
      <c r="A20" s="1"/>
      <c r="B20" s="1" t="s">
        <v>765</v>
      </c>
      <c r="C20" s="97">
        <v>46065</v>
      </c>
      <c r="D20" s="110" t="s">
        <v>766</v>
      </c>
      <c r="E20" s="110" t="s">
        <v>767</v>
      </c>
      <c r="F20" s="97">
        <v>46314</v>
      </c>
      <c r="G20" s="110" t="s">
        <v>768</v>
      </c>
      <c r="H20" s="1"/>
      <c r="I20" s="1"/>
      <c r="J20" s="1"/>
      <c r="K20" s="1"/>
      <c r="L20" s="1"/>
    </row>
    <row r="21" ht="27" customHeight="1">
      <c r="A21" s="1"/>
      <c r="B21" s="1" t="s">
        <v>769</v>
      </c>
      <c r="C21" s="97">
        <v>45762</v>
      </c>
      <c r="D21" s="110" t="s">
        <v>740</v>
      </c>
      <c r="E21" s="110" t="s">
        <v>770</v>
      </c>
      <c r="F21" s="97">
        <v>46314</v>
      </c>
      <c r="G21" s="110" t="s">
        <v>771</v>
      </c>
      <c r="H21" s="1"/>
      <c r="I21" s="1"/>
      <c r="J21" s="1"/>
      <c r="K21" s="1"/>
      <c r="L21" s="1"/>
    </row>
    <row r="22" ht="27" customHeight="1">
      <c r="A22" s="1"/>
      <c r="B22" s="1" t="s">
        <v>772</v>
      </c>
      <c r="C22" s="97">
        <v>45854</v>
      </c>
      <c r="D22" s="110" t="s">
        <v>740</v>
      </c>
      <c r="E22" s="110" t="s">
        <v>773</v>
      </c>
      <c r="F22" s="97">
        <v>46314</v>
      </c>
      <c r="G22" s="110" t="s">
        <v>774</v>
      </c>
      <c r="H22" s="1"/>
      <c r="I22" s="1"/>
      <c r="J22" s="1"/>
      <c r="K22" s="1"/>
      <c r="L22" s="1"/>
    </row>
    <row r="23" ht="27" customHeight="1">
      <c r="A23" s="1"/>
      <c r="B23" s="1" t="s">
        <v>775</v>
      </c>
      <c r="C23" s="97">
        <v>46219</v>
      </c>
      <c r="D23" s="110" t="s">
        <v>776</v>
      </c>
      <c r="E23" s="110" t="s">
        <v>777</v>
      </c>
      <c r="F23" s="97">
        <v>46314</v>
      </c>
      <c r="G23" s="110" t="s">
        <v>778</v>
      </c>
      <c r="H23" s="1"/>
      <c r="I23" s="1"/>
      <c r="J23" s="1"/>
      <c r="K23" s="1"/>
      <c r="L23" s="1"/>
    </row>
    <row r="24" ht="39" customHeight="1">
      <c r="A24" s="1"/>
      <c r="B24" s="1" t="s">
        <v>779</v>
      </c>
      <c r="C24" s="97">
        <v>46281</v>
      </c>
      <c r="D24" s="110" t="s">
        <v>780</v>
      </c>
      <c r="E24" s="110" t="s">
        <v>781</v>
      </c>
      <c r="F24" s="97">
        <v>46314</v>
      </c>
      <c r="G24" s="110" t="s">
        <v>782</v>
      </c>
      <c r="H24" s="1"/>
      <c r="I24" s="1"/>
      <c r="J24" s="1"/>
      <c r="K24" s="1"/>
      <c r="L24" s="1"/>
    </row>
    <row r="25" ht="27" customHeight="1">
      <c r="A25" s="1"/>
      <c r="B25" s="1" t="s">
        <v>783</v>
      </c>
      <c r="C25" s="97">
        <v>46295</v>
      </c>
      <c r="D25" s="110" t="s">
        <v>784</v>
      </c>
      <c r="E25" s="110" t="s">
        <v>785</v>
      </c>
      <c r="F25" s="97">
        <v>46314</v>
      </c>
      <c r="G25" s="110" t="s">
        <v>786</v>
      </c>
      <c r="H25" s="1"/>
      <c r="I25" s="1"/>
      <c r="J25" s="1"/>
      <c r="K25" s="1"/>
      <c r="L25" s="1"/>
    </row>
    <row r="26" ht="39" customHeight="1">
      <c r="A26" s="1"/>
      <c r="B26" s="1" t="s">
        <v>787</v>
      </c>
      <c r="C26" s="97">
        <v>46304</v>
      </c>
      <c r="D26" s="110" t="s">
        <v>788</v>
      </c>
      <c r="E26" s="110" t="s">
        <v>789</v>
      </c>
      <c r="F26" s="97">
        <v>46314</v>
      </c>
      <c r="G26" s="110" t="s">
        <v>790</v>
      </c>
      <c r="H26" s="1"/>
      <c r="I26" s="1"/>
      <c r="J26" s="1"/>
      <c r="K26" s="1"/>
      <c r="L26" s="1"/>
    </row>
    <row r="27" ht="39" customHeight="1">
      <c r="A27" s="1"/>
      <c r="B27" s="1" t="s">
        <v>791</v>
      </c>
      <c r="C27" s="97">
        <v>46213</v>
      </c>
      <c r="D27" s="110" t="s">
        <v>788</v>
      </c>
      <c r="E27" s="110" t="s">
        <v>792</v>
      </c>
      <c r="F27" s="97">
        <v>46314</v>
      </c>
      <c r="G27" s="110" t="s">
        <v>793</v>
      </c>
      <c r="H27" s="1"/>
      <c r="I27" s="1"/>
      <c r="J27" s="1"/>
      <c r="K27" s="1"/>
      <c r="L27" s="1"/>
    </row>
    <row r="28" ht="27" customHeight="1">
      <c r="A28" s="1"/>
      <c r="B28" s="1" t="s">
        <v>794</v>
      </c>
      <c r="C28" s="97">
        <v>46310</v>
      </c>
      <c r="D28" s="110" t="s">
        <v>795</v>
      </c>
      <c r="E28" s="110" t="s">
        <v>796</v>
      </c>
      <c r="F28" s="97">
        <v>46314</v>
      </c>
      <c r="G28" s="110" t="s">
        <v>797</v>
      </c>
      <c r="H28" s="1"/>
      <c r="I28" s="1"/>
      <c r="J28" s="1"/>
      <c r="K28" s="1"/>
      <c r="L28" s="1"/>
    </row>
    <row r="29" ht="27" customHeight="1">
      <c r="A29" s="1"/>
      <c r="B29" s="1" t="s">
        <v>798</v>
      </c>
      <c r="C29" s="97">
        <v>46300</v>
      </c>
      <c r="D29" s="110" t="s">
        <v>799</v>
      </c>
      <c r="E29" s="110" t="s">
        <v>800</v>
      </c>
      <c r="F29" s="97">
        <v>46314</v>
      </c>
      <c r="G29" s="110" t="s">
        <v>801</v>
      </c>
      <c r="H29" s="1"/>
      <c r="I29" s="1"/>
      <c r="J29" s="1"/>
      <c r="K29" s="1"/>
      <c r="L29" s="1"/>
    </row>
    <row r="30" ht="27" customHeight="1">
      <c r="A30" s="1"/>
      <c r="B30" s="1" t="s">
        <v>802</v>
      </c>
      <c r="C30" s="97">
        <v>46275</v>
      </c>
      <c r="D30" s="110" t="s">
        <v>803</v>
      </c>
      <c r="E30" s="110" t="s">
        <v>804</v>
      </c>
      <c r="F30" s="97">
        <v>46314</v>
      </c>
      <c r="G30" s="110" t="s">
        <v>805</v>
      </c>
      <c r="H30" s="1"/>
      <c r="I30" s="1"/>
      <c r="J30" s="1"/>
      <c r="K30" s="1"/>
      <c r="L30" s="1"/>
    </row>
    <row r="31" ht="39" customHeight="1">
      <c r="A31" s="1"/>
      <c r="B31" s="1" t="s">
        <v>806</v>
      </c>
      <c r="C31" s="97">
        <v>46226</v>
      </c>
      <c r="D31" s="110" t="s">
        <v>807</v>
      </c>
      <c r="E31" s="110" t="s">
        <v>808</v>
      </c>
      <c r="F31" s="97">
        <v>46314</v>
      </c>
      <c r="G31" s="110" t="s">
        <v>809</v>
      </c>
      <c r="H31" s="1"/>
      <c r="I31" s="1"/>
      <c r="J31" s="1"/>
      <c r="K31" s="1"/>
      <c r="L31" s="1"/>
    </row>
    <row r="32" ht="27" customHeight="1">
      <c r="A32" s="1"/>
      <c r="B32" s="1" t="s">
        <v>810</v>
      </c>
      <c r="C32" s="97">
        <v>46275</v>
      </c>
      <c r="D32" s="110" t="s">
        <v>811</v>
      </c>
      <c r="E32" s="110" t="s">
        <v>812</v>
      </c>
      <c r="F32" s="97">
        <v>46314</v>
      </c>
      <c r="G32" s="110" t="s">
        <v>813</v>
      </c>
      <c r="H32" s="1"/>
      <c r="I32" s="1"/>
      <c r="J32" s="1"/>
      <c r="K32" s="1"/>
      <c r="L32" s="1"/>
    </row>
    <row r="33" ht="27" customHeight="1">
      <c r="A33" s="1"/>
      <c r="B33" s="1" t="s">
        <v>722</v>
      </c>
      <c r="C33" s="97">
        <v>46311</v>
      </c>
      <c r="D33" s="110" t="s">
        <v>814</v>
      </c>
      <c r="E33" s="110" t="s">
        <v>815</v>
      </c>
      <c r="F33" s="97">
        <v>46314</v>
      </c>
      <c r="G33" s="110" t="s">
        <v>816</v>
      </c>
      <c r="H33" s="1"/>
      <c r="I33" s="1"/>
      <c r="J33" s="1"/>
      <c r="K33" s="1"/>
      <c r="L33" s="1"/>
    </row>
    <row r="34" ht="27" customHeight="1">
      <c r="A34" s="1"/>
      <c r="B34" s="1" t="s">
        <v>817</v>
      </c>
      <c r="C34" s="97">
        <v>46311</v>
      </c>
      <c r="D34" s="110" t="s">
        <v>818</v>
      </c>
      <c r="E34" s="110" t="s">
        <v>819</v>
      </c>
      <c r="F34" s="97">
        <v>46314</v>
      </c>
      <c r="G34" s="110" t="s">
        <v>820</v>
      </c>
      <c r="H34" s="1"/>
      <c r="I34" s="1"/>
      <c r="J34" s="1"/>
      <c r="K34" s="1"/>
      <c r="L34" s="1"/>
    </row>
    <row r="35" ht="27" customHeight="1">
      <c r="A35" s="1"/>
      <c r="B35" s="1" t="s">
        <v>821</v>
      </c>
      <c r="C35" s="97">
        <v>46311</v>
      </c>
      <c r="D35" s="110" t="s">
        <v>822</v>
      </c>
      <c r="E35" s="110" t="s">
        <v>823</v>
      </c>
      <c r="F35" s="97">
        <v>46314</v>
      </c>
      <c r="G35" s="110" t="s">
        <v>824</v>
      </c>
      <c r="H35" s="1"/>
      <c r="I35" s="1"/>
      <c r="J35" s="1"/>
      <c r="K35" s="1"/>
      <c r="L35" s="1"/>
    </row>
    <row r="36" ht="39" customHeight="1">
      <c r="A36" s="1"/>
      <c r="B36" s="1" t="s">
        <v>715</v>
      </c>
      <c r="C36" s="97">
        <v>46218</v>
      </c>
      <c r="D36" s="110" t="s">
        <v>825</v>
      </c>
      <c r="E36" s="110" t="s">
        <v>826</v>
      </c>
      <c r="F36" s="97">
        <v>46314</v>
      </c>
      <c r="G36" s="110" t="s">
        <v>827</v>
      </c>
      <c r="H36" s="1"/>
      <c r="I36" s="1"/>
      <c r="J36" s="1"/>
      <c r="K36" s="1"/>
      <c r="L36" s="1"/>
    </row>
    <row r="37" ht="27" customHeight="1">
      <c r="A37" s="1"/>
      <c r="B37" s="1" t="s">
        <v>485</v>
      </c>
      <c r="C37" s="97">
        <v>46133</v>
      </c>
      <c r="D37" s="110" t="s">
        <v>828</v>
      </c>
      <c r="E37" s="110" t="s">
        <v>829</v>
      </c>
      <c r="F37" s="97">
        <v>46314</v>
      </c>
      <c r="G37" s="110" t="s">
        <v>830</v>
      </c>
      <c r="H37" s="1"/>
      <c r="I37" s="1"/>
      <c r="J37" s="1"/>
      <c r="K37" s="1"/>
      <c r="L37" s="1"/>
    </row>
    <row r="38" ht="27" customHeight="1">
      <c r="A38" s="1"/>
      <c r="B38" s="1" t="s">
        <v>831</v>
      </c>
      <c r="C38" s="97">
        <v>46133</v>
      </c>
      <c r="D38" s="110" t="s">
        <v>832</v>
      </c>
      <c r="E38" s="110" t="s">
        <v>833</v>
      </c>
      <c r="F38" s="97">
        <v>46314</v>
      </c>
      <c r="G38" s="110" t="s">
        <v>834</v>
      </c>
      <c r="H38" s="1"/>
      <c r="I38" s="1"/>
      <c r="J38" s="1"/>
      <c r="K38" s="1"/>
      <c r="L38" s="1"/>
    </row>
    <row r="39" ht="27" customHeight="1">
      <c r="A39" s="1"/>
      <c r="B39" s="1" t="s">
        <v>717</v>
      </c>
      <c r="C39" s="97">
        <v>46290</v>
      </c>
      <c r="D39" s="110" t="s">
        <v>835</v>
      </c>
      <c r="E39" s="110" t="s">
        <v>836</v>
      </c>
      <c r="F39" s="97">
        <v>46314</v>
      </c>
      <c r="G39" s="110" t="s">
        <v>837</v>
      </c>
      <c r="H39" s="1"/>
      <c r="I39" s="1"/>
      <c r="J39" s="1"/>
      <c r="K39" s="1"/>
      <c r="L39" s="1"/>
    </row>
    <row r="40" ht="27" customHeight="1">
      <c r="A40" s="1"/>
      <c r="B40" s="1" t="s">
        <v>719</v>
      </c>
      <c r="C40" s="97">
        <v>46308</v>
      </c>
      <c r="D40" s="110" t="s">
        <v>838</v>
      </c>
      <c r="E40" s="110" t="s">
        <v>839</v>
      </c>
      <c r="F40" s="97">
        <v>46314</v>
      </c>
      <c r="G40" s="110" t="s">
        <v>840</v>
      </c>
      <c r="H40" s="1"/>
      <c r="I40" s="1"/>
      <c r="J40" s="1"/>
      <c r="K40" s="1"/>
      <c r="L40" s="1"/>
    </row>
    <row r="41" ht="27" customHeight="1">
      <c r="A41" s="1"/>
      <c r="B41" s="1" t="s">
        <v>841</v>
      </c>
      <c r="C41" s="97">
        <v>46163</v>
      </c>
      <c r="D41" s="110" t="s">
        <v>842</v>
      </c>
      <c r="E41" s="110" t="s">
        <v>843</v>
      </c>
      <c r="F41" s="97">
        <v>46314</v>
      </c>
      <c r="G41" s="110" t="s">
        <v>844</v>
      </c>
      <c r="H41" s="1"/>
      <c r="I41" s="1"/>
      <c r="J41" s="1"/>
      <c r="K41" s="1"/>
      <c r="L41" s="1"/>
    </row>
    <row r="42" ht="1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15" customHeight="1">
      <c r="A43" s="1"/>
      <c r="B43" s="1" t="s">
        <v>845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15" customHeight="1">
      <c r="A44" s="1"/>
      <c r="B44" s="1" t="s">
        <v>846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15" customHeight="1">
      <c r="A45" s="1"/>
      <c r="B45" s="1" t="s">
        <v>847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ht="15" customHeight="1">
      <c r="A46" s="1"/>
      <c r="B46" s="1" t="s">
        <v>848</v>
      </c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1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2026-10-19T21:02:36Z</dcterms:created>
</cp:coreProperties>
</file>