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comments1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over" sheetId="1" r:id="rId1"/>
    <sheet name="Revenue summary" sheetId="2" r:id="rId2"/>
    <sheet name="Segment - Analog" sheetId="3" r:id="rId3"/>
    <sheet name="Segment - Embedded Processing" sheetId="4" r:id="rId4"/>
    <sheet name="Income Statement" sheetId="5" r:id="rId5"/>
    <sheet name="Balance Sheet" sheetId="6" r:id="rId6"/>
    <sheet name="Cash Flow Statement" sheetId="7" r:id="rId7"/>
    <sheet name="Geo" sheetId="8" r:id="rId8"/>
    <sheet name="Share Count" sheetId="9" r:id="rId9"/>
    <sheet name="Guidance" sheetId="10" r:id="rId10"/>
    <sheet name="Sources" sheetId="11" r:id="rId11"/>
    <sheet name="Inputs" sheetId="12" r:id="rId12"/>
  </sheets>
  <calcPr calcId="0"/>
</workbook>
</file>

<file path=xl/comments1.xml><?xml version="1.0" encoding="utf-8"?>
<comments xmlns="http://schemas.openxmlformats.org/spreadsheetml/2006/main">
  <authors>
    <author>Shortcut</author>
  </authors>
  <commentList>
    <comment ref="C57" authorId="0">
      <text>
        <t>Zacks/Yahoo | 3Q26 EPS estimate | $2.38</t>
      </text>
    </comment>
    <comment ref="C58" authorId="0">
      <text>
        <t>AlphaStreet | 3Q26 EPS estimate | $2.42</t>
      </text>
    </comment>
    <comment ref="C59" authorId="0">
      <text>
        <t>Hudson Labs | 3Q26 EPS estimate | $2.42</t>
      </text>
    </comment>
  </commentList>
</comments>
</file>

<file path=xl/comments2.xml><?xml version="1.0" encoding="utf-8"?>
<comments xmlns="http://schemas.openxmlformats.org/spreadsheetml/2006/main">
  <authors>
    <author>Shortcut</author>
  </authors>
  <commentList>
    <comment ref="C36" authorId="0">
      <text>
        <t>S11 txn-20250930.htm (Q3 2025 10-Q) | Note 1 Segment information | 304</t>
      </text>
    </comment>
    <comment ref="D36" authorId="0">
      <text>
        <t>S9 Q4 2025 earnings release (Jan 27 2026) | Quarterly segment results | 146</t>
      </text>
    </comment>
    <comment ref="E36" authorId="0">
      <text>
        <t>S6 Q1 2026 10-Q | Note 1 Segment information | 178</t>
      </text>
    </comment>
    <comment ref="F36" authorId="0">
      <text>
        <t>S3 txn-20260630.htm (Q2 2026 10-Q) | Note 1 Segment information | 310</t>
      </text>
    </comment>
    <comment ref="G36" authorId="0">
      <text>
        <t>S8 txn-20251231.htm (FY2025 10-K) | Segment information | 979</t>
      </text>
    </comment>
    <comment ref="C56" authorId="0">
      <text>
        <t>S11 txn-20250930.htm (Q3 2025 10-Q) | Consolidated Statements of Income | 4,742</t>
      </text>
    </comment>
    <comment ref="D56" authorId="0">
      <text>
        <t>S9 Q4 2025 earnings release (Jan 27 2026) | Consolidated Statements of Income | 4,423</t>
      </text>
    </comment>
    <comment ref="E56" authorId="0">
      <text>
        <t>S6 Q1 2026 10-Q | Consolidated Statements of Income | 4,825</t>
      </text>
    </comment>
    <comment ref="F56" authorId="0">
      <text>
        <t>S3 txn-20260630.htm (Q2 2026 10-Q) | Consolidated Statements of Income | 5,463</t>
      </text>
    </comment>
    <comment ref="G56" authorId="0">
      <text>
        <t>S8 txn-20251231.htm (FY2025 10-K) | Consolidated Statements of Income | 17,682</t>
      </text>
    </comment>
    <comment ref="G61" authorId="0">
      <text>
        <t>S10 Q4 2025 earnings call transcript (Jan 27 2026) | estimated 2025 revenue by end market | 5,800</t>
      </text>
    </comment>
    <comment ref="G62" authorId="0">
      <text>
        <t>S10 Q4 2025 earnings call transcript (Jan 27 2026) | estimated 2025 revenue by end market | 12.0%</t>
      </text>
    </comment>
    <comment ref="G68" authorId="0">
      <text>
        <t>S10 Q4 2025 earnings call transcript (Jan 27 2026) | estimated 2025 revenue by end market | 5,800</t>
      </text>
    </comment>
    <comment ref="G69" authorId="0">
      <text>
        <t>S10 Q4 2025 earnings call transcript (Jan 27 2026) | estimated 2025 revenue by end market | 6.0%</t>
      </text>
    </comment>
    <comment ref="G75" authorId="0">
      <text>
        <t>S10 Q4 2025 earnings call transcript (Jan 27 2026) | estimated 2025 revenue by end market | 1,500</t>
      </text>
    </comment>
    <comment ref="G76" authorId="0">
      <text>
        <t>S10 Q4 2025 earnings call transcript (Jan 27 2026) | estimated 2025 revenue by end market | 64.0%</t>
      </text>
    </comment>
    <comment ref="G82" authorId="0">
      <text>
        <t>S10 Q4 2025 earnings call transcript (Jan 27 2026) | estimated 2025 revenue by end market | 3,700</t>
      </text>
    </comment>
    <comment ref="G83" authorId="0">
      <text>
        <t>S10 Q4 2025 earnings call transcript (Jan 27 2026) | estimated 2025 revenue by end market | 7.0%</t>
      </text>
    </comment>
    <comment ref="G89" authorId="0">
      <text>
        <t>S10 Q4 2025 earnings call transcript (Jan 27 2026) | estimated 2025 revenue by end market | 500</t>
      </text>
    </comment>
    <comment ref="G90" authorId="0">
      <text>
        <t>S10 Q4 2025 earnings call transcript (Jan 27 2026) | estimated 2025 revenue by end market | 20.0%</t>
      </text>
    </comment>
    <comment ref="C113" authorId="0">
      <text>
        <t>S11 txn-20250930.htm (Q3 2025 10-Q) | Note 1 Segment information | 69</t>
      </text>
    </comment>
    <comment ref="D113" authorId="0">
      <text>
        <t>S9 Q4 2025 earnings release (Jan 27 2026) | Quarterly segment results | 7</t>
      </text>
    </comment>
    <comment ref="E113" authorId="0">
      <text>
        <t>S6 Q1 2026 10-Q | Note 1 Segment information | 48</t>
      </text>
    </comment>
    <comment ref="F113" authorId="0">
      <text>
        <t>S3 txn-20260630.htm (Q2 2026 10-Q) | Note 1 Segment information | 150</t>
      </text>
    </comment>
    <comment ref="G113" authorId="0">
      <text>
        <t>S8 txn-20251231.htm (FY2025 10-K) | Segment information | 307</t>
      </text>
    </comment>
  </commentList>
</comments>
</file>

<file path=xl/comments3.xml><?xml version="1.0" encoding="utf-8"?>
<comments xmlns="http://schemas.openxmlformats.org/spreadsheetml/2006/main">
  <authors>
    <author>Shortcut</author>
  </authors>
  <commentList>
    <comment ref="C19" authorId="0">
      <text>
        <t>S11 txn-20250930.htm (Q3 2025 10-Q) | Note 1 Segment information | 3,729</t>
      </text>
    </comment>
    <comment ref="D19" authorId="0">
      <text>
        <t>S9 Q4 2025 earnings release (Jan 27 2026) | Quarterly segment results | 3,615</t>
      </text>
    </comment>
    <comment ref="E19" authorId="0">
      <text>
        <t>S6 Q1 2026 10-Q | Note 1 Segment information | 3,924</t>
      </text>
    </comment>
    <comment ref="F19" authorId="0">
      <text>
        <t>S3 txn-20260630.htm (Q2 2026 10-Q) | Note 1 Segment information | 4,365</t>
      </text>
    </comment>
    <comment ref="G19" authorId="0">
      <text>
        <t>S8 txn-20251231.htm (FY2025 10-K) | Segment information | 14,006</t>
      </text>
    </comment>
    <comment ref="C35" authorId="0">
      <text>
        <t>S11 txn-20250930.htm (Q3 2025 10-Q) | Note 1 Segment information | 1,543</t>
      </text>
    </comment>
    <comment ref="E35" authorId="0">
      <text>
        <t>S6 Q1 2026 10-Q | Note 1 Segment information | 1,589</t>
      </text>
    </comment>
    <comment ref="F35" authorId="0">
      <text>
        <t>S3 txn-20260630.htm (Q2 2026 10-Q) | Note 1 Segment information | 1,636</t>
      </text>
    </comment>
    <comment ref="G35" authorId="0">
      <text>
        <t>S8 txn-20251231.htm (FY2025 10-K) | Segment information | 5,764</t>
      </text>
    </comment>
    <comment ref="C45" authorId="0">
      <text>
        <t>S11 txn-20250930.htm (Q3 2025 10-Q) | Note 1 Segment information | 371</t>
      </text>
    </comment>
    <comment ref="E45" authorId="0">
      <text>
        <t>S6 Q1 2026 10-Q | Note 1 Segment information | 369</t>
      </text>
    </comment>
    <comment ref="F45" authorId="0">
      <text>
        <t>S3 txn-20260630.htm (Q2 2026 10-Q) | Note 1 Segment information | 388</t>
      </text>
    </comment>
    <comment ref="G45" authorId="0">
      <text>
        <t>S8 txn-20251231.htm (FY2025 10-K) | Segment information | 1,494</t>
      </text>
    </comment>
    <comment ref="C51" authorId="0">
      <text>
        <t>S11 txn-20250930.htm (Q3 2025 10-Q) | Note 1 Segment information | 329</t>
      </text>
    </comment>
    <comment ref="E51" authorId="0">
      <text>
        <t>S6 Q1 2026 10-Q | Note 1 Segment information | 328</t>
      </text>
    </comment>
    <comment ref="F51" authorId="0">
      <text>
        <t>S3 txn-20260630.htm (Q2 2026 10-Q) | Note 1 Segment information | 349</t>
      </text>
    </comment>
    <comment ref="G51" authorId="0">
      <text>
        <t>S8 txn-20251231.htm (FY2025 10-K) | Segment information | 1,336</t>
      </text>
    </comment>
    <comment ref="C63" authorId="0">
      <text>
        <t>S11 txn-20250930.htm (Q3 2025 10-Q) | Note 1 Segment information | 1,486</t>
      </text>
    </comment>
    <comment ref="D63" authorId="0">
      <text>
        <t>S9 Q4 2025 earnings release (Jan 27 2026) | Quarterly segment results | 1,395</t>
      </text>
    </comment>
    <comment ref="E63" authorId="0">
      <text>
        <t>S6 Q1 2026 10-Q | Note 1 Segment information | 1,638</t>
      </text>
    </comment>
    <comment ref="F63" authorId="0">
      <text>
        <t>S3 txn-20260630.htm (Q2 2026 10-Q) | Note 1 Segment information | 1,992</t>
      </text>
    </comment>
    <comment ref="G63" authorId="0">
      <text>
        <t>S8 txn-20251231.htm (FY2025 10-K) | Segment information | 5,412</t>
      </text>
    </comment>
  </commentList>
</comments>
</file>

<file path=xl/comments4.xml><?xml version="1.0" encoding="utf-8"?>
<comments xmlns="http://schemas.openxmlformats.org/spreadsheetml/2006/main">
  <authors>
    <author>Shortcut</author>
  </authors>
  <commentList>
    <comment ref="C19" authorId="0">
      <text>
        <t>S11 txn-20250930.htm (Q3 2025 10-Q) | Note 1 Segment information | 709</t>
      </text>
    </comment>
    <comment ref="D19" authorId="0">
      <text>
        <t>S9 Q4 2025 earnings release (Jan 27 2026) | Quarterly segment results | 662</t>
      </text>
    </comment>
    <comment ref="E19" authorId="0">
      <text>
        <t>S6 Q1 2026 10-Q | Note 1 Segment information | 723</t>
      </text>
    </comment>
    <comment ref="F19" authorId="0">
      <text>
        <t>S3 txn-20260630.htm (Q2 2026 10-Q) | Note 1 Segment information | 788</t>
      </text>
    </comment>
    <comment ref="G19" authorId="0">
      <text>
        <t>S8 txn-20251231.htm (FY2025 10-K) | Segment information | 2,697</t>
      </text>
    </comment>
    <comment ref="C35" authorId="0">
      <text>
        <t>S11 txn-20250930.htm (Q3 2025 10-Q) | Note 1 Segment information | 373</t>
      </text>
    </comment>
    <comment ref="E35" authorId="0">
      <text>
        <t>S6 Q1 2026 10-Q | Note 1 Segment information | 374</t>
      </text>
    </comment>
    <comment ref="F35" authorId="0">
      <text>
        <t>S3 txn-20260630.htm (Q2 2026 10-Q) | Note 1 Segment information | 380</t>
      </text>
    </comment>
    <comment ref="G35" authorId="0">
      <text>
        <t>S8 txn-20251231.htm (FY2025 10-K) | Segment information | 1,471</t>
      </text>
    </comment>
    <comment ref="C45" authorId="0">
      <text>
        <t>S11 txn-20250930.htm (Q3 2025 10-Q) | Note 1 Segment information | 127</t>
      </text>
    </comment>
    <comment ref="E45" authorId="0">
      <text>
        <t>S6 Q1 2026 10-Q | Note 1 Segment information | 123</t>
      </text>
    </comment>
    <comment ref="F45" authorId="0">
      <text>
        <t>S3 txn-20260630.htm (Q2 2026 10-Q) | Note 1 Segment information | 129</t>
      </text>
    </comment>
    <comment ref="G45" authorId="0">
      <text>
        <t>S8 txn-20251231.htm (FY2025 10-K) | Segment information | 514</t>
      </text>
    </comment>
    <comment ref="C51" authorId="0">
      <text>
        <t>S11 txn-20250930.htm (Q3 2025 10-Q) | Note 1 Segment information | 101</t>
      </text>
    </comment>
    <comment ref="E51" authorId="0">
      <text>
        <t>S6 Q1 2026 10-Q | Note 1 Segment information | 104</t>
      </text>
    </comment>
    <comment ref="F51" authorId="0">
      <text>
        <t>S3 txn-20260630.htm (Q2 2026 10-Q) | Note 1 Segment information | 111</t>
      </text>
    </comment>
    <comment ref="G51" authorId="0">
      <text>
        <t>S8 txn-20251231.htm (FY2025 10-K) | Segment information | 408</t>
      </text>
    </comment>
    <comment ref="C63" authorId="0">
      <text>
        <t>S11 txn-20250930.htm (Q3 2025 10-Q) | Note 1 Segment information | 108</t>
      </text>
    </comment>
    <comment ref="D63" authorId="0">
      <text>
        <t>S9 Q4 2025 earnings release (Jan 27 2026) | Quarterly segment results | 71</t>
      </text>
    </comment>
    <comment ref="E63" authorId="0">
      <text>
        <t>S6 Q1 2026 10-Q | Note 1 Segment information | 122</t>
      </text>
    </comment>
    <comment ref="F63" authorId="0">
      <text>
        <t>S3 txn-20260630.htm (Q2 2026 10-Q) | Note 1 Segment information | 168</t>
      </text>
    </comment>
    <comment ref="G63" authorId="0">
      <text>
        <t>S8 txn-20251231.htm (FY2025 10-K) | Segment information | 304</t>
      </text>
    </comment>
  </commentList>
</comments>
</file>

<file path=xl/comments5.xml><?xml version="1.0" encoding="utf-8"?>
<comments xmlns="http://schemas.openxmlformats.org/spreadsheetml/2006/main">
  <authors>
    <author>Shortcut</author>
  </authors>
  <commentList>
    <comment ref="C14" authorId="0">
      <text>
        <t>S11 txn-20250930.htm (Q3 2025 10-Q) | Consolidated Statements of Income | 2,019</t>
      </text>
    </comment>
    <comment ref="D14" authorId="0">
      <text>
        <t>S9 Q4 2025 earnings release (Jan 27 2026) | Consolidated Statements of Income | 1,951</t>
      </text>
    </comment>
    <comment ref="E14" authorId="0">
      <text>
        <t>S6 Q1 2026 10-Q | Consolidated Statements of Income | 2,026</t>
      </text>
    </comment>
    <comment ref="F14" authorId="0">
      <text>
        <t>S3 txn-20260630.htm (Q2 2026 10-Q) | Consolidated Statements of Income | 2,111</t>
      </text>
    </comment>
    <comment ref="G14" authorId="0">
      <text>
        <t>S8 txn-20251231.htm (FY2025 10-K) | Consolidated Statements of Income | 7,599</t>
      </text>
    </comment>
    <comment ref="C20" authorId="0">
      <text>
        <t>S11 txn-20250930.htm (Q3 2025 10-Q) | Consolidated Statements of Income | 518</t>
      </text>
    </comment>
    <comment ref="D20" authorId="0">
      <text>
        <t>S9 Q4 2025 earnings release (Jan 27 2026) | Consolidated Statements of Income | 521</t>
      </text>
    </comment>
    <comment ref="E20" authorId="0">
      <text>
        <t>S6 Q1 2026 10-Q | Consolidated Statements of Income | 510</t>
      </text>
    </comment>
    <comment ref="F20" authorId="0">
      <text>
        <t>S3 txn-20260630.htm (Q2 2026 10-Q) | Consolidated Statements of Income | 535</t>
      </text>
    </comment>
    <comment ref="G20" authorId="0">
      <text>
        <t>S8 txn-20251231.htm (FY2025 10-K) | Consolidated Statements of Income | 2,083</t>
      </text>
    </comment>
    <comment ref="C26" authorId="0">
      <text>
        <t>S11 txn-20250930.htm (Q3 2025 10-Q) | Consolidated Statements of Income | 457</t>
      </text>
    </comment>
    <comment ref="D26" authorId="0">
      <text>
        <t>S9 Q4 2025 earnings release (Jan 27 2026) | Consolidated Statements of Income | 446</t>
      </text>
    </comment>
    <comment ref="E26" authorId="0">
      <text>
        <t>S6 Q1 2026 10-Q | Consolidated Statements of Income | 464</t>
      </text>
    </comment>
    <comment ref="F26" authorId="0">
      <text>
        <t>S3 txn-20260630.htm (Q2 2026 10-Q) | Consolidated Statements of Income | 490</t>
      </text>
    </comment>
    <comment ref="G26" authorId="0">
      <text>
        <t>S8 txn-20251231.htm (FY2025 10-K) | Consolidated Statements of Income | 1,860</t>
      </text>
    </comment>
    <comment ref="C32" authorId="0">
      <text>
        <t>S11 txn-20250930.htm (Q3 2025 10-Q) | Consolidated Statements of Income | 85</t>
      </text>
    </comment>
    <comment ref="D32" authorId="0">
      <text>
        <t>S9 Q4 2025 earnings release (Jan 27 2026) | Consolidated Statements of Income | 32</t>
      </text>
    </comment>
    <comment ref="E32" authorId="0">
      <text>
        <t>S6 Q1 2026 10-Q | Consolidated Statements of Income | 0</t>
      </text>
    </comment>
    <comment ref="F32" authorId="0">
      <text>
        <t>S3 txn-20260630.htm (Q2 2026 10-Q) | Consolidated Statements of Income | 0</t>
      </text>
    </comment>
    <comment ref="G32" authorId="0">
      <text>
        <t>S8 txn-20251231.htm (FY2025 10-K) | Consolidated Statements of Income | 117</t>
      </text>
    </comment>
    <comment ref="C33" authorId="0">
      <text>
        <t>S11 txn-20250930.htm (Q3 2025 10-Q) | Consolidated Statements of Income | 0</t>
      </text>
    </comment>
    <comment ref="D33" authorId="0">
      <text>
        <t>S9 Q4 2025 earnings release (Jan 27 2026) | Consolidated Statements of Income | 0</t>
      </text>
    </comment>
    <comment ref="E33" authorId="0">
      <text>
        <t>S6 Q1 2026 10-Q | Consolidated Statements of Income | 17</t>
      </text>
    </comment>
    <comment ref="F33" authorId="0">
      <text>
        <t>S3 txn-20260630.htm (Q2 2026 10-Q) | Consolidated Statements of Income | 17</t>
      </text>
    </comment>
    <comment ref="G33" authorId="0">
      <text>
        <t>S8 txn-20251231.htm (FY2025 10-K) | Consolidated Statements of Income | 0</t>
      </text>
    </comment>
    <comment ref="C40" authorId="0">
      <text>
        <t>S11 txn-20250930.htm (Q3 2025 10-Q) | Consolidated Statements of Income | 62</t>
      </text>
    </comment>
    <comment ref="D40" authorId="0">
      <text>
        <t>S9 Q4 2025 earnings release (Jan 27 2026) | Consolidated Statements of Income | 40</t>
      </text>
    </comment>
    <comment ref="E40" authorId="0">
      <text>
        <t>S6 Q1 2026 10-Q | Consolidated Statements of Income | 47</t>
      </text>
    </comment>
    <comment ref="F40" authorId="0">
      <text>
        <t>S3 txn-20260630.htm (Q2 2026 10-Q) | Consolidated Statements of Income | 69</t>
      </text>
    </comment>
    <comment ref="G40" authorId="0">
      <text>
        <t>S8 txn-20251231.htm (FY2025 10-K) | Consolidated Statements of Income | 230</t>
      </text>
    </comment>
    <comment ref="C41" authorId="0">
      <text>
        <t>S11 txn-20250930.htm (Q3 2025 10-Q) | Consolidated Statements of Income | 141</t>
      </text>
    </comment>
    <comment ref="D41" authorId="0">
      <text>
        <t>S9 Q4 2025 earnings release (Jan 27 2026) | Consolidated Statements of Income | 141</t>
      </text>
    </comment>
    <comment ref="E41" authorId="0">
      <text>
        <t>S6 Q1 2026 10-Q | Consolidated Statements of Income | 141</t>
      </text>
    </comment>
    <comment ref="F41" authorId="0">
      <text>
        <t>S3 txn-20260630.htm (Q2 2026 10-Q) | Consolidated Statements of Income | 141</t>
      </text>
    </comment>
    <comment ref="G41" authorId="0">
      <text>
        <t>S8 txn-20251231.htm (FY2025 10-K) | Consolidated Statements of Income | 543</t>
      </text>
    </comment>
    <comment ref="C49" authorId="0">
      <text>
        <t>S11 txn-20250930.htm (Q3 2025 10-Q) | Note 3 Income taxes (taxes at estimated annual ETR; discrete tax items) | 249</t>
      </text>
    </comment>
    <comment ref="D49" authorId="0">
      <text>
        <t>S9 Q4 2025 earnings release | Supplemental information: operating taxes / discrete tax items (quarter) | 221</t>
      </text>
    </comment>
    <comment ref="E49" authorId="0">
      <text>
        <t>S6 Q1 2026 10-Q | Note 3 Income taxes | 229</t>
      </text>
    </comment>
    <comment ref="F49" authorId="0">
      <text>
        <t>S3 txn-20260630.htm (Q2 2026 10-Q) | Note 3 Income taxes | 309</t>
      </text>
    </comment>
    <comment ref="G49" authorId="0">
      <text>
        <t>S9 Q4 2025 earnings release | Supplemental information: operating taxes / discrete tax items (year) | 835</t>
      </text>
    </comment>
    <comment ref="C50" authorId="0">
      <text>
        <t>S11 txn-20250930.htm (Q3 2025 10-Q) | Note 3 Income taxes (taxes at estimated annual ETR; discrete tax items) | (29)</t>
      </text>
    </comment>
    <comment ref="D50" authorId="0">
      <text>
        <t>S9 Q4 2025 earnings release | Supplemental information: operating taxes / discrete tax items (quarter) | (12)</t>
      </text>
    </comment>
    <comment ref="E50" authorId="0">
      <text>
        <t>S6 Q1 2026 10-Q | Note 3 Income taxes | (60)</t>
      </text>
    </comment>
    <comment ref="F50" authorId="0">
      <text>
        <t>S3 txn-20260630.htm (Q2 2026 10-Q) | Note 3 Income taxes | (51)</t>
      </text>
    </comment>
    <comment ref="G50" authorId="0">
      <text>
        <t>S9 Q4 2025 earnings release | Supplemental information: operating taxes / discrete tax items (year) | (126)</t>
      </text>
    </comment>
    <comment ref="C63" authorId="0">
      <text>
        <t>S11 txn-20250930.htm (Q3 2025 10-Q) | Consolidated Statements of Income | (8)</t>
      </text>
    </comment>
    <comment ref="D63" authorId="0">
      <text>
        <t>S9 Q4 2025 earnings release (Jan 27 2026) | Consolidated Statements of Income | (7)</t>
      </text>
    </comment>
    <comment ref="E63" authorId="0">
      <text>
        <t>S6 Q1 2026 10-Q | Consolidated Statements of Income | (9)</t>
      </text>
    </comment>
    <comment ref="F63" authorId="0">
      <text>
        <t>S3 txn-20260630.htm (Q2 2026 10-Q) | Consolidated Statements of Income | (11)</t>
      </text>
    </comment>
    <comment ref="G63" authorId="0">
      <text>
        <t>S8 txn-20251231.htm (FY2025 10-K) | Consolidated Statements of Income | (28)</t>
      </text>
    </comment>
    <comment ref="C70" authorId="0">
      <text>
        <t>S11 txn-20250930.htm (Q3 2025 10-Q) | Consolidated Statements of Income | $1.48</t>
      </text>
    </comment>
    <comment ref="D70" authorId="0">
      <text>
        <t>S9 Q4 2025 earnings release (Jan 27 2026) | Consolidated Statements of Income | $1.27</t>
      </text>
    </comment>
    <comment ref="E70" authorId="0">
      <text>
        <t>S6 Q1 2026 10-Q | Consolidated Statements of Income | $1.68</t>
      </text>
    </comment>
    <comment ref="F70" authorId="0">
      <text>
        <t>S3 txn-20260630.htm (Q2 2026 10-Q) | Consolidated Statements of Income | $2.14</t>
      </text>
    </comment>
    <comment ref="G70" authorId="0">
      <text>
        <t>S8 txn-20251231.htm (FY2025 10-K) | Consolidated Statements of Income | $5.45</t>
      </text>
    </comment>
  </commentList>
</comments>
</file>

<file path=xl/comments6.xml><?xml version="1.0" encoding="utf-8"?>
<comments xmlns="http://schemas.openxmlformats.org/spreadsheetml/2006/main">
  <authors>
    <author>Shortcut</author>
  </authors>
  <commentList>
    <comment ref="C10" authorId="0">
      <text>
        <t>S11 txn-20250930.htm (Q3 2025 10-Q) | Consolidated Balance Sheets | 3,311</t>
      </text>
    </comment>
    <comment ref="D10" authorId="0">
      <text>
        <t>S8 txn-20251231.htm (FY2025 10-K) | Consolidated Balance Sheets | 3,225</t>
      </text>
    </comment>
    <comment ref="E10" authorId="0">
      <text>
        <t>S6 Q1 2026 10-Q | Consolidated Balance Sheets | 3,549</t>
      </text>
    </comment>
    <comment ref="F10" authorId="0">
      <text>
        <t>S3 txn-20260630.htm (Q2 2026 10-Q) | Consolidated Balance Sheets | 3,660</t>
      </text>
    </comment>
    <comment ref="C11" authorId="0">
      <text>
        <t>S11 txn-20250930.htm (Q3 2025 10-Q) | Consolidated Balance Sheets | 1,875</t>
      </text>
    </comment>
    <comment ref="D11" authorId="0">
      <text>
        <t>S8 txn-20251231.htm (FY2025 10-K) | Consolidated Balance Sheets | 1,656</t>
      </text>
    </comment>
    <comment ref="E11" authorId="0">
      <text>
        <t>S6 Q1 2026 10-Q | Consolidated Balance Sheets | 1,554</t>
      </text>
    </comment>
    <comment ref="F11" authorId="0">
      <text>
        <t>S3 txn-20260630.htm (Q2 2026 10-Q) | Consolidated Balance Sheets | 3,341</t>
      </text>
    </comment>
    <comment ref="C12" authorId="0">
      <text>
        <t>S11 txn-20250930.htm (Q3 2025 10-Q) | Consolidated Balance Sheets | 2,062</t>
      </text>
    </comment>
    <comment ref="D12" authorId="0">
      <text>
        <t>S8 txn-20251231.htm (FY2025 10-K) | Consolidated Balance Sheets | 1,963</t>
      </text>
    </comment>
    <comment ref="E12" authorId="0">
      <text>
        <t>S6 Q1 2026 10-Q | Consolidated Balance Sheets | 2,245</t>
      </text>
    </comment>
    <comment ref="F12" authorId="0">
      <text>
        <t>S3 txn-20260630.htm (Q2 2026 10-Q) | Consolidated Balance Sheets | 2,520</t>
      </text>
    </comment>
    <comment ref="C16" authorId="0">
      <text>
        <t>S11 txn-20250930.htm (Q3 2025 10-Q) | Consolidated Balance Sheets | 431</t>
      </text>
    </comment>
    <comment ref="D16" authorId="0">
      <text>
        <t>S8 txn-20251231.htm (FY2025 10-K) | Consolidated Balance Sheets | 465</t>
      </text>
    </comment>
    <comment ref="E16" authorId="0">
      <text>
        <t>S6 Q1 2026 10-Q | Consolidated Balance Sheets | 463</t>
      </text>
    </comment>
    <comment ref="F16" authorId="0">
      <text>
        <t>S3 txn-20260630.htm (Q2 2026 10-Q) | Consolidated Balance Sheets | 467</t>
      </text>
    </comment>
    <comment ref="C17" authorId="0">
      <text>
        <t>S11 txn-20250930.htm (Q3 2025 10-Q) | Consolidated Balance Sheets | 2,460</t>
      </text>
    </comment>
    <comment ref="D17" authorId="0">
      <text>
        <t>S8 txn-20251231.htm (FY2025 10-K) | Consolidated Balance Sheets | 2,372</t>
      </text>
    </comment>
    <comment ref="E17" authorId="0">
      <text>
        <t>S6 Q1 2026 10-Q | Consolidated Balance Sheets | 2,355</t>
      </text>
    </comment>
    <comment ref="F17" authorId="0">
      <text>
        <t>S3 txn-20260630.htm (Q2 2026 10-Q) | Consolidated Balance Sheets | 2,407</t>
      </text>
    </comment>
    <comment ref="C18" authorId="0">
      <text>
        <t>S11 txn-20250930.htm (Q3 2025 10-Q) | Consolidated Balance Sheets | 1,938</t>
      </text>
    </comment>
    <comment ref="D18" authorId="0">
      <text>
        <t>S8 txn-20251231.htm (FY2025 10-K) | Consolidated Balance Sheets | 1,967</t>
      </text>
    </comment>
    <comment ref="E18" authorId="0">
      <text>
        <t>S6 Q1 2026 10-Q | Consolidated Balance Sheets | 1,877</t>
      </text>
    </comment>
    <comment ref="F18" authorId="0">
      <text>
        <t>S3 txn-20260630.htm (Q2 2026 10-Q) | Consolidated Balance Sheets | 1,731</t>
      </text>
    </comment>
    <comment ref="C24" authorId="0">
      <text>
        <t>S11 txn-20250930.htm (Q3 2025 10-Q) | Consolidated Balance Sheets | 1,799</t>
      </text>
    </comment>
    <comment ref="D24" authorId="0">
      <text>
        <t>S8 txn-20251231.htm (FY2025 10-K) | Consolidated Balance Sheets | 2,102</t>
      </text>
    </comment>
    <comment ref="E24" authorId="0">
      <text>
        <t>S6 Q1 2026 10-Q | Consolidated Balance Sheets | 1,753</t>
      </text>
    </comment>
    <comment ref="F24" authorId="0">
      <text>
        <t>S3 txn-20260630.htm (Q2 2026 10-Q) | Consolidated Balance Sheets | 1,631</t>
      </text>
    </comment>
    <comment ref="C26" authorId="0">
      <text>
        <t>S11 txn-20250930.htm (Q3 2025 10-Q) | Consolidated Balance Sheets | 17,314</t>
      </text>
    </comment>
    <comment ref="D26" authorId="0">
      <text>
        <t>S8 txn-20251231.htm (FY2025 10-K) | Consolidated Balance Sheets | 17,682</t>
      </text>
    </comment>
    <comment ref="E26" authorId="0">
      <text>
        <t>S6 Q1 2026 10-Q | Consolidated Balance Sheets | 17,870</t>
      </text>
    </comment>
    <comment ref="F26" authorId="0">
      <text>
        <t>S3 txn-20260630.htm (Q2 2026 10-Q) | Consolidated Balance Sheets | 17,856</t>
      </text>
    </comment>
    <comment ref="C27" authorId="0">
      <text>
        <t>S11 txn-20250930.htm (Q3 2025 10-Q) | Consolidated Balance Sheets | (4,966)</t>
      </text>
    </comment>
    <comment ref="D27" authorId="0">
      <text>
        <t>S8 txn-20251231.htm (FY2025 10-K) | Consolidated Balance Sheets | (5,362)</t>
      </text>
    </comment>
    <comment ref="E27" authorId="0">
      <text>
        <t>S6 Q1 2026 10-Q | Consolidated Balance Sheets | (5,725)</t>
      </text>
    </comment>
    <comment ref="F27" authorId="0">
      <text>
        <t>S3 txn-20260630.htm (Q2 2026 10-Q) | Consolidated Balance Sheets | (5,945)</t>
      </text>
    </comment>
    <comment ref="C29" authorId="0">
      <text>
        <t>S11 txn-20250930.htm (Q3 2025 10-Q) | Consolidated Balance Sheets | 4,362</t>
      </text>
    </comment>
    <comment ref="D29" authorId="0">
      <text>
        <t>S8 txn-20251231.htm (FY2025 10-K) | Consolidated Balance Sheets | 4,330</t>
      </text>
    </comment>
    <comment ref="E29" authorId="0">
      <text>
        <t>S6 Q1 2026 10-Q | Consolidated Balance Sheets | 4,330</t>
      </text>
    </comment>
    <comment ref="F29" authorId="0">
      <text>
        <t>S3 txn-20260630.htm (Q2 2026 10-Q) | Consolidated Balance Sheets | 4,330</t>
      </text>
    </comment>
    <comment ref="C30" authorId="0">
      <text>
        <t>S11 txn-20250930.htm (Q3 2025 10-Q) | Consolidated Balance Sheets | 1,089</t>
      </text>
    </comment>
    <comment ref="D30" authorId="0">
      <text>
        <t>S8 txn-20251231.htm (FY2025 10-K) | Consolidated Balance Sheets | 967</t>
      </text>
    </comment>
    <comment ref="E30" authorId="0">
      <text>
        <t>S6 Q1 2026 10-Q | Consolidated Balance Sheets | 973</t>
      </text>
    </comment>
    <comment ref="F30" authorId="0">
      <text>
        <t>S3 txn-20260630.htm (Q2 2026 10-Q) | Consolidated Balance Sheets | 1,017</t>
      </text>
    </comment>
    <comment ref="C31" authorId="0">
      <text>
        <t>S11 txn-20250930.htm (Q3 2025 10-Q) | Consolidated Balance Sheets | 237</t>
      </text>
    </comment>
    <comment ref="D31" authorId="0">
      <text>
        <t>S8 txn-20251231.htm (FY2025 10-K) | Consolidated Balance Sheets | 238</t>
      </text>
    </comment>
    <comment ref="E31" authorId="0">
      <text>
        <t>S6 Q1 2026 10-Q | Consolidated Balance Sheets | 323</t>
      </text>
    </comment>
    <comment ref="F31" authorId="0">
      <text>
        <t>S3 txn-20260630.htm (Q2 2026 10-Q) | Consolidated Balance Sheets | 314</t>
      </text>
    </comment>
    <comment ref="C32" authorId="0">
      <text>
        <t>S11 txn-20250930.htm (Q3 2025 10-Q) | Consolidated Balance Sheets | 251</t>
      </text>
    </comment>
    <comment ref="D32" authorId="0">
      <text>
        <t>S8 txn-20251231.htm (FY2025 10-K) | Consolidated Balance Sheets | 324</t>
      </text>
    </comment>
    <comment ref="E32" authorId="0">
      <text>
        <t>S6 Q1 2026 10-Q | Consolidated Balance Sheets | 321</t>
      </text>
    </comment>
    <comment ref="F32" authorId="0">
      <text>
        <t>S3 txn-20260630.htm (Q2 2026 10-Q) | Consolidated Balance Sheets | 316</t>
      </text>
    </comment>
    <comment ref="C33" authorId="0">
      <text>
        <t>S11 txn-20250930.htm (Q3 2025 10-Q) | Consolidated Balance Sheets | 2,841</t>
      </text>
    </comment>
    <comment ref="D33" authorId="0">
      <text>
        <t>S8 txn-20251231.htm (FY2025 10-K) | Consolidated Balance Sheets | 2,656</t>
      </text>
    </comment>
    <comment ref="E33" authorId="0">
      <text>
        <t>S6 Q1 2026 10-Q | Consolidated Balance Sheets | 2,505</t>
      </text>
    </comment>
    <comment ref="F33" authorId="0">
      <text>
        <t>S3 txn-20260630.htm (Q2 2026 10-Q) | Consolidated Balance Sheets | 2,237</t>
      </text>
    </comment>
    <comment ref="C37" authorId="0">
      <text>
        <t>S11 txn-20250930.htm (Q3 2025 10-Q) | Consolidated Balance Sheets | 500</t>
      </text>
    </comment>
    <comment ref="D37" authorId="0">
      <text>
        <t>S8 txn-20251231.htm (FY2025 10-K) | Consolidated Balance Sheets | 500</t>
      </text>
    </comment>
    <comment ref="E37" authorId="0">
      <text>
        <t>S6 Q1 2026 10-Q | Consolidated Balance Sheets | 1,149</t>
      </text>
    </comment>
    <comment ref="F37" authorId="0">
      <text>
        <t>S3 txn-20260630.htm (Q2 2026 10-Q) | Consolidated Balance Sheets | 1,149</t>
      </text>
    </comment>
    <comment ref="C38" authorId="0">
      <text>
        <t>S11 txn-20250930.htm (Q3 2025 10-Q) | Consolidated Balance Sheets | 779</t>
      </text>
    </comment>
    <comment ref="D38" authorId="0">
      <text>
        <t>S8 txn-20251231.htm (FY2025 10-K) | Consolidated Balance Sheets | 756</t>
      </text>
    </comment>
    <comment ref="E38" authorId="0">
      <text>
        <t>S6 Q1 2026 10-Q | Consolidated Balance Sheets | 638</t>
      </text>
    </comment>
    <comment ref="F38" authorId="0">
      <text>
        <t>S3 txn-20260630.htm (Q2 2026 10-Q) | Consolidated Balance Sheets | 680</t>
      </text>
    </comment>
    <comment ref="C39" authorId="0">
      <text>
        <t>S11 txn-20250930.htm (Q3 2025 10-Q) | Consolidated Balance Sheets | 724</t>
      </text>
    </comment>
    <comment ref="D39" authorId="0">
      <text>
        <t>S8 txn-20251231.htm (FY2025 10-K) | Consolidated Balance Sheets | 829</t>
      </text>
    </comment>
    <comment ref="E39" authorId="0">
      <text>
        <t>S6 Q1 2026 10-Q | Consolidated Balance Sheets | 389</t>
      </text>
    </comment>
    <comment ref="F39" authorId="0">
      <text>
        <t>S3 txn-20260630.htm (Q2 2026 10-Q) | Consolidated Balance Sheets | 536</t>
      </text>
    </comment>
    <comment ref="C40" authorId="0">
      <text>
        <t>S11 txn-20250930.htm (Q3 2025 10-Q) | Consolidated Balance Sheets | 79</t>
      </text>
    </comment>
    <comment ref="D40" authorId="0">
      <text>
        <t>S8 txn-20251231.htm (FY2025 10-K) | Consolidated Balance Sheets | 67</t>
      </text>
    </comment>
    <comment ref="E40" authorId="0">
      <text>
        <t>S6 Q1 2026 10-Q | Consolidated Balance Sheets | 138</t>
      </text>
    </comment>
    <comment ref="F40" authorId="0">
      <text>
        <t>S3 txn-20260630.htm (Q2 2026 10-Q) | Consolidated Balance Sheets | 70</t>
      </text>
    </comment>
    <comment ref="C41" authorId="0">
      <text>
        <t>S11 txn-20250930.htm (Q3 2025 10-Q) | Consolidated Balance Sheets | 1,036</t>
      </text>
    </comment>
    <comment ref="D41" authorId="0">
      <text>
        <t>S8 txn-20251231.htm (FY2025 10-K) | Consolidated Balance Sheets | 1,007</t>
      </text>
    </comment>
    <comment ref="E41" authorId="0">
      <text>
        <t>S6 Q1 2026 10-Q | Consolidated Balance Sheets | 782</t>
      </text>
    </comment>
    <comment ref="F41" authorId="0">
      <text>
        <t>S3 txn-20260630.htm (Q2 2026 10-Q) | Consolidated Balance Sheets | 809</t>
      </text>
    </comment>
    <comment ref="C43" authorId="0">
      <text>
        <t>S11 txn-20250930.htm (Q3 2025 10-Q) | Consolidated Balance Sheets | 13,546</t>
      </text>
    </comment>
    <comment ref="D43" authorId="0">
      <text>
        <t>S8 txn-20251231.htm (FY2025 10-K) | Consolidated Balance Sheets | 13,548</t>
      </text>
    </comment>
    <comment ref="E43" authorId="0">
      <text>
        <t>S6 Q1 2026 10-Q | Consolidated Balance Sheets | 12,901</t>
      </text>
    </comment>
    <comment ref="F43" authorId="0">
      <text>
        <t>S3 txn-20260630.htm (Q2 2026 10-Q) | Consolidated Balance Sheets | 12,903</t>
      </text>
    </comment>
    <comment ref="C44" authorId="0">
      <text>
        <t>S11 txn-20250930.htm (Q3 2025 10-Q) | Consolidated Balance Sheets | 125</t>
      </text>
    </comment>
    <comment ref="D44" authorId="0">
      <text>
        <t>S8 txn-20251231.htm (FY2025 10-K) | Consolidated Balance Sheets | 124</t>
      </text>
    </comment>
    <comment ref="E44" authorId="0">
      <text>
        <t>S6 Q1 2026 10-Q | Consolidated Balance Sheets | 121</t>
      </text>
    </comment>
    <comment ref="F44" authorId="0">
      <text>
        <t>S3 txn-20260630.htm (Q2 2026 10-Q) | Consolidated Balance Sheets | 123</t>
      </text>
    </comment>
    <comment ref="C45" authorId="0">
      <text>
        <t>S11 txn-20250930.htm (Q3 2025 10-Q) | Consolidated Balance Sheets | 60</t>
      </text>
    </comment>
    <comment ref="D45" authorId="0">
      <text>
        <t>S8 txn-20251231.htm (FY2025 10-K) | Consolidated Balance Sheets | 66</t>
      </text>
    </comment>
    <comment ref="E45" authorId="0">
      <text>
        <t>S6 Q1 2026 10-Q | Consolidated Balance Sheets | 63</t>
      </text>
    </comment>
    <comment ref="F45" authorId="0">
      <text>
        <t>S3 txn-20260630.htm (Q2 2026 10-Q) | Consolidated Balance Sheets | 55</t>
      </text>
    </comment>
    <comment ref="C46" authorId="0">
      <text>
        <t>S11 txn-20250930.htm (Q3 2025 10-Q) | Consolidated Balance Sheets | 1,528</t>
      </text>
    </comment>
    <comment ref="D46" authorId="0">
      <text>
        <t>S8 txn-20251231.htm (FY2025 10-K) | Consolidated Balance Sheets | 1,415</t>
      </text>
    </comment>
    <comment ref="E46" authorId="0">
      <text>
        <t>S6 Q1 2026 10-Q | Consolidated Balance Sheets | 1,434</t>
      </text>
    </comment>
    <comment ref="F46" authorId="0">
      <text>
        <t>S3 txn-20260630.htm (Q2 2026 10-Q) | Consolidated Balance Sheets | 1,550</t>
      </text>
    </comment>
    <comment ref="C48" authorId="0">
      <text>
        <t>S11 txn-20250930.htm (Q3 2025 10-Q) | Consolidated Balance Sheets | 1,741</t>
      </text>
    </comment>
    <comment ref="D48" authorId="0">
      <text>
        <t>S8 txn-20251231.htm (FY2025 10-K) | Consolidated Balance Sheets | 1,741</t>
      </text>
    </comment>
    <comment ref="E48" authorId="0">
      <text>
        <t>S6 Q1 2026 10-Q | Consolidated Balance Sheets | 1,741</t>
      </text>
    </comment>
    <comment ref="F48" authorId="0">
      <text>
        <t>S3 txn-20260630.htm (Q2 2026 10-Q) | Consolidated Balance Sheets | 1,741</t>
      </text>
    </comment>
    <comment ref="C49" authorId="0">
      <text>
        <t>S11 txn-20250930.htm (Q3 2025 10-Q) | Consolidated Balance Sheets | 4,410</t>
      </text>
    </comment>
    <comment ref="D49" authorId="0">
      <text>
        <t>S8 txn-20251231.htm (FY2025 10-K) | Consolidated Balance Sheets | 4,511</t>
      </text>
    </comment>
    <comment ref="E49" authorId="0">
      <text>
        <t>S6 Q1 2026 10-Q | Consolidated Balance Sheets | 4,722</t>
      </text>
    </comment>
    <comment ref="F49" authorId="0">
      <text>
        <t>S3 txn-20260630.htm (Q2 2026 10-Q) | Consolidated Balance Sheets | 5,129</t>
      </text>
    </comment>
    <comment ref="C50" authorId="0">
      <text>
        <t>S11 txn-20250930.htm (Q3 2025 10-Q) | Consolidated Balance Sheets | 52,369</t>
      </text>
    </comment>
    <comment ref="D50" authorId="0">
      <text>
        <t>S8 txn-20251231.htm (FY2025 10-K) | Consolidated Balance Sheets | 52,236</t>
      </text>
    </comment>
    <comment ref="E50" authorId="0">
      <text>
        <t>S6 Q1 2026 10-Q | Consolidated Balance Sheets | 52,483</t>
      </text>
    </comment>
    <comment ref="F50" authorId="0">
      <text>
        <t>S3 txn-20260630.htm (Q2 2026 10-Q) | Consolidated Balance Sheets | 53,161</t>
      </text>
    </comment>
    <comment ref="C51" authorId="0">
      <text>
        <t>S11 txn-20250930.htm (Q3 2025 10-Q) | Consolidated Balance Sheets | (41,744)</t>
      </text>
    </comment>
    <comment ref="D51" authorId="0">
      <text>
        <t>S8 txn-20251231.htm (FY2025 10-K) | Consolidated Balance Sheets | (42,130)</t>
      </text>
    </comment>
    <comment ref="E51" authorId="0">
      <text>
        <t>S6 Q1 2026 10-Q | Consolidated Balance Sheets | (42,084)</t>
      </text>
    </comment>
    <comment ref="F51" authorId="0">
      <text>
        <t>S3 txn-20260630.htm (Q2 2026 10-Q) | Consolidated Balance Sheets | (41,941)</t>
      </text>
    </comment>
    <comment ref="C52" authorId="0">
      <text>
        <t>S11 txn-20250930.htm (Q3 2025 10-Q) | Consolidated Balance Sheets | (149)</t>
      </text>
    </comment>
    <comment ref="D52" authorId="0">
      <text>
        <t>S8 txn-20251231.htm (FY2025 10-K) | Consolidated Balance Sheets | (85)</t>
      </text>
    </comment>
    <comment ref="E52" authorId="0">
      <text>
        <t>S6 Q1 2026 10-Q | Consolidated Balance Sheets | (84)</t>
      </text>
    </comment>
    <comment ref="F52" authorId="0">
      <text>
        <t>S3 txn-20260630.htm (Q2 2026 10-Q) | Consolidated Balance Sheets | (83)</t>
      </text>
    </comment>
    <comment ref="C57" authorId="0">
      <text>
        <t>S11 txn-20250930.htm (Q3 2025 10-Q) | Consolidated Balance Sheets | 35,004</t>
      </text>
    </comment>
    <comment ref="D57" authorId="0">
      <text>
        <t>S8 txn-20251231.htm (FY2025 10-K) | Consolidated Balance Sheets | 34,585</t>
      </text>
    </comment>
    <comment ref="E57" authorId="0">
      <text>
        <t>S6 Q1 2026 10-Q | Consolidated Balance Sheets | 34,393</t>
      </text>
    </comment>
    <comment ref="F57" authorId="0">
      <text>
        <t>S3 txn-20260630.htm (Q2 2026 10-Q) | Consolidated Balance Sheets | 35,882</t>
      </text>
    </comment>
  </commentList>
</comments>
</file>

<file path=xl/comments7.xml><?xml version="1.0" encoding="utf-8"?>
<comments xmlns="http://schemas.openxmlformats.org/spreadsheetml/2006/main">
  <authors>
    <author>Shortcut</author>
  </authors>
  <commentList>
    <comment ref="C11" authorId="0">
      <text>
        <t>S12 Q3 2025 earnings release (Oct 21 2025) | Cash Flows, three months ended Sep 30 2025 | 497</t>
      </text>
    </comment>
    <comment ref="D11" authorId="0">
      <text>
        <t>S9 Q4 2025 earnings release (Jan 27 2026) | Cash Flows, three months ended Dec 31 2025 | 537</t>
      </text>
    </comment>
    <comment ref="E11" authorId="0">
      <text>
        <t>S6 Q1 2026 10-Q | Consolidated Statements of Cash Flows | 541</t>
      </text>
    </comment>
    <comment ref="F11" authorId="0">
      <text>
        <t>S4 Q2 2026 earnings release (Jul 22 2026) | Cash Flows, three months ended Jun 30 2026 | 547</t>
      </text>
    </comment>
    <comment ref="G11" authorId="0">
      <text>
        <t>S9 Q4 2025 earnings release (Jan 27 2026) | Cash Flows, year ended Dec 31 2025 | 1,918</t>
      </text>
    </comment>
    <comment ref="C14" authorId="0">
      <text>
        <t>S12 Q3 2025 earnings release (Oct 21 2025) | Cash Flows, three months ended Sep 30 2025 | 20</t>
      </text>
    </comment>
    <comment ref="D14" authorId="0">
      <text>
        <t>S9 Q4 2025 earnings release (Jan 27 2026) | Cash Flows, three months ended Dec 31 2025 | 20</t>
      </text>
    </comment>
    <comment ref="E14" authorId="0">
      <text>
        <t>S6 Q1 2026 10-Q | Consolidated Statements of Cash Flows | 21</t>
      </text>
    </comment>
    <comment ref="F14" authorId="0">
      <text>
        <t>S4 Q2 2026 earnings release (Jul 22 2026) | Cash Flows, three months ended Jun 30 2026 | 21</t>
      </text>
    </comment>
    <comment ref="G14" authorId="0">
      <text>
        <t>S9 Q4 2025 earnings release (Jan 27 2026) | Cash Flows, year ended Dec 31 2025 | 81</t>
      </text>
    </comment>
    <comment ref="C15" authorId="0">
      <text>
        <t>S12 Q3 2025 earnings release (Oct 21 2025) | Cash Flows, three months ended Sep 30 2025 | 93</t>
      </text>
    </comment>
    <comment ref="D15" authorId="0">
      <text>
        <t>S9 Q4 2025 earnings release (Jan 27 2026) | Cash Flows, three months ended Dec 31 2025 | 81</t>
      </text>
    </comment>
    <comment ref="E15" authorId="0">
      <text>
        <t>S6 Q1 2026 10-Q | Consolidated Statements of Cash Flows | 109</t>
      </text>
    </comment>
    <comment ref="F15" authorId="0">
      <text>
        <t>S4 Q2 2026 earnings release (Jul 22 2026) | Cash Flows, three months ended Jun 30 2026 | 127</t>
      </text>
    </comment>
    <comment ref="G15" authorId="0">
      <text>
        <t>S9 Q4 2025 earnings release (Jan 27 2026) | Cash Flows, year ended Dec 31 2025 | 419</t>
      </text>
    </comment>
    <comment ref="C16" authorId="0">
      <text>
        <t>S12 Q3 2025 earnings release (Oct 21 2025) | Cash Flows, three months ended Sep 30 2025 | 0</t>
      </text>
    </comment>
    <comment ref="D16" authorId="0">
      <text>
        <t>S9 Q4 2025 earnings release (Jan 27 2026) | Cash Flows, three months ended Dec 31 2025 | 2</t>
      </text>
    </comment>
    <comment ref="E16" authorId="0">
      <text>
        <t>S6 Q1 2026 10-Q | Consolidated Statements of Cash Flows | (5)</t>
      </text>
    </comment>
    <comment ref="F16" authorId="0">
      <text>
        <t>S4 Q2 2026 earnings release (Jul 22 2026) | Cash Flows, three months ended Jun 30 2026 | (8)</t>
      </text>
    </comment>
    <comment ref="G16" authorId="0">
      <text>
        <t>S9 Q4 2025 earnings release (Jan 27 2026) | Cash Flows, year ended Dec 31 2025 | 2</t>
      </text>
    </comment>
    <comment ref="C17" authorId="0">
      <text>
        <t>S12 Q3 2025 earnings release (Oct 21 2025) | Cash Flows, three months ended Sep 30 2025 | 3</t>
      </text>
    </comment>
    <comment ref="D17" authorId="0">
      <text>
        <t>S9 Q4 2025 earnings release (Jan 27 2026) | Cash Flows, three months ended Dec 31 2025 | 115</t>
      </text>
    </comment>
    <comment ref="E17" authorId="0">
      <text>
        <t>S6 Q1 2026 10-Q | Consolidated Statements of Cash Flows | (4)</t>
      </text>
    </comment>
    <comment ref="F17" authorId="0">
      <text>
        <t>S4 Q2 2026 earnings release (Jul 22 2026) | Cash Flows, three months ended Jun 30 2026 | (62)</t>
      </text>
    </comment>
    <comment ref="G17" authorId="0">
      <text>
        <t>S9 Q4 2025 earnings release (Jan 27 2026) | Cash Flows, year ended Dec 31 2025 | (19)</t>
      </text>
    </comment>
    <comment ref="C18" authorId="0">
      <text>
        <t>S12 Q3 2025 earnings release (Oct 21 2025) | Cash Flows, three months ended Sep 30 2025 | (128)</t>
      </text>
    </comment>
    <comment ref="D18" authorId="0">
      <text>
        <t>S9 Q4 2025 earnings release (Jan 27 2026) | Cash Flows, three months ended Dec 31 2025 | 99</t>
      </text>
    </comment>
    <comment ref="E18" authorId="0">
      <text>
        <t>S6 Q1 2026 10-Q | Consolidated Statements of Cash Flows | (282)</t>
      </text>
    </comment>
    <comment ref="F18" authorId="0">
      <text>
        <t>S4 Q2 2026 earnings release (Jul 22 2026) | Cash Flows, three months ended Jun 30 2026 | (275)</t>
      </text>
    </comment>
    <comment ref="G18" authorId="0">
      <text>
        <t>S9 Q4 2025 earnings release (Jan 27 2026) | Cash Flows, year ended Dec 31 2025 | (244)</t>
      </text>
    </comment>
    <comment ref="C19" authorId="0">
      <text>
        <t>S12 Q3 2025 earnings release (Oct 21 2025) | Cash Flows, three months ended Sep 30 2025 | (17)</t>
      </text>
    </comment>
    <comment ref="D19" authorId="0">
      <text>
        <t>S9 Q4 2025 earnings release (Jan 27 2026) | Cash Flows, three months ended Dec 31 2025 | 25</t>
      </text>
    </comment>
    <comment ref="E19" authorId="0">
      <text>
        <t>S6 Q1 2026 10-Q | Consolidated Statements of Cash Flows | 109</t>
      </text>
    </comment>
    <comment ref="F19" authorId="0">
      <text>
        <t>S4 Q2 2026 earnings release (Jul 22 2026) | Cash Flows, three months ended Jun 30 2026 | 90</t>
      </text>
    </comment>
    <comment ref="G19" authorId="0">
      <text>
        <t>S9 Q4 2025 earnings release (Jan 27 2026) | Cash Flows, year ended Dec 31 2025 | (277)</t>
      </text>
    </comment>
    <comment ref="C20" authorId="0">
      <text>
        <t>S12 Q3 2025 earnings release (Oct 21 2025) | Cash Flows, three months ended Sep 30 2025 | 18</t>
      </text>
    </comment>
    <comment ref="D20" authorId="0">
      <text>
        <t>S9 Q4 2025 earnings release (Jan 27 2026) | Cash Flows, three months ended Dec 31 2025 | 8</t>
      </text>
    </comment>
    <comment ref="E20" authorId="0">
      <text>
        <t>S6 Q1 2026 10-Q | Consolidated Statements of Cash Flows | (9)</t>
      </text>
    </comment>
    <comment ref="F20" authorId="0">
      <text>
        <t>S4 Q2 2026 earnings release (Jul 22 2026) | Cash Flows, three months ended Jun 30 2026 | 2</t>
      </text>
    </comment>
    <comment ref="G20" authorId="0">
      <text>
        <t>S9 Q4 2025 earnings release (Jan 27 2026) | Cash Flows, year ended Dec 31 2025 | 10</t>
      </text>
    </comment>
    <comment ref="C21" authorId="0">
      <text>
        <t>S12 Q3 2025 earnings release (Oct 21 2025) | Cash Flows, three months ended Sep 30 2025 | 86</t>
      </text>
    </comment>
    <comment ref="D21" authorId="0">
      <text>
        <t>S9 Q4 2025 earnings release (Jan 27 2026) | Cash Flows, three months ended Dec 31 2025 | 20</t>
      </text>
    </comment>
    <comment ref="E21" authorId="0">
      <text>
        <t>S6 Q1 2026 10-Q | Consolidated Statements of Cash Flows | (125)</t>
      </text>
    </comment>
    <comment ref="F21" authorId="0">
      <text>
        <t>S4 Q2 2026 earnings release (Jul 22 2026) | Cash Flows, three months ended Jun 30 2026 | 101</t>
      </text>
    </comment>
    <comment ref="G21" authorId="0">
      <text>
        <t>S9 Q4 2025 earnings release (Jan 27 2026) | Cash Flows, year ended Dec 31 2025 | 77</t>
      </text>
    </comment>
    <comment ref="C22" authorId="0">
      <text>
        <t>S12 Q3 2025 earnings release (Oct 21 2025) | Cash Flows, three months ended Sep 30 2025 | 121</t>
      </text>
    </comment>
    <comment ref="D22" authorId="0">
      <text>
        <t>S9 Q4 2025 earnings release (Jan 27 2026) | Cash Flows, three months ended Dec 31 2025 | 106</t>
      </text>
    </comment>
    <comment ref="E22" authorId="0">
      <text>
        <t>S6 Q1 2026 10-Q | Consolidated Statements of Cash Flows | (447)</t>
      </text>
    </comment>
    <comment ref="F22" authorId="0">
      <text>
        <t>S4 Q2 2026 earnings release (Jul 22 2026) | Cash Flows, three months ended Jun 30 2026 | 142</t>
      </text>
    </comment>
    <comment ref="G22" authorId="0">
      <text>
        <t>S9 Q4 2025 earnings release (Jan 27 2026) | Cash Flows, year ended Dec 31 2025 | (28)</t>
      </text>
    </comment>
    <comment ref="C23" authorId="0">
      <text>
        <t>S12 Q3 2025 earnings release (Oct 21 2025) | Cash Flows, three months ended Sep 30 2025 | 107</t>
      </text>
    </comment>
    <comment ref="D23" authorId="0">
      <text>
        <t>S9 Q4 2025 earnings release (Jan 27 2026) | Cash Flows, three months ended Dec 31 2025 | 23</t>
      </text>
    </comment>
    <comment ref="E23" authorId="0">
      <text>
        <t>S6 Q1 2026 10-Q | Consolidated Statements of Cash Flows | 130</t>
      </text>
    </comment>
    <comment ref="F23" authorId="0">
      <text>
        <t>S4 Q2 2026 earnings release (Jul 22 2026) | Cash Flows, three months ended Jun 30 2026 | (14)</t>
      </text>
    </comment>
    <comment ref="G23" authorId="0">
      <text>
        <t>S9 Q4 2025 earnings release (Jan 27 2026) | Cash Flows, year ended Dec 31 2025 | 191</t>
      </text>
    </comment>
    <comment ref="C24" authorId="0">
      <text>
        <t>S12 Q3 2025 earnings release (Oct 21 2025) | Cash Flows, three months ended Sep 30 2025 | 13</t>
      </text>
    </comment>
    <comment ref="D24" authorId="0">
      <text>
        <t>S9 Q4 2025 earnings release (Jan 27 2026) | Cash Flows, three months ended Dec 31 2025 | 7</t>
      </text>
    </comment>
    <comment ref="E24" authorId="0">
      <text>
        <t>S6 Q1 2026 10-Q | Consolidated Statements of Cash Flows | 4</t>
      </text>
    </comment>
    <comment ref="F24" authorId="0">
      <text>
        <t>S4 Q2 2026 earnings release (Jul 22 2026) | Cash Flows, three months ended Jun 30 2026 | 3</t>
      </text>
    </comment>
    <comment ref="G24" authorId="0">
      <text>
        <t>S9 Q4 2025 earnings release (Jan 27 2026) | Cash Flows, year ended Dec 31 2025 | (7)</t>
      </text>
    </comment>
    <comment ref="C25" authorId="0">
      <text>
        <t>S12 Q3 2025 earnings release (Oct 21 2025) | Cash Flows, three months ended Sep 30 2025 | 13</t>
      </text>
    </comment>
    <comment ref="D25" authorId="0">
      <text>
        <t>S9 Q4 2025 earnings release (Jan 27 2026) | Cash Flows, three months ended Dec 31 2025 | 48</t>
      </text>
    </comment>
    <comment ref="E25" authorId="0">
      <text>
        <t>S6 Q1 2026 10-Q | Consolidated Statements of Cash Flows | (67)</t>
      </text>
    </comment>
    <comment ref="F25" authorId="0">
      <text>
        <t>S4 Q2 2026 earnings release (Jul 22 2026) | Cash Flows, three months ended Jun 30 2026 | 49</t>
      </text>
    </comment>
    <comment ref="G25" authorId="0">
      <text>
        <t>S9 Q4 2025 earnings release (Jan 27 2026) | Cash Flows, year ended Dec 31 2025 | 29</t>
      </text>
    </comment>
    <comment ref="C29" authorId="0">
      <text>
        <t>S12 Q3 2025 earnings release (Oct 21 2025) | Cash Flows, three months ended Sep 30 2025 | (1,197)</t>
      </text>
    </comment>
    <comment ref="D29" authorId="0">
      <text>
        <t>S9 Q4 2025 earnings release (Jan 27 2026) | Cash Flows, three months ended Dec 31 2025 | (925)</t>
      </text>
    </comment>
    <comment ref="E29" authorId="0">
      <text>
        <t>S6 Q1 2026 10-Q | Consolidated Statements of Cash Flows | (676)</t>
      </text>
    </comment>
    <comment ref="F29" authorId="0">
      <text>
        <t>S4 Q2 2026 earnings release (Jul 22 2026) | Cash Flows, three months ended Jun 30 2026 | (514)</t>
      </text>
    </comment>
    <comment ref="G29" authorId="0">
      <text>
        <t>S9 Q4 2025 earnings release (Jan 27 2026) | Cash Flows, year ended Dec 31 2025 | (4,550)</t>
      </text>
    </comment>
    <comment ref="C32" authorId="0">
      <text>
        <t>S12 Q3 2025 earnings release (Oct 21 2025) | Cash Flows, three months ended Sep 30 2025 | 75</t>
      </text>
    </comment>
    <comment ref="D32" authorId="0">
      <text>
        <t>S9 Q4 2025 earnings release (Jan 27 2026) | Cash Flows, three months ended Dec 31 2025 | 0</t>
      </text>
    </comment>
    <comment ref="E32" authorId="0">
      <text>
        <t>S6 Q1 2026 10-Q | Consolidated Statements of Cash Flows | 555</t>
      </text>
    </comment>
    <comment ref="F32" authorId="0">
      <text>
        <t>S4 Q2 2026 earnings release (Jul 22 2026) | Cash Flows, three months ended Jun 30 2026 | 549</t>
      </text>
    </comment>
    <comment ref="G32" authorId="0">
      <text>
        <t>S9 Q4 2025 earnings release (Jan 27 2026) | Cash Flows, year ended Dec 31 2025 | 335</t>
      </text>
    </comment>
    <comment ref="C33" authorId="0">
      <text>
        <t>S12 Q3 2025 earnings release (Oct 21 2025) | Cash Flows, three months ended Sep 30 2025 | 1</t>
      </text>
    </comment>
    <comment ref="D33" authorId="0">
      <text>
        <t>S9 Q4 2025 earnings release (Jan 27 2026) | Cash Flows, three months ended Dec 31 2025 | 0</t>
      </text>
    </comment>
    <comment ref="E33" authorId="0">
      <text>
        <t>S6 Q1 2026 10-Q | Consolidated Statements of Cash Flows | 5</t>
      </text>
    </comment>
    <comment ref="F33" authorId="0">
      <text>
        <t>S4 Q2 2026 earnings release (Jul 22 2026) | Cash Flows, three months ended Jun 30 2026 | 32</t>
      </text>
    </comment>
    <comment ref="G33" authorId="0">
      <text>
        <t>S9 Q4 2025 earnings release (Jan 27 2026) | Cash Flows, year ended Dec 31 2025 | 1</t>
      </text>
    </comment>
    <comment ref="C34" authorId="0">
      <text>
        <t>S12 Q3 2025 earnings release (Oct 21 2025) | Cash Flows, three months ended Sep 30 2025 | (805)</t>
      </text>
    </comment>
    <comment ref="D34" authorId="0">
      <text>
        <t>S9 Q4 2025 earnings release (Jan 27 2026) | Cash Flows, three months ended Dec 31 2025 | (880)</t>
      </text>
    </comment>
    <comment ref="E34" authorId="0">
      <text>
        <t>S6 Q1 2026 10-Q | Consolidated Statements of Cash Flows | (935)</t>
      </text>
    </comment>
    <comment ref="F34" authorId="0">
      <text>
        <t>S4 Q2 2026 earnings release (Jul 22 2026) | Cash Flows, three months ended Jun 30 2026 | (2,407)</t>
      </text>
    </comment>
    <comment ref="G34" authorId="0">
      <text>
        <t>S9 Q4 2025 earnings release (Jan 27 2026) | Cash Flows, year ended Dec 31 2025 | (3,524)</t>
      </text>
    </comment>
    <comment ref="C35" authorId="0">
      <text>
        <t>S12 Q3 2025 earnings release (Oct 21 2025) | Cash Flows, three months ended Sep 30 2025 | 1,260</t>
      </text>
    </comment>
    <comment ref="D35" authorId="0">
      <text>
        <t>S9 Q4 2025 earnings release (Jan 27 2026) | Cash Flows, three months ended Dec 31 2025 | 1,110</t>
      </text>
    </comment>
    <comment ref="E35" authorId="0">
      <text>
        <t>S6 Q1 2026 10-Q | Consolidated Statements of Cash Flows | 1,043</t>
      </text>
    </comment>
    <comment ref="F35" authorId="0">
      <text>
        <t>S4 Q2 2026 earnings release (Jul 22 2026) | Cash Flows, three months ended Jun 30 2026 | 636</t>
      </text>
    </comment>
    <comment ref="G35" authorId="0">
      <text>
        <t>S9 Q4 2025 earnings release (Jan 27 2026) | Cash Flows, year ended Dec 31 2025 | 6,308</t>
      </text>
    </comment>
    <comment ref="C36" authorId="0">
      <text>
        <t>S12 Q3 2025 earnings release (Oct 21 2025) | Cash Flows, three months ended Sep 30 2025 | (15)</t>
      </text>
    </comment>
    <comment ref="D36" authorId="0">
      <text>
        <t>S9 Q4 2025 earnings release (Jan 27 2026) | Cash Flows, three months ended Dec 31 2025 | 19</t>
      </text>
    </comment>
    <comment ref="E36" authorId="0">
      <text>
        <t>S6 Q1 2026 10-Q | Consolidated Statements of Cash Flows | (39)</t>
      </text>
    </comment>
    <comment ref="F36" authorId="0">
      <text>
        <t>S4 Q2 2026 earnings release (Jul 22 2026) | Cash Flows, three months ended Jun 30 2026 | 2</t>
      </text>
    </comment>
    <comment ref="G36" authorId="0">
      <text>
        <t>S9 Q4 2025 earnings release (Jan 27 2026) | Cash Flows, year ended Dec 31 2025 | (9)</t>
      </text>
    </comment>
    <comment ref="C40" authorId="0">
      <text>
        <t>S12 Q3 2025 earnings release (Oct 21 2025) | Cash Flows, three months ended Sep 30 2025 | 0</t>
      </text>
    </comment>
    <comment ref="D40" authorId="0">
      <text>
        <t>S9 Q4 2025 earnings release (Jan 27 2026) | Cash Flows, three months ended Dec 31 2025 | 0</t>
      </text>
    </comment>
    <comment ref="E40" authorId="0">
      <text>
        <t>S6 Q1 2026 10-Q | Consolidated Statements of Cash Flows | 0</t>
      </text>
    </comment>
    <comment ref="F40" authorId="0">
      <text>
        <t>S4 Q2 2026 earnings release (Jul 22 2026) | Cash Flows, three months ended Jun 30 2026 | 0</t>
      </text>
    </comment>
    <comment ref="G40" authorId="0">
      <text>
        <t>S9 Q4 2025 earnings release (Jan 27 2026) | Cash Flows, year ended Dec 31 2025 | 1,199</t>
      </text>
    </comment>
    <comment ref="C41" authorId="0">
      <text>
        <t>S12 Q3 2025 earnings release (Oct 21 2025) | Cash Flows, three months ended Sep 30 2025 | 0</t>
      </text>
    </comment>
    <comment ref="D41" authorId="0">
      <text>
        <t>S9 Q4 2025 earnings release (Jan 27 2026) | Cash Flows, three months ended Dec 31 2025 | 0</t>
      </text>
    </comment>
    <comment ref="E41" authorId="0">
      <text>
        <t>S6 Q1 2026 10-Q | Consolidated Statements of Cash Flows | 0</t>
      </text>
    </comment>
    <comment ref="F41" authorId="0">
      <text>
        <t>S4 Q2 2026 earnings release (Jul 22 2026) | Cash Flows, three months ended Jun 30 2026 | 0</t>
      </text>
    </comment>
    <comment ref="G41" authorId="0">
      <text>
        <t>S9 Q4 2025 earnings release (Jan 27 2026) | Cash Flows, year ended Dec 31 2025 | (750)</t>
      </text>
    </comment>
    <comment ref="C42" authorId="0">
      <text>
        <t>S12 Q3 2025 earnings release (Oct 21 2025) | Cash Flows, three months ended Sep 30 2025 | (1,236)</t>
      </text>
    </comment>
    <comment ref="D42" authorId="0">
      <text>
        <t>S9 Q4 2025 earnings release (Jan 27 2026) | Cash Flows, three months ended Dec 31 2025 | (1,290)</t>
      </text>
    </comment>
    <comment ref="E42" authorId="0">
      <text>
        <t>S6 Q1 2026 10-Q | Consolidated Statements of Cash Flows | (1,291)</t>
      </text>
    </comment>
    <comment ref="F42" authorId="0">
      <text>
        <t>S4 Q2 2026 earnings release (Jul 22 2026) | Cash Flows, three months ended Jun 30 2026 | (1,295)</t>
      </text>
    </comment>
    <comment ref="G42" authorId="0">
      <text>
        <t>S9 Q4 2025 earnings release (Jan 27 2026) | Cash Flows, year ended Dec 31 2025 | (4,999)</t>
      </text>
    </comment>
    <comment ref="C43" authorId="0">
      <text>
        <t>S12 Q3 2025 earnings release (Oct 21 2025) | Cash Flows, three months ended Sep 30 2025 | (119)</t>
      </text>
    </comment>
    <comment ref="D43" authorId="0">
      <text>
        <t>S9 Q4 2025 earnings release (Jan 27 2026) | Cash Flows, three months ended Dec 31 2025 | (403)</t>
      </text>
    </comment>
    <comment ref="E43" authorId="0">
      <text>
        <t>S6 Q1 2026 10-Q | Consolidated Statements of Cash Flows | (158)</t>
      </text>
    </comment>
    <comment ref="F43" authorId="0">
      <text>
        <t>S4 Q2 2026 earnings release (Jul 22 2026) | Cash Flows, three months ended Jun 30 2026 | (27)</t>
      </text>
    </comment>
    <comment ref="G43" authorId="0">
      <text>
        <t>S9 Q4 2025 earnings release (Jan 27 2026) | Cash Flows, year ended Dec 31 2025 | (1,477)</t>
      </text>
    </comment>
    <comment ref="C44" authorId="0">
      <text>
        <t>S12 Q3 2025 earnings release (Oct 21 2025) | Cash Flows, three months ended Sep 30 2025 | 125</t>
      </text>
    </comment>
    <comment ref="D44" authorId="0">
      <text>
        <t>S9 Q4 2025 earnings release (Jan 27 2026) | Cash Flows, three months ended Dec 31 2025 | 42</t>
      </text>
    </comment>
    <comment ref="E44" authorId="0">
      <text>
        <t>S6 Q1 2026 10-Q | Consolidated Statements of Cash Flows | 309</t>
      </text>
    </comment>
    <comment ref="F44" authorId="0">
      <text>
        <t>S4 Q2 2026 earnings release (Jul 22 2026) | Cash Flows, three months ended Jun 30 2026 | 445</t>
      </text>
    </comment>
    <comment ref="G44" authorId="0">
      <text>
        <t>S9 Q4 2025 earnings release (Jan 27 2026) | Cash Flows, year ended Dec 31 2025 | 400</t>
      </text>
    </comment>
    <comment ref="C45" authorId="0">
      <text>
        <t>S12 Q3 2025 earnings release (Oct 21 2025) | Cash Flows, three months ended Sep 30 2025 | (12)</t>
      </text>
    </comment>
    <comment ref="D45" authorId="0">
      <text>
        <t>S9 Q4 2025 earnings release (Jan 27 2026) | Cash Flows, three months ended Dec 31 2025 | (13)</t>
      </text>
    </comment>
    <comment ref="E45" authorId="0">
      <text>
        <t>S6 Q1 2026 10-Q | Consolidated Statements of Cash Flows | (9)</t>
      </text>
    </comment>
    <comment ref="F45" authorId="0">
      <text>
        <t>S4 Q2 2026 earnings release (Jul 22 2026) | Cash Flows, three months ended Jun 30 2026 | (13)</t>
      </text>
    </comment>
    <comment ref="G45" authorId="0">
      <text>
        <t>S9 Q4 2025 earnings release (Jan 27 2026) | Cash Flows, year ended Dec 31 2025 | (62)</t>
      </text>
    </comment>
    <comment ref="C52" authorId="0">
      <text>
        <t>S12 Q3 2025 earnings release (Oct 21 2025) | Cash Flows, three months ended Sep 30 2025 | 2,190</t>
      </text>
    </comment>
    <comment ref="D52" authorId="0">
      <text>
        <t>S9 Q4 2025 earnings release (Jan 27 2026) | Cash Flows, three months ended Dec 31 2025 | 2,254</t>
      </text>
    </comment>
    <comment ref="E52" authorId="0">
      <text>
        <t>S6 Q1 2026 10-Q | Consolidated Statements of Cash Flows | 1,520</t>
      </text>
    </comment>
    <comment ref="F52" authorId="0">
      <text>
        <t>S4 Q2 2026 earnings release (Jul 22 2026) | Cash Flows, three months ended Jun 30 2026 | 2,703</t>
      </text>
    </comment>
    <comment ref="G52" authorId="0">
      <text>
        <t>S9 Q4 2025 earnings release (Jan 27 2026) | Cash Flows, year ended Dec 31 2025 | 7,153</t>
      </text>
    </comment>
    <comment ref="C64" authorId="0">
      <text>
        <t>S12 Q3 2025 earnings release (Oct 21 2025) | Cash Flows, three months ended Sep 30 2025 | 43</t>
      </text>
    </comment>
    <comment ref="D64" authorId="0">
      <text>
        <t>S9 Q4 2025 earnings release (Jan 27 2026) | Cash Flows, three months ended Dec 31 2025 | 89</t>
      </text>
    </comment>
    <comment ref="E64" authorId="0">
      <text>
        <t>S6 Q1 2026 10-Q | Consolidated Statements of Cash Flows | 0</t>
      </text>
    </comment>
    <comment ref="F64" authorId="0">
      <text>
        <t>S4 Q2 2026 earnings release (Jul 22 2026) | Cash Flows, three months ended Jun 30 2026 | 301</t>
      </text>
    </comment>
    <comment ref="G64" authorId="0">
      <text>
        <t>S9 Q4 2025 earnings release (Jan 27 2026) | Cash Flows, year ended Dec 31 2025 | 335</t>
      </text>
    </comment>
  </commentList>
</comments>
</file>

<file path=xl/comments8.xml><?xml version="1.0" encoding="utf-8"?>
<comments xmlns="http://schemas.openxmlformats.org/spreadsheetml/2006/main">
  <authors>
    <author>Shortcut</author>
  </authors>
  <commentList>
    <comment ref="C10" authorId="0">
      <text>
        <t>S11 txn-20250930.htm (Q3 2025 10-Q) | Geographic area information | 1,859</t>
      </text>
    </comment>
    <comment ref="E10" authorId="0">
      <text>
        <t>S6 Q1 2026 10-Q | Geographic area information | 1,796</t>
      </text>
    </comment>
    <comment ref="F10" authorId="0">
      <text>
        <t>S3 txn-20260630.htm (Q2 2026 10-Q) | Geographic area information | 2,131</t>
      </text>
    </comment>
    <comment ref="G10" authorId="0">
      <text>
        <t>S8 txn-20251231.htm (FY2025 10-K) | Geographic area information | 6,763</t>
      </text>
    </comment>
    <comment ref="C22" authorId="0">
      <text>
        <t>S11 txn-20250930.htm (Q3 2025 10-Q) | Geographic area information | 1,019</t>
      </text>
    </comment>
    <comment ref="E22" authorId="0">
      <text>
        <t>S6 Q1 2026 10-Q | Geographic area information | 1,024</t>
      </text>
    </comment>
    <comment ref="F22" authorId="0">
      <text>
        <t>S3 txn-20260630.htm (Q2 2026 10-Q) | Geographic area information | 1,223</t>
      </text>
    </comment>
    <comment ref="G22" authorId="0">
      <text>
        <t>S8 txn-20251231.htm (FY2025 10-K) | Geographic area information | 3,781</t>
      </text>
    </comment>
    <comment ref="C34" authorId="0">
      <text>
        <t>S11 txn-20250930.htm (Q3 2025 10-Q) | Geographic area information | 505</t>
      </text>
    </comment>
    <comment ref="E34" authorId="0">
      <text>
        <t>S6 Q1 2026 10-Q | Geographic area information | 555</t>
      </text>
    </comment>
    <comment ref="F34" authorId="0">
      <text>
        <t>S3 txn-20260630.htm (Q2 2026 10-Q) | Geographic area information | 606</t>
      </text>
    </comment>
    <comment ref="G34" authorId="0">
      <text>
        <t>S8 txn-20251231.htm (FY2025 10-K) | Geographic area information | 1,887</t>
      </text>
    </comment>
    <comment ref="C46" authorId="0">
      <text>
        <t>S11 txn-20250930.htm (Q3 2025 10-Q) | Geographic area information | 972</t>
      </text>
    </comment>
    <comment ref="E46" authorId="0">
      <text>
        <t>S6 Q1 2026 10-Q | Geographic area information | 1,070</t>
      </text>
    </comment>
    <comment ref="F46" authorId="0">
      <text>
        <t>S3 txn-20260630.htm (Q2 2026 10-Q) | Geographic area information | 1,075</t>
      </text>
    </comment>
    <comment ref="G46" authorId="0">
      <text>
        <t>S8 txn-20251231.htm (FY2025 10-K) | Geographic area information | 3,747</t>
      </text>
    </comment>
    <comment ref="C58" authorId="0">
      <text>
        <t>S11 txn-20250930.htm (Q3 2025 10-Q) | Geographic area information | 313</t>
      </text>
    </comment>
    <comment ref="E58" authorId="0">
      <text>
        <t>S6 Q1 2026 10-Q | Geographic area information | 289</t>
      </text>
    </comment>
    <comment ref="F58" authorId="0">
      <text>
        <t>S3 txn-20260630.htm (Q2 2026 10-Q) | Geographic area information | 330</t>
      </text>
    </comment>
    <comment ref="G58" authorId="0">
      <text>
        <t>S8 txn-20251231.htm (FY2025 10-K) | Geographic area information | 1,173</t>
      </text>
    </comment>
    <comment ref="C70" authorId="0">
      <text>
        <t>S11 txn-20250930.htm (Q3 2025 10-Q) | Geographic area information | 74</t>
      </text>
    </comment>
    <comment ref="E70" authorId="0">
      <text>
        <t>S6 Q1 2026 10-Q | Geographic area information | 91</t>
      </text>
    </comment>
    <comment ref="F70" authorId="0">
      <text>
        <t>S3 txn-20260630.htm (Q2 2026 10-Q) | Geographic area information | 98</t>
      </text>
    </comment>
    <comment ref="G70" authorId="0">
      <text>
        <t>S8 txn-20251231.htm (FY2025 10-K) | Geographic area information | 331</t>
      </text>
    </comment>
    <comment ref="C86" authorId="0">
      <text>
        <t>S11 txn-20250930.htm (Q3 2025 10-Q) | Geographic area information | 10.0%</t>
      </text>
    </comment>
    <comment ref="E86" authorId="0">
      <text>
        <t>S6 Q1 2026 10-Q | Geographic area information | 10.0%</t>
      </text>
    </comment>
    <comment ref="F86" authorId="0">
      <text>
        <t>S3 txn-20260630.htm (Q2 2026 10-Q) | Geographic area information | 9.0%</t>
      </text>
    </comment>
    <comment ref="G86" authorId="0">
      <text>
        <t>S8 txn-20251231.htm (FY2025 10-K) | Geographic area information | 10.0%</t>
      </text>
    </comment>
  </commentList>
</comments>
</file>

<file path=xl/comments9.xml><?xml version="1.0" encoding="utf-8"?>
<comments xmlns="http://schemas.openxmlformats.org/spreadsheetml/2006/main">
  <authors>
    <author>Shortcut</author>
  </authors>
  <commentList>
    <comment ref="C10" authorId="0">
      <text>
        <t>S11 txn-20250930.htm (Q3 2025 10-Q) | treasury shares / Item 2 | 1,741</t>
      </text>
    </comment>
    <comment ref="D10" authorId="0">
      <text>
        <t>S8 txn-20251231.htm (FY2025 10-K) | treasury shares / Item 5 | 1,741</t>
      </text>
    </comment>
    <comment ref="E10" authorId="0">
      <text>
        <t>S6 Q1 2026 10-Q | treasury shares / Item 2 | 1,741</t>
      </text>
    </comment>
    <comment ref="F10" authorId="0">
      <text>
        <t>S3 txn-20260630.htm (Q2 2026 10-Q) | treasury shares / Item 2 | 1,741</t>
      </text>
    </comment>
    <comment ref="C11" authorId="0">
      <text>
        <t>S11 txn-20250930.htm (Q3 2025 10-Q) | treasury shares / Item 2 | 832</t>
      </text>
    </comment>
    <comment ref="D11" authorId="0">
      <text>
        <t>S8 txn-20251231.htm (FY2025 10-K) | treasury shares / Item 5 | 834</t>
      </text>
    </comment>
    <comment ref="E11" authorId="0">
      <text>
        <t>S6 Q1 2026 10-Q | treasury shares / Item 2 | 831</t>
      </text>
    </comment>
    <comment ref="F11" authorId="0">
      <text>
        <t>S3 txn-20260630.htm (Q2 2026 10-Q) | treasury shares / Item 2 | 828</t>
      </text>
    </comment>
    <comment ref="C16" authorId="0">
      <text>
        <t>S11 txn-20250930.htm (Q3 2025 10-Q) | treasury shares / Item 2 | 0.659</t>
      </text>
    </comment>
    <comment ref="D16" authorId="0">
      <text>
        <t>S8 txn-20251231.htm (FY2025 10-K) | treasury shares / Item 5 | 2.436</t>
      </text>
    </comment>
    <comment ref="E16" authorId="0">
      <text>
        <t>S6 Q1 2026 10-Q | treasury shares / Item 2 | 0.813</t>
      </text>
    </comment>
    <comment ref="F16" authorId="0">
      <text>
        <t>S3 txn-20260630.htm (Q2 2026 10-Q) | treasury shares / Item 2 | 0.114</t>
      </text>
    </comment>
    <comment ref="G16" authorId="0">
      <text>
        <t>S8 txn-20251231.htm (FY2025 10-K) | treasury share roll-forward | 8</t>
      </text>
    </comment>
    <comment ref="C21" authorId="0">
      <text>
        <t>S11 txn-20250930.htm (Q3 2025 10-Q) | treasury shares / Item 2 | 1</t>
      </text>
    </comment>
    <comment ref="E21" authorId="0">
      <text>
        <t>S6 Q1 2026 10-Q | treasury shares / Item 2 | 4</t>
      </text>
    </comment>
    <comment ref="F21" authorId="0">
      <text>
        <t>S3 txn-20260630.htm (Q2 2026 10-Q) | treasury shares / Item 2 | 3</t>
      </text>
    </comment>
    <comment ref="G21" authorId="0">
      <text>
        <t>S8 txn-20251231.htm (FY2025 10-K) | treasury share roll-forward | 4</t>
      </text>
    </comment>
    <comment ref="C25" authorId="0">
      <text>
        <t>S11 txn-20250930.htm (Q3 2025 10-Q) | Consolidated Statements of Income | 909</t>
      </text>
    </comment>
    <comment ref="D25" authorId="0">
      <text>
        <t>S9 Q4 2025 earnings release (Jan 27 2026) | Consolidated Statements of Income | 907</t>
      </text>
    </comment>
    <comment ref="E25" authorId="0">
      <text>
        <t>S6 Q1 2026 10-Q | Consolidated Statements of Income | 909</t>
      </text>
    </comment>
    <comment ref="F25" authorId="0">
      <text>
        <t>S3 txn-20260630.htm (Q2 2026 10-Q) | Consolidated Statements of Income | 912</t>
      </text>
    </comment>
    <comment ref="G25" authorId="0">
      <text>
        <t>S8 txn-20251231.htm (FY2025 10-K) | Consolidated Statements of Income | 909</t>
      </text>
    </comment>
    <comment ref="C30" authorId="0">
      <text>
        <t>S11 txn-20250930.htm (Q3 2025 10-Q) | Consolidated Statements of Income | 914</t>
      </text>
    </comment>
    <comment ref="D30" authorId="0">
      <text>
        <t>S9 Q4 2025 earnings release (Jan 27 2026) | Consolidated Statements of Income | 911</t>
      </text>
    </comment>
    <comment ref="E30" authorId="0">
      <text>
        <t>S6 Q1 2026 10-Q | Consolidated Statements of Income | 914</t>
      </text>
    </comment>
    <comment ref="F30" authorId="0">
      <text>
        <t>S3 txn-20260630.htm (Q2 2026 10-Q) | Consolidated Statements of Income | 920</t>
      </text>
    </comment>
    <comment ref="G30" authorId="0">
      <text>
        <t>S8 txn-20251231.htm (FY2025 10-K) | Consolidated Statements of Income | 913</t>
      </text>
    </comment>
    <comment ref="C35" authorId="0">
      <text>
        <t>S11 txn-20250930.htm (Q3 2025 10-Q) | Consolidated Statements of Income | $1.36</t>
      </text>
    </comment>
    <comment ref="D35" authorId="0">
      <text>
        <t>S9 Q4 2025 earnings release (Jan 27 2026) | Consolidated Statements of Income | $1.42</t>
      </text>
    </comment>
    <comment ref="E35" authorId="0">
      <text>
        <t>S6 Q1 2026 10-Q | Consolidated Statements of Income | $1.42</t>
      </text>
    </comment>
    <comment ref="F35" authorId="0">
      <text>
        <t>S3 txn-20260630.htm (Q2 2026 10-Q) | Consolidated Statements of Income | $1.42</t>
      </text>
    </comment>
    <comment ref="G35" authorId="0">
      <text>
        <t>S8 txn-20251231.htm (FY2025 10-K) | Consolidated Statements of Income | $5.50</t>
      </text>
    </comment>
  </commentList>
</comments>
</file>

<file path=xl/comments10.xml><?xml version="1.0" encoding="utf-8"?>
<comments xmlns="http://schemas.openxmlformats.org/spreadsheetml/2006/main">
  <authors>
    <author>Shortcut</author>
  </authors>
  <commentList>
    <comment ref="E10" authorId="0">
      <text>
        <t>S13 | outlook issued 2025-01-23 | 3740</t>
      </text>
    </comment>
    <comment ref="E11" authorId="0">
      <text>
        <t>S13 | outlook issued 2025-01-23 | 0.94</t>
      </text>
    </comment>
    <comment ref="E12" authorId="0">
      <text>
        <t>S14 | outlook issued 2025-04-23 | 4170</t>
      </text>
    </comment>
    <comment ref="E13" authorId="0">
      <text>
        <t>S14 | outlook issued 2025-04-23 | 1.21</t>
      </text>
    </comment>
    <comment ref="E14" authorId="0">
      <text>
        <t>S15 | outlook issued 2025-07-22 | 4450</t>
      </text>
    </comment>
    <comment ref="E15" authorId="0">
      <text>
        <t>S15 | outlook issued 2025-07-22 | 1.36</t>
      </text>
    </comment>
    <comment ref="E16" authorId="0">
      <text>
        <t>S12 | outlook issued 2025-10-21 | 4220</t>
      </text>
    </comment>
    <comment ref="E17" authorId="0">
      <text>
        <t>S12 | outlook issued 2025-10-21 | 1.13</t>
      </text>
    </comment>
    <comment ref="E18" authorId="0">
      <text>
        <t>S9 | outlook issued 2026-01-27 | 4320</t>
      </text>
    </comment>
    <comment ref="E19" authorId="0">
      <text>
        <t>S9 | outlook issued 2026-01-27 | 1.22</t>
      </text>
    </comment>
    <comment ref="E20" authorId="0">
      <text>
        <t>S7 | outlook issued 2026-04-22 | 5000</t>
      </text>
    </comment>
    <comment ref="E21" authorId="0">
      <text>
        <t>S7 | outlook issued 2026-04-22 | 1.77</t>
      </text>
    </comment>
    <comment ref="E22" authorId="0">
      <text>
        <t>S4 | outlook issued 2026-07-22 | 5650</t>
      </text>
    </comment>
    <comment ref="E23" authorId="0">
      <text>
        <t>S4 | outlook issued 2026-07-22 | 2.23</t>
      </text>
    </comment>
    <comment ref="E24" authorId="0">
      <text>
        <t>S5 | outlook issued 2026-07-22 | 0.13</t>
      </text>
    </comment>
    <comment ref="E25" authorId="0">
      <text>
        <t>S3 | outlook issued 2026-07-22 | 2000</t>
      </text>
    </comment>
  </commentList>
</comments>
</file>

<file path=xl/comments11.xml><?xml version="1.0" encoding="utf-8"?>
<comments xmlns="http://schemas.openxmlformats.org/spreadsheetml/2006/main">
  <authors>
    <author>Shortcut</author>
  </authors>
  <commentList>
    <comment ref="C21" authorId="0">
      <text>
        <t>S2 TXN_consensus.json | summary_row.eps_normalized_estimates | 10</t>
      </text>
    </comment>
    <comment ref="C22" authorId="0">
      <text>
        <t>S2 TXN_consensus.json | summary_row.eps_normalized_contributors | 15</t>
      </text>
    </comment>
    <comment ref="C24" authorId="0">
      <text>
        <t>S2 TXN_consensus.json | summary_row.eps_normalized_mean | 2.42</t>
      </text>
    </comment>
    <comment ref="C25" authorId="0">
      <text>
        <t>S2 TXN_consensus.json | summary_row.eps_normalized_median | 2.43</t>
      </text>
    </comment>
    <comment ref="C26" authorId="0">
      <text>
        <t>S2 TXN_consensus.json | summary_row.eps_normalized_high | 2.54</t>
      </text>
    </comment>
    <comment ref="C27" authorId="0">
      <text>
        <t>S2 TXN_consensus.json | summary_row.eps_normalized_low | 2.24</t>
      </text>
    </comment>
    <comment ref="C28" authorId="0">
      <text>
        <t>S2 TXN_consensus.json | summary_row.eps_normalized_std_dev | 0.08</t>
      </text>
    </comment>
    <comment ref="C29" authorId="0">
      <text>
        <t>S2 TXN_consensus.json | summary_row.eps_normalized_n_est | 10</t>
      </text>
    </comment>
    <comment ref="C31" authorId="0">
      <text>
        <t>S2 TXN_consensus.json | summary_row.eps_normalized_guidance_low | 2.23</t>
      </text>
    </comment>
    <comment ref="C32" authorId="0">
      <text>
        <t>S2 TXN_consensus.json | summary_row.eps_normalized_guidance_high | 2.57</t>
      </text>
    </comment>
    <comment ref="C33" authorId="0">
      <text>
        <t>S2 TXN_consensus.json | summary_row.eps_gaap_mean | 2.42</t>
      </text>
    </comment>
    <comment ref="C34" authorId="0">
      <text>
        <t>S2 TXN_consensus.json | summary_row.eps_gaap_median | 2.4</t>
      </text>
    </comment>
    <comment ref="C35" authorId="0">
      <text>
        <t>S2 TXN_consensus.json | summary_row.eps_gaap_high | 2.51</t>
      </text>
    </comment>
    <comment ref="C36" authorId="0">
      <text>
        <t>S2 TXN_consensus.json | summary_row.eps_gaap_low | 2.26</t>
      </text>
    </comment>
    <comment ref="C37" authorId="0">
      <text>
        <t>S2 TXN_consensus.json | summary_row.eps_gaap_std_dev | 0.05</t>
      </text>
    </comment>
    <comment ref="C38" authorId="0">
      <text>
        <t>S2 TXN_consensus.json | summary_row.eps_gaap_n_est | 23</t>
      </text>
    </comment>
    <comment ref="C40" authorId="0">
      <text>
        <t>S2 TXN_consensus.json | summary_row.eps_gaap_guidance_low | 2.23</t>
      </text>
    </comment>
    <comment ref="C41" authorId="0">
      <text>
        <t>S2 TXN_consensus.json | summary_row.eps_gaap_guidance_high | 2.57</t>
      </text>
    </comment>
    <comment ref="C42" authorId="0">
      <text>
        <t>S2 TXN_consensus.json | summary_row.revenue_mean | 5908.85</t>
      </text>
    </comment>
    <comment ref="C43" authorId="0">
      <text>
        <t>S2 TXN_consensus.json | summary_row.revenue_median | 5900.8</t>
      </text>
    </comment>
    <comment ref="C44" authorId="0">
      <text>
        <t>S2 TXN_consensus.json | summary_row.revenue_high | 6063.93</t>
      </text>
    </comment>
    <comment ref="C45" authorId="0">
      <text>
        <t>S2 TXN_consensus.json | summary_row.revenue_low | 5701.95</t>
      </text>
    </comment>
    <comment ref="C46" authorId="0">
      <text>
        <t>S2 TXN_consensus.json | summary_row.revenue_std_dev | 73.06</t>
      </text>
    </comment>
    <comment ref="C47" authorId="0">
      <text>
        <t>S2 TXN_consensus.json | summary_row.revenue_n_est | 25</t>
      </text>
    </comment>
    <comment ref="C49" authorId="0">
      <text>
        <t>S2 TXN_consensus.json | summary_row.revenue_guidance_low | 5650.0</t>
      </text>
    </comment>
    <comment ref="C50" authorId="0">
      <text>
        <t>S2 TXN_consensus.json | summary_row.revenue_guidance_high | 6150.0</t>
      </text>
    </comment>
    <comment ref="C51" authorId="0">
      <text>
        <t>S2 TXN_consensus.json | summary_row.ebitda | 3336.72</t>
      </text>
    </comment>
    <comment ref="C52" authorId="0">
      <text>
        <t>S2 TXN_consensus.json | summary_row.ebit | 2604.4</t>
      </text>
    </comment>
    <comment ref="C53" authorId="0">
      <text>
        <t>S2 TXN_consensus.json | summary_row.ebt_excl_excep | 2600.34</t>
      </text>
    </comment>
    <comment ref="C54" authorId="0">
      <text>
        <t>S2 TXN_consensus.json | summary_row.ebt_gaap | 2525.51</t>
      </text>
    </comment>
    <comment ref="C55" authorId="0">
      <text>
        <t>S2 TXN_consensus.json | summary_row.net_income_excl_excep | 2245.17</t>
      </text>
    </comment>
    <comment ref="C56" authorId="0">
      <text>
        <t>S2 TXN_consensus.json | summary_row.net_income_gaap | 2212.19</t>
      </text>
    </comment>
    <comment ref="C63" authorId="0">
      <text>
        <t>S2 TXN_consensus.json | summary_row.interest_expense | -140.33</t>
      </text>
    </comment>
    <comment ref="C64" authorId="0">
      <text>
        <t>S2 TXN_consensus.json | summary_row.net_debt | 5732.71</t>
      </text>
    </comment>
    <comment ref="C65" authorId="0">
      <text>
        <t>S2 TXN_consensus.json | summary_row.nav | 14257.0</t>
      </text>
    </comment>
    <comment ref="C67" authorId="0">
      <text>
        <t>S2 TXN_consensus.json | summary_row.target_price_mean | 324.71</t>
      </text>
    </comment>
    <comment ref="C68" authorId="0">
      <text>
        <t>S2 TXN_consensus.json | summary_row.target_price_median | 340.0</t>
      </text>
    </comment>
    <comment ref="C69" authorId="0">
      <text>
        <t>S2 TXN_consensus.json | summary_row.target_price_high | 400.0</t>
      </text>
    </comment>
    <comment ref="C70" authorId="0">
      <text>
        <t>S2 TXN_consensus.json | summary_row.target_price_low | 225.0</t>
      </text>
    </comment>
    <comment ref="C71" authorId="0">
      <text>
        <t>S2 TXN_consensus.json | summary_row.target_price_std_dev | 47.81</t>
      </text>
    </comment>
    <comment ref="C72" authorId="0">
      <text>
        <t>S2 TXN_consensus.json | summary_row.target_price_n_est | 31</t>
      </text>
    </comment>
    <comment ref="C74" authorId="0">
      <text>
        <t>S2 TXN_consensus.json | summary_row.recommendation_score | 2.11</t>
      </text>
    </comment>
    <comment ref="C75" authorId="0">
      <text>
        <t>S2 TXN_consensus.json | summary_row.last_close_price | 276.48</t>
      </text>
    </comment>
    <comment ref="D89" authorId="0">
      <text>
        <t>S1 TXN_history.csv | row 1 eps_normalized_consensus | 1.1</t>
      </text>
    </comment>
    <comment ref="E89" authorId="0">
      <text>
        <t>S1 TXN_history.csv | row 1 eps_normalized_actual | 1.28</t>
      </text>
    </comment>
    <comment ref="F89" authorId="0">
      <text>
        <t>S1 TXN_history.csv | row 1 eps_gaap_consensus | 1.06</t>
      </text>
    </comment>
    <comment ref="G89" authorId="0">
      <text>
        <t>S1 TXN_history.csv | row 1 eps_gaap_actual | 1.28</t>
      </text>
    </comment>
    <comment ref="H89" authorId="0">
      <text>
        <t>S1 TXN_history.csv | row 1 revenue_m_consensus | 3910.97</t>
      </text>
    </comment>
    <comment ref="I89" authorId="0">
      <text>
        <t>S1 TXN_history.csv | row 1 revenue_m_actual | 4069.0</t>
      </text>
    </comment>
    <comment ref="D90" authorId="0">
      <text>
        <t>S1 TXN_history.csv | row 2 eps_normalized_consensus | 1.37</t>
      </text>
    </comment>
    <comment ref="E90" authorId="0">
      <text>
        <t>S1 TXN_history.csv | row 2 eps_normalized_actual | 1.41</t>
      </text>
    </comment>
    <comment ref="F90" authorId="0">
      <text>
        <t>S1 TXN_history.csv | row 2 eps_gaap_consensus | 1.33</t>
      </text>
    </comment>
    <comment ref="G90" authorId="0">
      <text>
        <t>S1 TXN_history.csv | row 2 eps_gaap_actual | 1.41</t>
      </text>
    </comment>
    <comment ref="H90" authorId="0">
      <text>
        <t>S1 TXN_history.csv | row 2 revenue_m_consensus | 4315.2</t>
      </text>
    </comment>
    <comment ref="I90" authorId="0">
      <text>
        <t>S1 TXN_history.csv | row 2 revenue_m_actual | 4448.0</t>
      </text>
    </comment>
    <comment ref="D91" authorId="0">
      <text>
        <t>S1 TXN_history.csv | row 3 eps_normalized_consensus | 1.49</t>
      </text>
    </comment>
    <comment ref="E91" authorId="0">
      <text>
        <t>S1 TXN_history.csv | row 3 eps_normalized_actual | 1.57</t>
      </text>
    </comment>
    <comment ref="F91" authorId="0">
      <text>
        <t>S1 TXN_history.csv | row 3 eps_gaap_consensus | 1.49</t>
      </text>
    </comment>
    <comment ref="G91" authorId="0">
      <text>
        <t>S1 TXN_history.csv | row 3 eps_gaap_actual | 1.48</t>
      </text>
    </comment>
    <comment ref="H91" authorId="0">
      <text>
        <t>S1 TXN_history.csv | row 3 revenue_m_consensus | 4640.41</t>
      </text>
    </comment>
    <comment ref="I91" authorId="0">
      <text>
        <t>S1 TXN_history.csv | row 3 revenue_m_actual | 4742.0</t>
      </text>
    </comment>
    <comment ref="D92" authorId="0">
      <text>
        <t>S1 TXN_history.csv | row 4 eps_normalized_consensus | 1.28</t>
      </text>
    </comment>
    <comment ref="E92" authorId="0">
      <text>
        <t>S1 TXN_history.csv | row 4 eps_normalized_actual | 1.31</t>
      </text>
    </comment>
    <comment ref="F92" authorId="0">
      <text>
        <t>S1 TXN_history.csv | row 4 eps_gaap_consensus | 1.31</t>
      </text>
    </comment>
    <comment ref="G92" authorId="0">
      <text>
        <t>S1 TXN_history.csv | row 4 eps_gaap_actual | 1.27</t>
      </text>
    </comment>
    <comment ref="H92" authorId="0">
      <text>
        <t>S1 TXN_history.csv | row 4 revenue_m_consensus | 4440.56</t>
      </text>
    </comment>
    <comment ref="I92" authorId="0">
      <text>
        <t>S1 TXN_history.csv | row 4 revenue_m_actual | 4423.0</t>
      </text>
    </comment>
    <comment ref="D93" authorId="0">
      <text>
        <t>S1 TXN_history.csv | row 5 eps_normalized_consensus | 1.37</t>
      </text>
    </comment>
    <comment ref="E93" authorId="0">
      <text>
        <t>S1 TXN_history.csv | row 5 eps_normalized_actual | 1.71</t>
      </text>
    </comment>
    <comment ref="F93" authorId="0">
      <text>
        <t>S1 TXN_history.csv | row 5 eps_gaap_consensus | 1.37</t>
      </text>
    </comment>
    <comment ref="G93" authorId="0">
      <text>
        <t>S1 TXN_history.csv | row 5 eps_gaap_actual | 1.68</t>
      </text>
    </comment>
    <comment ref="H93" authorId="0">
      <text>
        <t>S1 TXN_history.csv | row 5 revenue_m_consensus | 4527.02</t>
      </text>
    </comment>
    <comment ref="I93" authorId="0">
      <text>
        <t>S1 TXN_history.csv | row 5 revenue_m_actual | 4825.0</t>
      </text>
    </comment>
    <comment ref="D94" authorId="0">
      <text>
        <t>S1 TXN_history.csv | row 6 eps_normalized_consensus | 1.95</t>
      </text>
    </comment>
    <comment ref="E94" authorId="0">
      <text>
        <t>S1 TXN_history.csv | row 6 eps_normalized_actual | 2.17</t>
      </text>
    </comment>
    <comment ref="F94" authorId="0">
      <text>
        <t>S1 TXN_history.csv | row 6 eps_gaap_consensus | 1.94</t>
      </text>
    </comment>
    <comment ref="G94" authorId="0">
      <text>
        <t>S1 TXN_history.csv | row 6 eps_gaap_actual | 2.14</t>
      </text>
    </comment>
    <comment ref="H94" authorId="0">
      <text>
        <t>S1 TXN_history.csv | row 6 revenue_m_consensus | 5252.67</t>
      </text>
    </comment>
    <comment ref="I94" authorId="0">
      <text>
        <t>S1 TXN_history.csv | row 6 revenue_m_actual | 5463.0</t>
      </text>
    </comment>
    <comment ref="C98" authorId="0">
      <text>
        <t>S11 txn-20250930.htm (Q3 2025 10-Q) | 2024 comparative column | 4,151</t>
      </text>
    </comment>
    <comment ref="D98" authorId="0">
      <text>
        <t>S9 Q4 2025 earnings release | Q4 2024 comparative column | 4,007</t>
      </text>
    </comment>
    <comment ref="E98" authorId="0">
      <text>
        <t>S6 Q1 2026 10-Q | 2025 comparative column | 4,069</t>
      </text>
    </comment>
    <comment ref="F98" authorId="0">
      <text>
        <t>S3 txn-20260630.htm (Q2 2026 10-Q) | three months 2025 comparative column | 4,448</t>
      </text>
    </comment>
    <comment ref="G98" authorId="0">
      <text>
        <t>S8 txn-20251231.htm (FY2025 10-K) | 2024 column | 15,641</t>
      </text>
    </comment>
    <comment ref="H98" authorId="0">
      <text>
        <t>S3 txn-20260630.htm (Q2 2026 10-Q) | six months 2025 comparative column | 8,517</t>
      </text>
    </comment>
    <comment ref="I98" authorId="0">
      <text>
        <t>S11 txn-20250930.htm (Q3 2025 10-Q) | nine months 2025 column | 13,259</t>
      </text>
    </comment>
    <comment ref="J98" authorId="0">
      <text>
        <t>S11 txn-20250930.htm (Q3 2025 10-Q) | nine months 2024 column | 11,634</t>
      </text>
    </comment>
    <comment ref="C99" authorId="0">
      <text>
        <t>S11 txn-20250930.htm (Q3 2025 10-Q) | 2024 comparative column | 3,223</t>
      </text>
    </comment>
    <comment ref="D99" authorId="0">
      <text>
        <t>S9 Q4 2025 earnings release | Q4 2024 comparative column | 3,174</t>
      </text>
    </comment>
    <comment ref="E99" authorId="0">
      <text>
        <t>S6 Q1 2026 10-Q | 2025 comparative column | 3,210</t>
      </text>
    </comment>
    <comment ref="F99" authorId="0">
      <text>
        <t>S3 txn-20260630.htm (Q2 2026 10-Q) | three months 2025 comparative column | 3,452</t>
      </text>
    </comment>
    <comment ref="G99" authorId="0">
      <text>
        <t>S8 txn-20251231.htm (FY2025 10-K) | 2024 column | 12,161</t>
      </text>
    </comment>
    <comment ref="H99" authorId="0">
      <text>
        <t>S3 txn-20260630.htm (Q2 2026 10-Q) | six months 2025 comparative column | 6,662</t>
      </text>
    </comment>
    <comment ref="I99" authorId="0">
      <text>
        <t>S11 txn-20250930.htm (Q3 2025 10-Q) | nine months 2025 column | 10,391</t>
      </text>
    </comment>
    <comment ref="J99" authorId="0">
      <text>
        <t>S11 txn-20250930.htm (Q3 2025 10-Q) | nine months 2024 column | 8,987</t>
      </text>
    </comment>
    <comment ref="C100" authorId="0">
      <text>
        <t>S11 txn-20250930.htm (Q3 2025 10-Q) | 2024 comparative column | 653</t>
      </text>
    </comment>
    <comment ref="D100" authorId="0">
      <text>
        <t>S9 Q4 2025 earnings release | Q4 2024 comparative column | 613</t>
      </text>
    </comment>
    <comment ref="E100" authorId="0">
      <text>
        <t>S6 Q1 2026 10-Q | 2025 comparative column | 647</t>
      </text>
    </comment>
    <comment ref="F100" authorId="0">
      <text>
        <t>S3 txn-20260630.htm (Q2 2026 10-Q) | three months 2025 comparative column | 679</t>
      </text>
    </comment>
    <comment ref="G100" authorId="0">
      <text>
        <t>S8 txn-20251231.htm (FY2025 10-K) | 2024 column | 2,533</t>
      </text>
    </comment>
    <comment ref="H100" authorId="0">
      <text>
        <t>S3 txn-20260630.htm (Q2 2026 10-Q) | six months 2025 comparative column | 1,326</t>
      </text>
    </comment>
    <comment ref="I100" authorId="0">
      <text>
        <t>S11 txn-20250930.htm (Q3 2025 10-Q) | nine months 2025 column | 2,035</t>
      </text>
    </comment>
    <comment ref="J100" authorId="0">
      <text>
        <t>S11 txn-20250930.htm (Q3 2025 10-Q) | nine months 2024 column | 1,920</t>
      </text>
    </comment>
    <comment ref="C101" authorId="0">
      <text>
        <t>S11 txn-20250930.htm (Q3 2025 10-Q) | 2024 comparative column | 275</t>
      </text>
    </comment>
    <comment ref="D101" authorId="0">
      <text>
        <t>S9 Q4 2025 earnings release | Q4 2024 comparative column | 220</t>
      </text>
    </comment>
    <comment ref="E101" authorId="0">
      <text>
        <t>S6 Q1 2026 10-Q | 2025 comparative column | 212</t>
      </text>
    </comment>
    <comment ref="F101" authorId="0">
      <text>
        <t>S3 txn-20260630.htm (Q2 2026 10-Q) | three months 2025 comparative column | 317</t>
      </text>
    </comment>
    <comment ref="G101" authorId="0">
      <text>
        <t>S8 txn-20251231.htm (FY2025 10-K) | 2024 column | 947</t>
      </text>
    </comment>
    <comment ref="H101" authorId="0">
      <text>
        <t>S3 txn-20260630.htm (Q2 2026 10-Q) | six months 2025 comparative column | 529</t>
      </text>
    </comment>
    <comment ref="I101" authorId="0">
      <text>
        <t>S11 txn-20250930.htm (Q3 2025 10-Q) | nine months 2025 column | 833</t>
      </text>
    </comment>
    <comment ref="J101" authorId="0">
      <text>
        <t>S11 txn-20250930.htm (Q3 2025 10-Q) | nine months 2024 column | 727</t>
      </text>
    </comment>
    <comment ref="C102" authorId="0">
      <text>
        <t>S11 txn-20250930.htm (Q3 2025 10-Q) | 2024 comparative column | 1,677</t>
      </text>
    </comment>
    <comment ref="D102" authorId="0">
      <text>
        <t>S9 Q4 2025 earnings release | Q4 2024 comparative column | 1,693</t>
      </text>
    </comment>
    <comment ref="E102" authorId="0">
      <text>
        <t>S6 Q1 2026 10-Q | 2025 comparative column | 1,756</t>
      </text>
    </comment>
    <comment ref="F102" authorId="0">
      <text>
        <t>S3 txn-20260630.htm (Q2 2026 10-Q) | three months 2025 comparative column | 1,873</t>
      </text>
    </comment>
    <comment ref="G102" authorId="0">
      <text>
        <t>S8 txn-20251231.htm (FY2025 10-K) | 2024 column | 6,547</t>
      </text>
    </comment>
    <comment ref="H102" authorId="0">
      <text>
        <t>S3 txn-20260630.htm (Q2 2026 10-Q) | six months 2025 comparative column | 3,629</t>
      </text>
    </comment>
    <comment ref="I102" authorId="0">
      <text>
        <t>S11 txn-20250930.htm (Q3 2025 10-Q) | nine months 2025 column | 5,648</t>
      </text>
    </comment>
    <comment ref="J102" authorId="0">
      <text>
        <t>S11 txn-20250930.htm (Q3 2025 10-Q) | nine months 2024 column | 4,854</t>
      </text>
    </comment>
    <comment ref="C104" authorId="0">
      <text>
        <t>S11 txn-20250930.htm (Q3 2025 10-Q) | 2024 comparative column | 492</t>
      </text>
    </comment>
    <comment ref="D104" authorId="0">
      <text>
        <t>S9 Q4 2025 earnings release | Q4 2024 comparative column | 491</t>
      </text>
    </comment>
    <comment ref="E104" authorId="0">
      <text>
        <t>S6 Q1 2026 10-Q | 2025 comparative column | 517</t>
      </text>
    </comment>
    <comment ref="F104" authorId="0">
      <text>
        <t>S3 txn-20260630.htm (Q2 2026 10-Q) | three months 2025 comparative column | 527</t>
      </text>
    </comment>
    <comment ref="G104" authorId="0">
      <text>
        <t>S8 txn-20251231.htm (FY2025 10-K) | 2024 column | 1,959</t>
      </text>
    </comment>
    <comment ref="H104" authorId="0">
      <text>
        <t>S3 txn-20260630.htm (Q2 2026 10-Q) | six months 2025 comparative column | 1,044</t>
      </text>
    </comment>
    <comment ref="I104" authorId="0">
      <text>
        <t>S11 txn-20250930.htm (Q3 2025 10-Q) | nine months 2025 column | 1,562</t>
      </text>
    </comment>
    <comment ref="J104" authorId="0">
      <text>
        <t>S11 txn-20250930.htm (Q3 2025 10-Q) | nine months 2024 column | 1,468</t>
      </text>
    </comment>
    <comment ref="C105" authorId="0">
      <text>
        <t>S11 txn-20250930.htm (Q3 2025 10-Q) | 2024 comparative column | 428</t>
      </text>
    </comment>
    <comment ref="D105" authorId="0">
      <text>
        <t>S9 Q4 2025 earnings release | Q4 2024 comparative column | 446</t>
      </text>
    </comment>
    <comment ref="E105" authorId="0">
      <text>
        <t>S6 Q1 2026 10-Q | 2025 comparative column | 472</t>
      </text>
    </comment>
    <comment ref="F105" authorId="0">
      <text>
        <t>S3 txn-20260630.htm (Q2 2026 10-Q) | three months 2025 comparative column | 485</t>
      </text>
    </comment>
    <comment ref="G105" authorId="0">
      <text>
        <t>S8 txn-20251231.htm (FY2025 10-K) | 2024 column | 1,794</t>
      </text>
    </comment>
    <comment ref="H105" authorId="0">
      <text>
        <t>S3 txn-20260630.htm (Q2 2026 10-Q) | six months 2025 comparative column | 957</t>
      </text>
    </comment>
    <comment ref="I105" authorId="0">
      <text>
        <t>S11 txn-20250930.htm (Q3 2025 10-Q) | nine months 2025 column | 1,414</t>
      </text>
    </comment>
    <comment ref="J105" authorId="0">
      <text>
        <t>S11 txn-20250930.htm (Q3 2025 10-Q) | nine months 2024 column | 1,348</t>
      </text>
    </comment>
    <comment ref="C106" authorId="0">
      <text>
        <t>S11 txn-20250930.htm (Q3 2025 10-Q) | 2024 comparative column | 0</t>
      </text>
    </comment>
    <comment ref="D106" authorId="0">
      <text>
        <t>S9 Q4 2025 earnings release | Q4 2024 comparative column | 0</t>
      </text>
    </comment>
    <comment ref="E106" authorId="0">
      <text>
        <t>S6 Q1 2026 10-Q | 2025 comparative column | 0</t>
      </text>
    </comment>
    <comment ref="F106" authorId="0">
      <text>
        <t>S3 txn-20260630.htm (Q2 2026 10-Q) | three months 2025 comparative column | 0</t>
      </text>
    </comment>
    <comment ref="G106" authorId="0">
      <text>
        <t>S8 txn-20251231.htm (FY2025 10-K) | 2024 column | (124)</t>
      </text>
    </comment>
    <comment ref="H106" authorId="0">
      <text>
        <t>S3 txn-20260630.htm (Q2 2026 10-Q) | six months 2025 comparative column | 0</t>
      </text>
    </comment>
    <comment ref="I106" authorId="0">
      <text>
        <t>S11 txn-20250930.htm (Q3 2025 10-Q) | nine months 2025 column | 85</t>
      </text>
    </comment>
    <comment ref="J106" authorId="0">
      <text>
        <t>S11 txn-20250930.htm (Q3 2025 10-Q) | nine months 2024 column | (124)</t>
      </text>
    </comment>
    <comment ref="C107" authorId="0">
      <text>
        <t>S11 txn-20250930.htm (Q3 2025 10-Q) | 2024 comparative column | 1,554</t>
      </text>
    </comment>
    <comment ref="D107" authorId="0">
      <text>
        <t>S9 Q4 2025 earnings release | Q4 2024 comparative column | 1,377</t>
      </text>
    </comment>
    <comment ref="E107" authorId="0">
      <text>
        <t>S6 Q1 2026 10-Q | 2025 comparative column | 1,324</t>
      </text>
    </comment>
    <comment ref="F107" authorId="0">
      <text>
        <t>S3 txn-20260630.htm (Q2 2026 10-Q) | three months 2025 comparative column | 1,563</t>
      </text>
    </comment>
    <comment ref="G107" authorId="0">
      <text>
        <t>S8 txn-20251231.htm (FY2025 10-K) | 2024 column | 5,465</t>
      </text>
    </comment>
    <comment ref="H107" authorId="0">
      <text>
        <t>S3 txn-20260630.htm (Q2 2026 10-Q) | six months 2025 comparative column | 2,887</t>
      </text>
    </comment>
    <comment ref="I107" authorId="0">
      <text>
        <t>S11 txn-20250930.htm (Q3 2025 10-Q) | nine months 2025 column | 4,550</t>
      </text>
    </comment>
    <comment ref="J107" authorId="0">
      <text>
        <t>S11 txn-20250930.htm (Q3 2025 10-Q) | nine months 2024 column | 4,088</t>
      </text>
    </comment>
    <comment ref="C108" authorId="0">
      <text>
        <t>S11 txn-20250930.htm (Q3 2025 10-Q) | 2024 comparative column | 131</t>
      </text>
    </comment>
    <comment ref="D108" authorId="0">
      <text>
        <t>S9 Q4 2025 earnings release | Q4 2024 comparative column | 112</t>
      </text>
    </comment>
    <comment ref="E108" authorId="0">
      <text>
        <t>S6 Q1 2026 10-Q | 2025 comparative column | 80</t>
      </text>
    </comment>
    <comment ref="F108" authorId="0">
      <text>
        <t>S3 txn-20260630.htm (Q2 2026 10-Q) | three months 2025 comparative column | 48</t>
      </text>
    </comment>
    <comment ref="G108" authorId="0">
      <text>
        <t>S8 txn-20251231.htm (FY2025 10-K) | 2024 column | 496</t>
      </text>
    </comment>
    <comment ref="H108" authorId="0">
      <text>
        <t>S3 txn-20260630.htm (Q2 2026 10-Q) | six months 2025 comparative column | 128</t>
      </text>
    </comment>
    <comment ref="I108" authorId="0">
      <text>
        <t>S11 txn-20250930.htm (Q3 2025 10-Q) | nine months 2025 column | 190</t>
      </text>
    </comment>
    <comment ref="J108" authorId="0">
      <text>
        <t>S11 txn-20250930.htm (Q3 2025 10-Q) | nine months 2024 column | 384</t>
      </text>
    </comment>
    <comment ref="C109" authorId="0">
      <text>
        <t>S11 txn-20250930.htm (Q3 2025 10-Q) | 2024 comparative column | 131</t>
      </text>
    </comment>
    <comment ref="D109" authorId="0">
      <text>
        <t>S9 Q4 2025 earnings release | Q4 2024 comparative column | 130</t>
      </text>
    </comment>
    <comment ref="E109" authorId="0">
      <text>
        <t>S6 Q1 2026 10-Q | 2025 comparative column | 128</t>
      </text>
    </comment>
    <comment ref="F109" authorId="0">
      <text>
        <t>S3 txn-20260630.htm (Q2 2026 10-Q) | three months 2025 comparative column | 133</t>
      </text>
    </comment>
    <comment ref="G109" authorId="0">
      <text>
        <t>S8 txn-20251231.htm (FY2025 10-K) | 2024 column | 508</t>
      </text>
    </comment>
    <comment ref="H109" authorId="0">
      <text>
        <t>S3 txn-20260630.htm (Q2 2026 10-Q) | six months 2025 comparative column | 261</t>
      </text>
    </comment>
    <comment ref="I109" authorId="0">
      <text>
        <t>S11 txn-20250930.htm (Q3 2025 10-Q) | nine months 2025 column | 402</t>
      </text>
    </comment>
    <comment ref="J109" authorId="0">
      <text>
        <t>S11 txn-20250930.htm (Q3 2025 10-Q) | nine months 2024 column | 378</t>
      </text>
    </comment>
    <comment ref="C110" authorId="0">
      <text>
        <t>S11 txn-20250930.htm (Q3 2025 10-Q) | 2024 comparative column | 1,554</t>
      </text>
    </comment>
    <comment ref="D110" authorId="0">
      <text>
        <t>S9 Q4 2025 earnings release | Q4 2024 comparative column | 1,359</t>
      </text>
    </comment>
    <comment ref="E110" authorId="0">
      <text>
        <t>S6 Q1 2026 10-Q | 2025 comparative column | 1,276</t>
      </text>
    </comment>
    <comment ref="F110" authorId="0">
      <text>
        <t>S3 txn-20260630.htm (Q2 2026 10-Q) | three months 2025 comparative column | 1,478</t>
      </text>
    </comment>
    <comment ref="G110" authorId="0">
      <text>
        <t>S8 txn-20251231.htm (FY2025 10-K) | 2024 column | 5,453</t>
      </text>
    </comment>
    <comment ref="H110" authorId="0">
      <text>
        <t>S3 txn-20260630.htm (Q2 2026 10-Q) | six months 2025 comparative column | 2,754</t>
      </text>
    </comment>
    <comment ref="I110" authorId="0">
      <text>
        <t>S11 txn-20250930.htm (Q3 2025 10-Q) | nine months 2025 column | 4,338</t>
      </text>
    </comment>
    <comment ref="J110" authorId="0">
      <text>
        <t>S11 txn-20250930.htm (Q3 2025 10-Q) | nine months 2024 column | 4,094</t>
      </text>
    </comment>
    <comment ref="C111" authorId="0">
      <text>
        <t>S11 txn-20250930.htm (Q3 2025 10-Q) | 2024 comparative column | 192</t>
      </text>
    </comment>
    <comment ref="D111" authorId="0">
      <text>
        <t>S9 Q4 2025 earnings release | Q4 2024 comparative column | 154</t>
      </text>
    </comment>
    <comment ref="E111" authorId="0">
      <text>
        <t>S6 Q1 2026 10-Q | 2025 comparative column | 97</t>
      </text>
    </comment>
    <comment ref="F111" authorId="0">
      <text>
        <t>S3 txn-20260630.htm (Q2 2026 10-Q) | three months 2025 comparative column | 183</t>
      </text>
    </comment>
    <comment ref="G111" authorId="0">
      <text>
        <t>S8 txn-20251231.htm (FY2025 10-K) | 2024 column | 654</t>
      </text>
    </comment>
    <comment ref="H111" authorId="0">
      <text>
        <t>S3 txn-20260630.htm (Q2 2026 10-Q) | six months 2025 comparative column | 280</t>
      </text>
    </comment>
    <comment ref="I111" authorId="0">
      <text>
        <t>S11 txn-20250930.htm (Q3 2025 10-Q) | nine months 2025 column | 500</t>
      </text>
    </comment>
    <comment ref="J111" authorId="0">
      <text>
        <t>S11 txn-20250930.htm (Q3 2025 10-Q) | nine months 2024 column | 500</t>
      </text>
    </comment>
    <comment ref="C112" authorId="0">
      <text>
        <t>S11 txn-20250930.htm (Q3 2025 10-Q) | 2024 comparative column | 227</t>
      </text>
    </comment>
    <comment ref="D112" authorId="0">
      <text>
        <t>S9 Q4 2025 earnings release | Q4 2024 comparative column | 170</t>
      </text>
    </comment>
    <comment ref="E112" authorId="0">
      <text>
        <t>S6 Q1 2026 10-Q | 2025 comparative column | 166</t>
      </text>
    </comment>
    <comment ref="F112" authorId="0">
      <text>
        <t>S3 txn-20260630.htm (Q2 2026 10-Q) | three months 2025 comparative column | 199</t>
      </text>
    </comment>
    <comment ref="G112" authorId="0">
      <text>
        <t>S8 txn-20251231.htm (FY2025 10-K) | 2024 column | 743</t>
      </text>
    </comment>
    <comment ref="H112" authorId="0">
      <text>
        <t>S3 txn-20260630.htm (Q2 2026 10-Q) | six months 2025 comparative column | 365</t>
      </text>
    </comment>
    <comment ref="I112" authorId="0">
      <text>
        <t>S11 txn-20250930.htm (Q3 2025 10-Q) | nine months 2025 column | 614</t>
      </text>
    </comment>
    <comment ref="J112" authorId="0">
      <text>
        <t>S11 txn-20250930.htm (Q3 2025 10-Q) | nine months 2024 column | 573</t>
      </text>
    </comment>
    <comment ref="C113" authorId="0">
      <text>
        <t>S11 txn-20250930.htm (Q3 2025 10-Q) | 2024 comparative column | 1,362</t>
      </text>
    </comment>
    <comment ref="D113" authorId="0">
      <text>
        <t>S9 Q4 2025 earnings release | Q4 2024 comparative column | 1,205</t>
      </text>
    </comment>
    <comment ref="E113" authorId="0">
      <text>
        <t>S6 Q1 2026 10-Q | 2025 comparative column | 1,179</t>
      </text>
    </comment>
    <comment ref="F113" authorId="0">
      <text>
        <t>S3 txn-20260630.htm (Q2 2026 10-Q) | three months 2025 comparative column | 1,295</t>
      </text>
    </comment>
    <comment ref="G113" authorId="0">
      <text>
        <t>S8 txn-20251231.htm (FY2025 10-K) | 2024 column | 4,799</t>
      </text>
    </comment>
    <comment ref="H113" authorId="0">
      <text>
        <t>S3 txn-20260630.htm (Q2 2026 10-Q) | six months 2025 comparative column | 2,474</t>
      </text>
    </comment>
    <comment ref="I113" authorId="0">
      <text>
        <t>S11 txn-20250930.htm (Q3 2025 10-Q) | nine months 2025 column | 3,838</t>
      </text>
    </comment>
    <comment ref="J113" authorId="0">
      <text>
        <t>S11 txn-20250930.htm (Q3 2025 10-Q) | nine months 2024 column | 3,594</t>
      </text>
    </comment>
    <comment ref="C114" authorId="0">
      <text>
        <t>S11 txn-20250930.htm (Q3 2025 10-Q) | 2024 comparative column | $1.47</t>
      </text>
    </comment>
    <comment ref="D114" authorId="0">
      <text>
        <t>S9 Q4 2025 earnings release | Q4 2024 comparative column | $1.30</t>
      </text>
    </comment>
    <comment ref="E114" authorId="0">
      <text>
        <t>S6 Q1 2026 10-Q | 2025 comparative column | $1.28</t>
      </text>
    </comment>
    <comment ref="F114" authorId="0">
      <text>
        <t>S3 txn-20260630.htm (Q2 2026 10-Q) | three months 2025 comparative column | $1.41</t>
      </text>
    </comment>
    <comment ref="G114" authorId="0">
      <text>
        <t>S8 txn-20251231.htm (FY2025 10-K) | 2024 column | $5.20</t>
      </text>
    </comment>
    <comment ref="H114" authorId="0">
      <text>
        <t>S3 txn-20260630.htm (Q2 2026 10-Q) | six months 2025 comparative column | $2.69</t>
      </text>
    </comment>
    <comment ref="I114" authorId="0">
      <text>
        <t>S11 txn-20250930.htm (Q3 2025 10-Q) | nine months 2025 column | $4.18</t>
      </text>
    </comment>
    <comment ref="J114" authorId="0">
      <text>
        <t>S11 txn-20250930.htm (Q3 2025 10-Q) | nine months 2024 column | $3.89</t>
      </text>
    </comment>
    <comment ref="C115" authorId="0">
      <text>
        <t>S11 txn-20250930.htm (Q3 2025 10-Q) | 2024 comparative column | 920</t>
      </text>
    </comment>
    <comment ref="D115" authorId="0">
      <text>
        <t>S9 Q4 2025 earnings release | Q4 2024 comparative column | 919</t>
      </text>
    </comment>
    <comment ref="E115" authorId="0">
      <text>
        <t>S6 Q1 2026 10-Q | 2025 comparative column | 916</t>
      </text>
    </comment>
    <comment ref="F115" authorId="0">
      <text>
        <t>S3 txn-20260630.htm (Q2 2026 10-Q) | three months 2025 comparative column | 912</t>
      </text>
    </comment>
    <comment ref="G115" authorId="0">
      <text>
        <t>S8 txn-20251231.htm (FY2025 10-K) | 2024 column | 919</t>
      </text>
    </comment>
    <comment ref="H115" authorId="0">
      <text>
        <t>S3 txn-20260630.htm (Q2 2026 10-Q) | six months 2025 comparative column | 914</t>
      </text>
    </comment>
    <comment ref="I115" authorId="0">
      <text>
        <t>S11 txn-20250930.htm (Q3 2025 10-Q) | nine months 2025 column | 914</t>
      </text>
    </comment>
    <comment ref="J115" authorId="0">
      <text>
        <t>S11 txn-20250930.htm (Q3 2025 10-Q) | nine months 2024 column | 919</t>
      </text>
    </comment>
    <comment ref="C116" authorId="0">
      <text>
        <t>S11 txn-20250930.htm (Q3 2025 10-Q) | 2024 comparative column | 1,253</t>
      </text>
    </comment>
    <comment ref="E116" authorId="0">
      <text>
        <t>S6 Q1 2026 10-Q | 2025 comparative column | 1,296</t>
      </text>
    </comment>
    <comment ref="F116" authorId="0">
      <text>
        <t>S3 txn-20260630.htm (Q2 2026 10-Q) | three months 2025 comparative column | 1,395</t>
      </text>
    </comment>
    <comment ref="G116" authorId="0">
      <text>
        <t>S8 txn-20251231.htm (FY2025 10-K) | 2024 column | 4,869</t>
      </text>
    </comment>
    <comment ref="H116" authorId="0">
      <text>
        <t>S3 txn-20260630.htm (Q2 2026 10-Q) | six months 2025 comparative column | 2,691</t>
      </text>
    </comment>
    <comment ref="I116" authorId="0">
      <text>
        <t>S11 txn-20250930.htm (Q3 2025 10-Q) | nine months 2025 column | 4,234</t>
      </text>
    </comment>
    <comment ref="J116" authorId="0">
      <text>
        <t>S11 txn-20250930.htm (Q3 2025 10-Q) | nine months 2024 column | 3,600</t>
      </text>
    </comment>
    <comment ref="C117" authorId="0">
      <text>
        <t>S11 txn-20250930.htm (Q3 2025 10-Q) | 2024 comparative column | 350</t>
      </text>
    </comment>
    <comment ref="E117" authorId="0">
      <text>
        <t>S6 Q1 2026 10-Q | 2025 comparative column | 369</t>
      </text>
    </comment>
    <comment ref="F117" authorId="0">
      <text>
        <t>S3 txn-20260630.htm (Q2 2026 10-Q) | three months 2025 comparative column | 383</t>
      </text>
    </comment>
    <comment ref="G117" authorId="0">
      <text>
        <t>S8 txn-20251231.htm (FY2025 10-K) | 2024 column | 1,411</t>
      </text>
    </comment>
    <comment ref="H117" authorId="0">
      <text>
        <t>S3 txn-20260630.htm (Q2 2026 10-Q) | six months 2025 comparative column | 752</t>
      </text>
    </comment>
    <comment ref="I117" authorId="0">
      <text>
        <t>S11 txn-20250930.htm (Q3 2025 10-Q) | nine months 2025 column | 1,123</t>
      </text>
    </comment>
    <comment ref="J117" authorId="0">
      <text>
        <t>S11 txn-20250930.htm (Q3 2025 10-Q) | nine months 2024 column | 1,059</t>
      </text>
    </comment>
    <comment ref="C118" authorId="0">
      <text>
        <t>S11 txn-20250930.htm (Q3 2025 10-Q) | 2024 comparative column | 304</t>
      </text>
    </comment>
    <comment ref="E118" authorId="0">
      <text>
        <t>S6 Q1 2026 10-Q | 2025 comparative column | 339</t>
      </text>
    </comment>
    <comment ref="F118" authorId="0">
      <text>
        <t>S3 txn-20260630.htm (Q2 2026 10-Q) | three months 2025 comparative column | 349</t>
      </text>
    </comment>
    <comment ref="G118" authorId="0">
      <text>
        <t>S8 txn-20251231.htm (FY2025 10-K) | 2024 column | 1,273</t>
      </text>
    </comment>
    <comment ref="H118" authorId="0">
      <text>
        <t>S3 txn-20260630.htm (Q2 2026 10-Q) | six months 2025 comparative column | 688</t>
      </text>
    </comment>
    <comment ref="I118" authorId="0">
      <text>
        <t>S11 txn-20250930.htm (Q3 2025 10-Q) | nine months 2025 column | 1,017</t>
      </text>
    </comment>
    <comment ref="J118" authorId="0">
      <text>
        <t>S11 txn-20250930.htm (Q3 2025 10-Q) | nine months 2024 column | 957</t>
      </text>
    </comment>
    <comment ref="C120" authorId="0">
      <text>
        <t>S11 txn-20250930.htm (Q3 2025 10-Q) | 2024 comparative column | 1,316</t>
      </text>
    </comment>
    <comment ref="D120" authorId="0">
      <text>
        <t>S9 Q4 2025 earnings release | Q4 2024 comparative column | 1,237</t>
      </text>
    </comment>
    <comment ref="E120" authorId="0">
      <text>
        <t>S6 Q1 2026 10-Q | 2025 comparative column | 1,206</t>
      </text>
    </comment>
    <comment ref="F120" authorId="0">
      <text>
        <t>S3 txn-20260630.htm (Q2 2026 10-Q) | three months 2025 comparative column | 1,325</t>
      </text>
    </comment>
    <comment ref="G120" authorId="0">
      <text>
        <t>S8 txn-20251231.htm (FY2025 10-K) | 2024 column | 4,608</t>
      </text>
    </comment>
    <comment ref="H120" authorId="0">
      <text>
        <t>S3 txn-20260630.htm (Q2 2026 10-Q) | six months 2025 comparative column | 2,531</t>
      </text>
    </comment>
    <comment ref="I120" authorId="0">
      <text>
        <t>S11 txn-20250930.htm (Q3 2025 10-Q) | nine months 2025 column | 4,017</t>
      </text>
    </comment>
    <comment ref="J120" authorId="0">
      <text>
        <t>S11 txn-20250930.htm (Q3 2025 10-Q) | nine months 2024 column | 3,371</t>
      </text>
    </comment>
    <comment ref="C121" authorId="0">
      <text>
        <t>S11 txn-20250930.htm (Q3 2025 10-Q) | 2024 comparative column | 328</t>
      </text>
    </comment>
    <comment ref="E121" authorId="0">
      <text>
        <t>S6 Q1 2026 10-Q | 2025 comparative column | 375</t>
      </text>
    </comment>
    <comment ref="F121" authorId="0">
      <text>
        <t>S3 txn-20260630.htm (Q2 2026 10-Q) | three months 2025 comparative column | 365</t>
      </text>
    </comment>
    <comment ref="G121" authorId="0">
      <text>
        <t>S8 txn-20251231.htm (FY2025 10-K) | 2024 column | 1,315</t>
      </text>
    </comment>
    <comment ref="H121" authorId="0">
      <text>
        <t>S3 txn-20260630.htm (Q2 2026 10-Q) | six months 2025 comparative column | 740</t>
      </text>
    </comment>
    <comment ref="I121" authorId="0">
      <text>
        <t>S11 txn-20250930.htm (Q3 2025 10-Q) | nine months 2025 column | 1,113</t>
      </text>
    </comment>
    <comment ref="J121" authorId="0">
      <text>
        <t>S11 txn-20250930.htm (Q3 2025 10-Q) | nine months 2024 column | 981</t>
      </text>
    </comment>
    <comment ref="C122" authorId="0">
      <text>
        <t>S11 txn-20250930.htm (Q3 2025 10-Q) | 2024 comparative column | 124</t>
      </text>
    </comment>
    <comment ref="E122" authorId="0">
      <text>
        <t>S6 Q1 2026 10-Q | 2025 comparative column | 128</t>
      </text>
    </comment>
    <comment ref="F122" authorId="0">
      <text>
        <t>S3 txn-20260630.htm (Q2 2026 10-Q) | three months 2025 comparative column | 125</t>
      </text>
    </comment>
    <comment ref="G122" authorId="0">
      <text>
        <t>S8 txn-20251231.htm (FY2025 10-K) | 2024 column | 475</t>
      </text>
    </comment>
    <comment ref="H122" authorId="0">
      <text>
        <t>S3 txn-20260630.htm (Q2 2026 10-Q) | six months 2025 comparative column | 253</t>
      </text>
    </comment>
    <comment ref="I122" authorId="0">
      <text>
        <t>S11 txn-20250930.htm (Q3 2025 10-Q) | nine months 2025 column | 380</t>
      </text>
    </comment>
    <comment ref="J122" authorId="0">
      <text>
        <t>S11 txn-20250930.htm (Q3 2025 10-Q) | nine months 2024 column | 355</t>
      </text>
    </comment>
    <comment ref="C123" authorId="0">
      <text>
        <t>S11 txn-20250930.htm (Q3 2025 10-Q) | 2024 comparative column | 92</t>
      </text>
    </comment>
    <comment ref="E123" authorId="0">
      <text>
        <t>S6 Q1 2026 10-Q | 2025 comparative column | 104</t>
      </text>
    </comment>
    <comment ref="F123" authorId="0">
      <text>
        <t>S3 txn-20260630.htm (Q2 2026 10-Q) | three months 2025 comparative column | 104</t>
      </text>
    </comment>
    <comment ref="G123" authorId="0">
      <text>
        <t>S8 txn-20251231.htm (FY2025 10-K) | 2024 column | 391</t>
      </text>
    </comment>
    <comment ref="H123" authorId="0">
      <text>
        <t>S3 txn-20260630.htm (Q2 2026 10-Q) | six months 2025 comparative column | 208</t>
      </text>
    </comment>
    <comment ref="I123" authorId="0">
      <text>
        <t>S11 txn-20250930.htm (Q3 2025 10-Q) | nine months 2025 column | 309</t>
      </text>
    </comment>
    <comment ref="J123" authorId="0">
      <text>
        <t>S11 txn-20250930.htm (Q3 2025 10-Q) | nine months 2024 column | 290</t>
      </text>
    </comment>
    <comment ref="C125" authorId="0">
      <text>
        <t>S11 txn-20250930.htm (Q3 2025 10-Q) | 2024 comparative column | 109</t>
      </text>
    </comment>
    <comment ref="D125" authorId="0">
      <text>
        <t>S9 Q4 2025 earnings release | Q4 2024 comparative column | 58</t>
      </text>
    </comment>
    <comment ref="E125" authorId="0">
      <text>
        <t>S6 Q1 2026 10-Q | 2025 comparative column | 40</t>
      </text>
    </comment>
    <comment ref="F125" authorId="0">
      <text>
        <t>S3 txn-20260630.htm (Q2 2026 10-Q) | three months 2025 comparative column | 85</t>
      </text>
    </comment>
    <comment ref="G125" authorId="0">
      <text>
        <t>S8 txn-20251231.htm (FY2025 10-K) | 2024 column | 352</t>
      </text>
    </comment>
    <comment ref="H125" authorId="0">
      <text>
        <t>S3 txn-20260630.htm (Q2 2026 10-Q) | six months 2025 comparative column | 125</t>
      </text>
    </comment>
    <comment ref="I125" authorId="0">
      <text>
        <t>S11 txn-20250930.htm (Q3 2025 10-Q) | nine months 2025 column | 233</t>
      </text>
    </comment>
    <comment ref="J125" authorId="0">
      <text>
        <t>S11 txn-20250930.htm (Q3 2025 10-Q) | nine months 2024 column | 294</t>
      </text>
    </comment>
    <comment ref="C126" authorId="0">
      <text>
        <t>S11 txn-20250930.htm (Q3 2025 10-Q) | 2024 comparative column | 1,639</t>
      </text>
    </comment>
    <comment ref="E126" authorId="0">
      <text>
        <t>S6 Q1 2026 10-Q | 2025 comparative column | 1,518</t>
      </text>
    </comment>
    <comment ref="F126" authorId="0">
      <text>
        <t>S3 txn-20260630.htm (Q2 2026 10-Q) | three months 2025 comparative column | 1,707</t>
      </text>
    </comment>
    <comment ref="G126" authorId="0">
      <text>
        <t>S8 txn-20251231.htm (FY2025 10-K) | 2024 column | 5,957</t>
      </text>
    </comment>
    <comment ref="H126" authorId="0">
      <text>
        <t>S3 txn-20260630.htm (Q2 2026 10-Q) | six months 2025 comparative column | 3,225</t>
      </text>
    </comment>
    <comment ref="I126" authorId="0">
      <text>
        <t>S11 txn-20250930.htm (Q3 2025 10-Q) | nine months 2025 column | 5,084</t>
      </text>
    </comment>
    <comment ref="J126" authorId="0">
      <text>
        <t>S11 txn-20250930.htm (Q3 2025 10-Q) | nine months 2024 column | 4,335</t>
      </text>
    </comment>
    <comment ref="C127" authorId="0">
      <text>
        <t>S11 txn-20250930.htm (Q3 2025 10-Q) | 2024 comparative column | 823</t>
      </text>
    </comment>
    <comment ref="E127" authorId="0">
      <text>
        <t>S6 Q1 2026 10-Q | 2025 comparative column | 826</t>
      </text>
    </comment>
    <comment ref="F127" authorId="0">
      <text>
        <t>S3 txn-20260630.htm (Q2 2026 10-Q) | three months 2025 comparative column | 985</t>
      </text>
    </comment>
    <comment ref="G127" authorId="0">
      <text>
        <t>S8 txn-20251231.htm (FY2025 10-K) | 2024 column | 3,012</t>
      </text>
    </comment>
    <comment ref="H127" authorId="0">
      <text>
        <t>S3 txn-20260630.htm (Q2 2026 10-Q) | six months 2025 comparative column | 1,811</t>
      </text>
    </comment>
    <comment ref="I127" authorId="0">
      <text>
        <t>S11 txn-20250930.htm (Q3 2025 10-Q) | nine months 2025 column | 2,830</t>
      </text>
    </comment>
    <comment ref="J127" authorId="0">
      <text>
        <t>S11 txn-20250930.htm (Q3 2025 10-Q) | nine months 2024 column | 2,191</t>
      </text>
    </comment>
    <comment ref="C128" authorId="0">
      <text>
        <t>S11 txn-20250930.htm (Q3 2025 10-Q) | 2024 comparative column | 431</t>
      </text>
    </comment>
    <comment ref="E128" authorId="0">
      <text>
        <t>S6 Q1 2026 10-Q | 2025 comparative column | 438</t>
      </text>
    </comment>
    <comment ref="F128" authorId="0">
      <text>
        <t>S3 txn-20260630.htm (Q2 2026 10-Q) | three months 2025 comparative column | 487</t>
      </text>
    </comment>
    <comment ref="G128" authorId="0">
      <text>
        <t>S8 txn-20251231.htm (FY2025 10-K) | 2024 column | 1,681</t>
      </text>
    </comment>
    <comment ref="H128" authorId="0">
      <text>
        <t>S3 txn-20260630.htm (Q2 2026 10-Q) | six months 2025 comparative column | 925</t>
      </text>
    </comment>
    <comment ref="I128" authorId="0">
      <text>
        <t>S11 txn-20250930.htm (Q3 2025 10-Q) | nine months 2025 column | 1,430</t>
      </text>
    </comment>
    <comment ref="J128" authorId="0">
      <text>
        <t>S11 txn-20250930.htm (Q3 2025 10-Q) | nine months 2024 column | 1,249</t>
      </text>
    </comment>
    <comment ref="C129" authorId="0">
      <text>
        <t>S11 txn-20250930.htm (Q3 2025 10-Q) | 2024 comparative column | 880</t>
      </text>
    </comment>
    <comment ref="E129" authorId="0">
      <text>
        <t>S6 Q1 2026 10-Q | 2025 comparative column | 936</t>
      </text>
    </comment>
    <comment ref="F129" authorId="0">
      <text>
        <t>S3 txn-20260630.htm (Q2 2026 10-Q) | three months 2025 comparative column | 891</t>
      </text>
    </comment>
    <comment ref="G129" authorId="0">
      <text>
        <t>S8 txn-20251231.htm (FY2025 10-K) | 2024 column | 3,519</t>
      </text>
    </comment>
    <comment ref="H129" authorId="0">
      <text>
        <t>S3 txn-20260630.htm (Q2 2026 10-Q) | six months 2025 comparative column | 1,827</t>
      </text>
    </comment>
    <comment ref="I129" authorId="0">
      <text>
        <t>S11 txn-20250930.htm (Q3 2025 10-Q) | nine months 2025 column | 2,799</t>
      </text>
    </comment>
    <comment ref="J129" authorId="0">
      <text>
        <t>S11 txn-20250930.htm (Q3 2025 10-Q) | nine months 2024 column | 2,733</t>
      </text>
    </comment>
    <comment ref="C130" authorId="0">
      <text>
        <t>S11 txn-20250930.htm (Q3 2025 10-Q) | 2024 comparative column | 313</t>
      </text>
    </comment>
    <comment ref="E130" authorId="0">
      <text>
        <t>S6 Q1 2026 10-Q | 2025 comparative column | 275</t>
      </text>
    </comment>
    <comment ref="F130" authorId="0">
      <text>
        <t>S3 txn-20260630.htm (Q2 2026 10-Q) | three months 2025 comparative column | 295</t>
      </text>
    </comment>
    <comment ref="G130" authorId="0">
      <text>
        <t>S8 txn-20251231.htm (FY2025 10-K) | 2024 column | 1,212</t>
      </text>
    </comment>
    <comment ref="H130" authorId="0">
      <text>
        <t>S3 txn-20260630.htm (Q2 2026 10-Q) | six months 2025 comparative column | 570</t>
      </text>
    </comment>
    <comment ref="I130" authorId="0">
      <text>
        <t>S11 txn-20250930.htm (Q3 2025 10-Q) | nine months 2025 column | 883</t>
      </text>
    </comment>
    <comment ref="J130" authorId="0">
      <text>
        <t>S11 txn-20250930.htm (Q3 2025 10-Q) | nine months 2024 column | 935</t>
      </text>
    </comment>
    <comment ref="C131" authorId="0">
      <text>
        <t>S11 txn-20250930.htm (Q3 2025 10-Q) | 2024 comparative column | 65</t>
      </text>
    </comment>
    <comment ref="E131" authorId="0">
      <text>
        <t>S6 Q1 2026 10-Q | 2025 comparative column | 76</t>
      </text>
    </comment>
    <comment ref="F131" authorId="0">
      <text>
        <t>S3 txn-20260630.htm (Q2 2026 10-Q) | three months 2025 comparative column | 83</t>
      </text>
    </comment>
    <comment ref="G131" authorId="0">
      <text>
        <t>S8 txn-20251231.htm (FY2025 10-K) | 2024 column | 260</t>
      </text>
    </comment>
    <comment ref="H131" authorId="0">
      <text>
        <t>S3 txn-20260630.htm (Q2 2026 10-Q) | six months 2025 comparative column | 159</t>
      </text>
    </comment>
    <comment ref="I131" authorId="0">
      <text>
        <t>S11 txn-20250930.htm (Q3 2025 10-Q) | nine months 2025 column | 233</t>
      </text>
    </comment>
    <comment ref="J131" authorId="0">
      <text>
        <t>S11 txn-20250930.htm (Q3 2025 10-Q) | nine months 2024 column | 191</t>
      </text>
    </comment>
    <comment ref="F132" authorId="0">
      <text>
        <t>S3 txn-20260630.htm (Q2 2026 10-Q) | three months 2025 comparative column | 3,044</t>
      </text>
    </comment>
    <comment ref="G132" authorId="0">
      <text>
        <t>S8 txn-20251231.htm (FY2025 10-K) | 2024 column | 3,200</t>
      </text>
    </comment>
    <comment ref="H132" authorId="0">
      <text>
        <t>S3 txn-20260630.htm (Q2 2026 10-Q) | six months 2025 comparative column | 3,044</t>
      </text>
    </comment>
    <comment ref="F133" authorId="0">
      <text>
        <t>S3 txn-20260630.htm (Q2 2026 10-Q) | three months 2025 comparative column | 1,860</t>
      </text>
    </comment>
    <comment ref="G133" authorId="0">
      <text>
        <t>S8 txn-20251231.htm (FY2025 10-K) | 2024 column | 6,318</t>
      </text>
    </comment>
    <comment ref="H133" authorId="0">
      <text>
        <t>S3 txn-20260630.htm (Q2 2026 10-Q) | six months 2025 comparative column | 2,709</t>
      </text>
    </comment>
    <comment ref="I133" authorId="0">
      <text>
        <t>S11 txn-20250930.htm (Q3 2025 10-Q) | nine months 2025 column | 4,899</t>
      </text>
    </comment>
    <comment ref="F134" authorId="0">
      <text>
        <t>S3 txn-20260630.htm (Q2 2026 10-Q) | three months 2025 comparative column | (1,305)</t>
      </text>
    </comment>
    <comment ref="G134" authorId="0">
      <text>
        <t>S8 txn-20251231.htm (FY2025 10-K) | 2024 column | (4,820)</t>
      </text>
    </comment>
    <comment ref="H134" authorId="0">
      <text>
        <t>S3 txn-20260630.htm (Q2 2026 10-Q) | six months 2025 comparative column | (2,428)</t>
      </text>
    </comment>
    <comment ref="I134" authorId="0">
      <text>
        <t>S11 txn-20250930.htm (Q3 2025 10-Q) | nine months 2025 column | (3,625)</t>
      </text>
    </comment>
    <comment ref="F135" authorId="0">
      <text>
        <t>S3 txn-20260630.htm (Q2 2026 10-Q) | three months 2025 comparative column | 0</t>
      </text>
    </comment>
    <comment ref="G135" authorId="0">
      <text>
        <t>S8 txn-20251231.htm (FY2025 10-K) | 2024 column | 0</t>
      </text>
    </comment>
    <comment ref="H135" authorId="0">
      <text>
        <t>S3 txn-20260630.htm (Q2 2026 10-Q) | six months 2025 comparative column | 260</t>
      </text>
    </comment>
    <comment ref="I135" authorId="0">
      <text>
        <t>S11 txn-20250930.htm (Q3 2025 10-Q) | nine months 2025 column | 335</t>
      </text>
    </comment>
    <comment ref="F136" authorId="0">
      <text>
        <t>S3 txn-20260630.htm (Q2 2026 10-Q) | three months 2025 comparative column | 281</t>
      </text>
    </comment>
    <comment ref="G136" authorId="0">
      <text>
        <t>S8 txn-20251231.htm (FY2025 10-K) | 2024 column | 236</t>
      </text>
    </comment>
    <comment ref="H136" authorId="0">
      <text>
        <t>S3 txn-20260630.htm (Q2 2026 10-Q) | six months 2025 comparative column | (156)</t>
      </text>
    </comment>
    <comment ref="I136" authorId="0">
      <text>
        <t>S11 txn-20250930.htm (Q3 2025 10-Q) | nine months 2025 column | 111</t>
      </text>
    </comment>
    <comment ref="C139" authorId="0">
      <text>
        <t>S23 companiesmarketcap.com / gomarketcap.com | As of 18 October 2026 | $252.49B</t>
      </text>
    </comment>
    <comment ref="C140" authorId="0">
      <text>
        <t>S23 S&amp;P 500 constituent (TXN listed in S&amp;P 500 / Nasdaq-100) | member</t>
      </text>
    </comment>
  </commentList>
</comments>
</file>

<file path=xl/sharedStrings.xml><?xml version="1.0" encoding="utf-8"?>
<sst xmlns="http://schemas.openxmlformats.org/spreadsheetml/2006/main" count="1468" uniqueCount="689">
  <si>
    <t>Texas Instruments Incorporated (NasdaqGS: TXN)</t>
  </si>
  <si>
    <t>Company Model — built by Shortcut</t>
  </si>
  <si>
    <t>$ millions, except per share</t>
  </si>
  <si>
    <t>Period</t>
  </si>
  <si>
    <t>3Q26E</t>
  </si>
  <si>
    <t>Period end</t>
  </si>
  <si>
    <t>Days in period</t>
  </si>
  <si>
    <t>Company</t>
  </si>
  <si>
    <t>Texas Instruments Incorporated</t>
  </si>
  <si>
    <t>Ticker / exchange</t>
  </si>
  <si>
    <t>TXN — Nasdaq Global Select Market (NasdaqGS:TXN)</t>
  </si>
  <si>
    <t>Fiscal year end</t>
  </si>
  <si>
    <t>December 31; quarters end on calendar quarter-ends (FQ3 2026 = quarter ended 2026-09-30, matches supplied label)</t>
  </si>
  <si>
    <t>Reporting currency</t>
  </si>
  <si>
    <t>USD; amounts in $ millions except per share</t>
  </si>
  <si>
    <t>EPS basis</t>
  </si>
  <si>
    <t>Information cutoff</t>
  </si>
  <si>
    <t>2026-10-18 21:34:46 UTC (only sources published before this time used)</t>
  </si>
  <si>
    <t>Expected report date</t>
  </si>
  <si>
    <t>2026-10-21, after market close; call 15:30 CT (issuer calendar). CapIQ export lists 2026-10-19 (preserved, superseded)</t>
  </si>
  <si>
    <t>Consensus snapshot</t>
  </si>
  <si>
    <t>S&amp;P Capital IQ captured 2026-10-18 (date precision); normalized EPS from 10 estimates of 15 contributors</t>
  </si>
  <si>
    <t>Author</t>
  </si>
  <si>
    <t>Shortcut — company model built by Shortcut</t>
  </si>
  <si>
    <t>Headline: 3Q26E (quarter ending 2026-09-30) — Shortcut estimate vs consensus at cutoff vs guidance midpoint</t>
  </si>
  <si>
    <t>Metric</t>
  </si>
  <si>
    <t>Shortcut estimate</t>
  </si>
  <si>
    <t>Consensus (CapIQ)</t>
  </si>
  <si>
    <t>Variance</t>
  </si>
  <si>
    <t>Variance %</t>
  </si>
  <si>
    <t>Guidance midpoint</t>
  </si>
  <si>
    <t>Est. vs guidance</t>
  </si>
  <si>
    <t>Notes</t>
  </si>
  <si>
    <t>Revenue ($m)</t>
  </si>
  <si>
    <t>Operating profit, GAAP ($m)</t>
  </si>
  <si>
    <t>not guided</t>
  </si>
  <si>
    <t>Net income, normalized ($m)</t>
  </si>
  <si>
    <t>G24:G26 are model-implied, not issuer guidance: GAAP EPS guide midpoint (Guidance!G23) x model diluted shares / (1 - RSU ratio), + acquisition charges for normalized. TI does not guide net income or normalized EPS (it guides revenue, GAAP EPS and tax rate); CapIQ normalized guidance 2.23-2.57 (Inputs!C31:C32) mirrors the GAAP range.</t>
  </si>
  <si>
    <t>Net income, GAAP ($m)</t>
  </si>
  <si>
    <t>EPS, normalized diluted ($)</t>
  </si>
  <si>
    <t>EPS, GAAP diluted ($)</t>
  </si>
  <si>
    <t>Cover-to-statements tie (= 0)</t>
  </si>
  <si>
    <t>Structural model check (ties/identities)</t>
  </si>
  <si>
    <t>PASS covers structural ties and historical reconciliations to filings; 3Q26E-column checks are identities that hold by construction and do not validate the forecast.</t>
  </si>
  <si>
    <t>P(beat consensus EPS)</t>
  </si>
  <si>
    <t>Confidence</t>
  </si>
  <si>
    <t>medium</t>
  </si>
  <si>
    <t>Beat-probability calibration (playbook §7; inputs on Inputs tab)</t>
  </si>
  <si>
    <t>Market cap ($bn, 2026-10-18)</t>
  </si>
  <si>
    <t>Size bucket</t>
  </si>
  <si>
    <t>S&amp;P 500 member (1 = yes)</t>
  </si>
  <si>
    <t>Cohort prior (large or S&amp;P 500)</t>
  </si>
  <si>
    <t>Strict beats b of n pairs</t>
  </si>
  <si>
    <t>Pseudo-observation weight</t>
  </si>
  <si>
    <t>Starting P(beat), 8 pseudo-obs</t>
  </si>
  <si>
    <t>Final P(beat) after evidence</t>
  </si>
  <si>
    <t>Adjustment vs starting probability</t>
  </si>
  <si>
    <t>Hist. surprise mean / median</t>
  </si>
  <si>
    <t>Model vs consensus ($/sh)</t>
  </si>
  <si>
    <t>Key 3Q26E drivers (linked)</t>
  </si>
  <si>
    <t>Revenue vs guidance midpoint</t>
  </si>
  <si>
    <t>Revenue growth Q/Q</t>
  </si>
  <si>
    <t>Analog volume / price % Q/Q</t>
  </si>
  <si>
    <t>Gross margin</t>
  </si>
  <si>
    <t>Operating margin</t>
  </si>
  <si>
    <t>Effective tax rate</t>
  </si>
  <si>
    <t>Diluted shares (m)</t>
  </si>
  <si>
    <t>Newer consensus seen before cutoff (recorded separately; frozen CapIQ snapshot remains the scoring baseline)</t>
  </si>
  <si>
    <t>Source</t>
  </si>
  <si>
    <t>EPS</t>
  </si>
  <si>
    <t>Zacks/Yahoo, 2026-10-16 (S24)</t>
  </si>
  <si>
    <t>AlphaStreet, 2026-10-16 (S25)</t>
  </si>
  <si>
    <t>Hudson Labs, 2026-10-05 (S28)</t>
  </si>
  <si>
    <t>Revenue summary</t>
  </si>
  <si>
    <t>3Q25A</t>
  </si>
  <si>
    <t>4Q25A</t>
  </si>
  <si>
    <t>1Q26A</t>
  </si>
  <si>
    <t>2Q26A</t>
  </si>
  <si>
    <t>FY25A</t>
  </si>
  <si>
    <t>Revenue by reported segment</t>
  </si>
  <si>
    <t>Analog</t>
  </si>
  <si>
    <t xml:space="preserve">    Q/Q change ($m)</t>
  </si>
  <si>
    <t>n/a</t>
  </si>
  <si>
    <t xml:space="preserve">    Y/Y change ($m)</t>
  </si>
  <si>
    <t xml:space="preserve">    % Y/Y</t>
  </si>
  <si>
    <t xml:space="preserve">    % Q/Q</t>
  </si>
  <si>
    <t xml:space="preserve">    % of total revenue</t>
  </si>
  <si>
    <t xml:space="preserve">    M&amp;A / scope impact</t>
  </si>
  <si>
    <t>No acquisitions or divestitures closed in these periods; Silicon Labs deal pending (close expected 1H27)</t>
  </si>
  <si>
    <t xml:space="preserve">    FX impact</t>
  </si>
  <si>
    <t>unavailable</t>
  </si>
  <si>
    <t>TI does not disclose an FX impact on revenue (10-Q/10-K); left unavailable, not zero</t>
  </si>
  <si>
    <t xml:space="preserve">    Organic growth</t>
  </si>
  <si>
    <t xml:space="preserve">    Total Y/Y growth</t>
  </si>
  <si>
    <t>Embedded Processing</t>
  </si>
  <si>
    <t xml:space="preserve">  Other — opening revenue</t>
  </si>
  <si>
    <t xml:space="preserve">  Other — growth, % Q/Q (driver)</t>
  </si>
  <si>
    <t>3Q26E: flat Q/Q assumed (3Q25 Other fell 4% Q/Q; DLP/calculators; no segment guidance)</t>
  </si>
  <si>
    <t xml:space="preserve">    Change Q/Q (bp)</t>
  </si>
  <si>
    <t>bp change of a Q/Q growth-rate driver is not economically meaningful; shown n/a (driver row 33 retained)</t>
  </si>
  <si>
    <t xml:space="preserve">    Change Y/Y (bp)</t>
  </si>
  <si>
    <t>Other (DLP, calculators)</t>
  </si>
  <si>
    <t>No acquisitions/divestitures closed; 2025 Other included custom ASIC products (goodwill impaired 2025)</t>
  </si>
  <si>
    <t>Total revenue</t>
  </si>
  <si>
    <t xml:space="preserve">  Reported total revenue</t>
  </si>
  <si>
    <t xml:space="preserve">  Check: segments − total (= 0)</t>
  </si>
  <si>
    <t xml:space="preserve">  Check FY25: 1H+3Q+4Q (= 0)</t>
  </si>
  <si>
    <t>Revenue by end market (TI discloses $ only annually; quarterly $ not disclosed)</t>
  </si>
  <si>
    <t>Industrial</t>
  </si>
  <si>
    <t>n/d</t>
  </si>
  <si>
    <t>2Q26: ~+30% Y/Y, ~+10% Q/Q (S5)</t>
  </si>
  <si>
    <t xml:space="preserve">    % Y/Y (as disclosed)</t>
  </si>
  <si>
    <t>Automotive</t>
  </si>
  <si>
    <t>2Q26: mid-teens Y/Y, upper-single-digit Q/Q (S5)</t>
  </si>
  <si>
    <t>Data center</t>
  </si>
  <si>
    <t>2Q26: doubled Y/Y, ~+20% Q/Q (S5)</t>
  </si>
  <si>
    <t>Personal electronics</t>
  </si>
  <si>
    <t>2Q26: flat Y/Y, upper-single-digit Q/Q (S5)</t>
  </si>
  <si>
    <t>Communications equipment</t>
  </si>
  <si>
    <t>2Q26: grew Y/Y and Q/Q (S5)</t>
  </si>
  <si>
    <t xml:space="preserve">  Other / unallocated (incl. rounding)</t>
  </si>
  <si>
    <t>Five disclosed end markets (S10) sum to $17.3bn (c.98% of revenue; issuer-stated shares sum to 99%); residual $382m exceeds max rounding of c.$250m (5 x $0.05bn), so it includes revenue not attributed to the five markets; categorisation not disclosed</t>
  </si>
  <si>
    <t>Geography: TI discloses six customer-HQ regions each quarter — see Geo tab.</t>
  </si>
  <si>
    <t>Other segment P&amp;L (Other is not a reportable segment; derived as consolidated less Analog and Embedded)</t>
  </si>
  <si>
    <t xml:space="preserve">  Other — cost of revenue</t>
  </si>
  <si>
    <t xml:space="preserve">  Other — gross profit</t>
  </si>
  <si>
    <t xml:space="preserve">    Other — gross margin</t>
  </si>
  <si>
    <t xml:space="preserve">      Change Q/Q (bp)</t>
  </si>
  <si>
    <t xml:space="preserve">      Change Y/Y (bp)</t>
  </si>
  <si>
    <t xml:space="preserve">  Other — incremental GM (driver)</t>
  </si>
  <si>
    <t>3Q26E 65% assumption; immaterial with flat Other revenue</t>
  </si>
  <si>
    <t>bp change of an incremental-GM driver on small revenue changes is not meaningful; shown n/a (driver row 106 retained)</t>
  </si>
  <si>
    <t xml:space="preserve">  Other — R&amp;D</t>
  </si>
  <si>
    <t>3Q26E flat Q/Q (Jul 22 guidance: opex flat 2Q→3Q)</t>
  </si>
  <si>
    <t xml:space="preserve">  Other — SG&amp;A</t>
  </si>
  <si>
    <t xml:space="preserve">  Other — restr./acq. charges</t>
  </si>
  <si>
    <t>Other — operating profit</t>
  </si>
  <si>
    <t xml:space="preserve">  Other — reported OP</t>
  </si>
  <si>
    <t xml:space="preserve">  Check: derived − reported (= 0)</t>
  </si>
  <si>
    <t>Segment - Analog: revenue build and segment P&amp;L</t>
  </si>
  <si>
    <t>Analog revenue build — driver ladder (TI does not disclose units or ASP; price/volume split is a modelled assumption)</t>
  </si>
  <si>
    <t>Opening revenue (prior quarter)</t>
  </si>
  <si>
    <t>Unit volume change, % Q/Q (driver)</t>
  </si>
  <si>
    <t>1Q26-2Q26 derived as total Q/Q less price (pricing flat 1H26 per S5); 3Q25-4Q25 split not disclosed</t>
  </si>
  <si>
    <t xml:space="preserve">  Volume contribution ($m)</t>
  </si>
  <si>
    <t>ASP change, % Q/Q (driver)</t>
  </si>
  <si>
    <t>TI: pricing flat in 1H26 (S5); increases began 3Q26, mainly Analog, more in 4Q26 (S5, S20). 3Q26E +1.5% assumption</t>
  </si>
  <si>
    <t xml:space="preserve">  Price contribution ($m)</t>
  </si>
  <si>
    <t>Analog revenue</t>
  </si>
  <si>
    <t xml:space="preserve">  Check: ladder − closing (= 0)</t>
  </si>
  <si>
    <t>Product lines and end markets (not disclosed in $)</t>
  </si>
  <si>
    <t>Power product line revenue</t>
  </si>
  <si>
    <t>10-Q: Analog = Power + Signal Chain; $ split not disclosed. 2Q26 growth "led by Signal Chain" (S3)</t>
  </si>
  <si>
    <t>Signal Chain product line revenue</t>
  </si>
  <si>
    <t>Not disclosed; qualitative only</t>
  </si>
  <si>
    <t>Analog segment P&amp;L</t>
  </si>
  <si>
    <t>Cost of revenue</t>
  </si>
  <si>
    <t>4Q25 = FY25 (10-K) less 9M25 (Q3 10-Q)</t>
  </si>
  <si>
    <t>Gross profit</t>
  </si>
  <si>
    <t xml:space="preserve">  Gross margin</t>
  </si>
  <si>
    <t xml:space="preserve">  Incremental GM on Q/Q Δrev (driver)</t>
  </si>
  <si>
    <t>All-in driver (incl. depreciation): the +$8m 3Q26E depreciation step-up (Cash Flow Statement!H12) is not deducted separately. Mgmt guide (S5, 22-Jul call): 70-85% fall-through ex-depreciation; recent Analog quarters 81-89% incl. depreciation (D42:F42). Blended 3Q26E incremental GM 76.7% all-in = c.78.1% ex-dep. Sensitivity if read as ex-dep: -$8m GP = c.-$0.008 EPS.</t>
  </si>
  <si>
    <t>Research and development</t>
  </si>
  <si>
    <t>3Q26E flat Q/Q: CFO guided opex flat 2Q→3Q (S5)</t>
  </si>
  <si>
    <t xml:space="preserve">    % of revenue</t>
  </si>
  <si>
    <t>Selling, general &amp; admin. (SG&amp;A)</t>
  </si>
  <si>
    <t>Segment operating profit</t>
  </si>
  <si>
    <t xml:space="preserve">  Segment operating margin</t>
  </si>
  <si>
    <t xml:space="preserve">  Reported segment OP</t>
  </si>
  <si>
    <t>Segment - Embedded Processing: revenue build and segment P&amp;L</t>
  </si>
  <si>
    <t>Embedded Processing revenue build — driver ladder (TI does not disclose units or ASP; price/volume split is a modelled assumption)</t>
  </si>
  <si>
    <t>TI: pricing flat 1H26; Embedded pricing talks "more centered towards next year" (S5). 3Q26E +0.5% assumption</t>
  </si>
  <si>
    <t>Embedded Processing revenue</t>
  </si>
  <si>
    <t>Microcontrollers revenue</t>
  </si>
  <si>
    <t>10-Q: Embedded = microcontrollers + processors; $ split not disclosed (S3)</t>
  </si>
  <si>
    <t>Processors revenue</t>
  </si>
  <si>
    <t>Embedded Processing segment P&amp;L</t>
  </si>
  <si>
    <t>All-in driver (incl. depreciation; see Segment - Analog!I42). Mgmt 70-85% ex-depreciation guide (S5) is company-level; recent EP quarters 68-91% incl. depreciation (D42:F42); 65% is a judgmental assumption below that range.</t>
  </si>
  <si>
    <t>Income Statement</t>
  </si>
  <si>
    <t>Revenue</t>
  </si>
  <si>
    <t>3Q26E = sum of segment gross profit (segment fall-through drivers)</t>
  </si>
  <si>
    <t>Research &amp; development (R&amp;D)</t>
  </si>
  <si>
    <t>Restructuring charges/other</t>
  </si>
  <si>
    <t>3Q26E: none assumed (no restructuring disclosed since 4Q25)</t>
  </si>
  <si>
    <t>Acquisition charges (SLAB)</t>
  </si>
  <si>
    <t>3Q26E: flat at $17m per Jul 22 guidance (acquisition charges flat 2Q→3Q, S5)</t>
  </si>
  <si>
    <t>Operating profit</t>
  </si>
  <si>
    <t xml:space="preserve">  Operating margin</t>
  </si>
  <si>
    <t xml:space="preserve">  Check: OP − segments (= 0)</t>
  </si>
  <si>
    <t>Other income (expense), net</t>
  </si>
  <si>
    <t>3Q26E: OI&amp;E net of interest flat 2Q→3Q per guidance (S5)</t>
  </si>
  <si>
    <t>Interest and debt expense</t>
  </si>
  <si>
    <t>$500m 1.125% notes matured Sep 15 2026 (S26): &lt;$1m quarterly effect</t>
  </si>
  <si>
    <t>Income before income taxes</t>
  </si>
  <si>
    <t xml:space="preserve">  Pre-tax margin</t>
  </si>
  <si>
    <t xml:space="preserve">  Tax rate excl. discrete (driver)</t>
  </si>
  <si>
    <t>3Q26E: ~13% effective tax rate guided Jul 22 2026 (S5); discrete items assumed nil</t>
  </si>
  <si>
    <t xml:space="preserve">  Operating taxes (annual ETR)</t>
  </si>
  <si>
    <t xml:space="preserve">  Discrete tax items</t>
  </si>
  <si>
    <t>1Q26/2Q26 discrete benefits added ~5c each vs guidance; none assumed for 3Q26E</t>
  </si>
  <si>
    <t>Provision for income taxes</t>
  </si>
  <si>
    <t xml:space="preserve">  Effective tax rate</t>
  </si>
  <si>
    <t>Net income</t>
  </si>
  <si>
    <t xml:space="preserve">  Net margin</t>
  </si>
  <si>
    <t xml:space="preserve">  RSU allocation, % of NI (driver)</t>
  </si>
  <si>
    <t>Two-class method; 3Q26E 0.56% ≈ 2Q26 ratio (11/1,980)</t>
  </si>
  <si>
    <t xml:space="preserve">  Income allocated to RSUs</t>
  </si>
  <si>
    <t>NI allocated to common stock</t>
  </si>
  <si>
    <t>Weighted avg. basic shares (m)</t>
  </si>
  <si>
    <t>Weighted avg. diluted shares (m)</t>
  </si>
  <si>
    <t>Basic EPS (GAAP)</t>
  </si>
  <si>
    <t>Diluted EPS (GAAP)</t>
  </si>
  <si>
    <t xml:space="preserve">  Reported diluted EPS (filings)</t>
  </si>
  <si>
    <t xml:space="preserve">  Check: EPS − reported (= 0)</t>
  </si>
  <si>
    <t xml:space="preserve">  Check: EPS × shares − NI (= 0)</t>
  </si>
  <si>
    <t>GAAP to normalized (consensus basis: S&amp;P Capital IQ normalized diluted EPS) bridge</t>
  </si>
  <si>
    <t>GAAP net income (pre-RSU)</t>
  </si>
  <si>
    <t>CapIQ normalized actuals for 4Q25 1.31, 1Q26 1.71, 2Q26 2.17 round to this before-allocation, 0%-tax bridge; 3Q25 does not (1.5853 vs 1.57, C86) (S1)</t>
  </si>
  <si>
    <t xml:space="preserve">  Add: restructuring (pre-tax)</t>
  </si>
  <si>
    <t xml:space="preserve">  Add: acquisition chgs (pre-tax)</t>
  </si>
  <si>
    <t xml:space="preserve">  Tax rate on adjustments (driver)</t>
  </si>
  <si>
    <t xml:space="preserve">  Less: tax effect of adjustments</t>
  </si>
  <si>
    <t>Normalized net income</t>
  </si>
  <si>
    <t>Normalized diluted EPS</t>
  </si>
  <si>
    <t>Historical n/a: prior-year normalized EPS on the H83 basis (3Q24, 4Q24, 1Q25, 2Q25, FY24) is not built in the workbook; CapIQ 1Q25/2Q25 vendor actuals (Inputs!E89:E90) are not mixed in.</t>
  </si>
  <si>
    <t xml:space="preserve">  CapIQ normalized EPS actual</t>
  </si>
  <si>
    <t xml:space="preserve">  Model − CapIQ actual (info only)</t>
  </si>
  <si>
    <t xml:space="preserve">  Memo: two-class normalized EPS</t>
  </si>
  <si>
    <t>Alternative basis (after RSU allocation); c.1.4c lower than H83; not the consensus basis (CapIQ actuals 4Q25-2Q26 match the H83 basis)</t>
  </si>
  <si>
    <t>Annual reconciliation (flows only)</t>
  </si>
  <si>
    <t xml:space="preserve">  Check FY25 revenue: 1H+3Q+4Q</t>
  </si>
  <si>
    <t xml:space="preserve">  Check FY25 OP: 1H+3Q+4Q</t>
  </si>
  <si>
    <t xml:space="preserve">  Check FY25 NI: 1H+3Q+4Q</t>
  </si>
  <si>
    <t>Normalized EPS sensitivity: tax effect on add-backs (memo only; not applied; primary H83 keeps H78 = 0%)</t>
  </si>
  <si>
    <t xml:space="preserve">  CapIQ actual rounding half-band ($/sh)</t>
  </si>
  <si>
    <t>Vendor actuals (row 85) are rounded to $0.01, so each is consistent with a ±$0.005 band</t>
  </si>
  <si>
    <t xml:space="preserve">  Implied tax effect on add-backs: floor (t &gt;)</t>
  </si>
  <si>
    <t>H96:H97 = feasible range across 3Q25-2Q26 (binding: 3Q25 floor, 4Q25 ceiling). Historical data permit a range, not a uniquely known future rate</t>
  </si>
  <si>
    <t xml:space="preserve">  Implied tax effect on add-backs: ceiling (t ≤)</t>
  </si>
  <si>
    <t xml:space="preserve">  Normalized EPS with add-backs taxed at modeled ETR (H46)</t>
  </si>
  <si>
    <t>Sensitivity only; uses the already-modeled 13% ETR. Primary H83 and frozen Street $2.42 unchanged</t>
  </si>
  <si>
    <t xml:space="preserve">    Difference vs primary H83</t>
  </si>
  <si>
    <t>Both round to $2.54; not equal at full precision</t>
  </si>
  <si>
    <t xml:space="preserve">    Difference vs H83 at feasible floor rate (H96)</t>
  </si>
  <si>
    <t xml:space="preserve">    Difference vs H83 at feasible ceiling rate (H97)</t>
  </si>
  <si>
    <t>Balance Sheet</t>
  </si>
  <si>
    <t>Assets</t>
  </si>
  <si>
    <t>Cash and cash equivalents</t>
  </si>
  <si>
    <t>3Q26E = ending cash from Cash Flow Statement</t>
  </si>
  <si>
    <t>Short-term investments</t>
  </si>
  <si>
    <t>Accounts receivable, net</t>
  </si>
  <si>
    <t xml:space="preserve">    DSO, days (driver)</t>
  </si>
  <si>
    <t>3Q26E 42 days = 2Q26 level (10-Q: DSO 42)</t>
  </si>
  <si>
    <t xml:space="preserve">      Change Q/Q (days)</t>
  </si>
  <si>
    <t xml:space="preserve">      Change Y/Y (days)</t>
  </si>
  <si>
    <t xml:space="preserve">  Raw materials</t>
  </si>
  <si>
    <t xml:space="preserve">  Work in process</t>
  </si>
  <si>
    <t xml:space="preserve">  Finished goods</t>
  </si>
  <si>
    <t>Inventories</t>
  </si>
  <si>
    <t xml:space="preserve">    Days of inventory (driver)</t>
  </si>
  <si>
    <t>3Q26E 190 days (2Q26 ~198 on this basis); TI ramping loadings while drawing inventory</t>
  </si>
  <si>
    <t xml:space="preserve">    Inventory implied by DIO</t>
  </si>
  <si>
    <t>Prepaid expenses &amp; other current</t>
  </si>
  <si>
    <t>Includes CHIPS Act incentives receivable; CHIPS cash receipts reduce it</t>
  </si>
  <si>
    <t>Total current assets</t>
  </si>
  <si>
    <t>PP&amp;E at cost</t>
  </si>
  <si>
    <t>Accumulated depreciation</t>
  </si>
  <si>
    <t>PP&amp;E, net</t>
  </si>
  <si>
    <t>Goodwill</t>
  </si>
  <si>
    <t>Deferred tax assets</t>
  </si>
  <si>
    <t>Capitalized software licenses</t>
  </si>
  <si>
    <t>Overfunded retirement plans</t>
  </si>
  <si>
    <t>Other long-term assets</t>
  </si>
  <si>
    <t>Total assets</t>
  </si>
  <si>
    <t>Liabilities and stockholders’ equity</t>
  </si>
  <si>
    <t>Current portion of LT debt</t>
  </si>
  <si>
    <t>3Q26E: $500m 1.125% notes repaid at Sep 15 2026 maturity (S26)</t>
  </si>
  <si>
    <t>Accounts payable</t>
  </si>
  <si>
    <t>Accrued compensation</t>
  </si>
  <si>
    <t>Income taxes payable</t>
  </si>
  <si>
    <t>Accrued expenses &amp; other</t>
  </si>
  <si>
    <t>Total current liabilities</t>
  </si>
  <si>
    <t>Long-term debt</t>
  </si>
  <si>
    <t>Underfunded retirement plans</t>
  </si>
  <si>
    <t>Deferred tax liabilities</t>
  </si>
  <si>
    <t>Other long-term liabilities</t>
  </si>
  <si>
    <t>Total liabilities</t>
  </si>
  <si>
    <t>Common stock</t>
  </si>
  <si>
    <t>Paid-in capital</t>
  </si>
  <si>
    <t>3Q26E simplification: stock comp, option proceeds and other financing all booked to paid-in capital</t>
  </si>
  <si>
    <t>Retained earnings</t>
  </si>
  <si>
    <t>Treasury common stock at cost</t>
  </si>
  <si>
    <t>Accumulated OCI (loss)</t>
  </si>
  <si>
    <t>Total stockholders’ equity</t>
  </si>
  <si>
    <t>Total liabilities and equity</t>
  </si>
  <si>
    <t>Check: A − L − E (= 0)</t>
  </si>
  <si>
    <t xml:space="preserve">  Reported total assets (filings)</t>
  </si>
  <si>
    <t xml:space="preserve">  Check: assets − reported (= 0)</t>
  </si>
  <si>
    <t>Memo</t>
  </si>
  <si>
    <t>Total debt</t>
  </si>
  <si>
    <t>Cash and ST investments</t>
  </si>
  <si>
    <t>Net debt</t>
  </si>
  <si>
    <t xml:space="preserve">  Net debt / annualised OP</t>
  </si>
  <si>
    <t>Cash Flow Statement</t>
  </si>
  <si>
    <t>Operating activities</t>
  </si>
  <si>
    <t xml:space="preserve">  Depreciation</t>
  </si>
  <si>
    <t xml:space="preserve">    Depreciation Δ Q/Q (driver)</t>
  </si>
  <si>
    <t>3Q26E +$8m (2Q26 +$6m Q/Q; new 300mm capacity placed in service gradually)</t>
  </si>
  <si>
    <t xml:space="preserve">    Depreciation % Y/Y</t>
  </si>
  <si>
    <t xml:space="preserve">  Amortization of software</t>
  </si>
  <si>
    <t xml:space="preserve">  Stock compensation</t>
  </si>
  <si>
    <t>3Q26E $95m (3Q25 $93m; 2Q is seasonally highest)</t>
  </si>
  <si>
    <t xml:space="preserve">  (Gains) losses on asset sales</t>
  </si>
  <si>
    <t xml:space="preserve">  Deferred taxes</t>
  </si>
  <si>
    <t xml:space="preserve">  Accounts receivable</t>
  </si>
  <si>
    <t xml:space="preserve">  Inventories</t>
  </si>
  <si>
    <t xml:space="preserve">  Prepaid expenses &amp; other current</t>
  </si>
  <si>
    <t xml:space="preserve">  AP and accrued expenses</t>
  </si>
  <si>
    <t xml:space="preserve">  Accrued compensation</t>
  </si>
  <si>
    <t>3Q26E +$130m: seasonal variable-comp accrual (3Q25 +$121m)</t>
  </si>
  <si>
    <t xml:space="preserve">  Income taxes payable</t>
  </si>
  <si>
    <t xml:space="preserve">  Retirement plan funded status</t>
  </si>
  <si>
    <t xml:space="preserve">  Other</t>
  </si>
  <si>
    <t>Cash flow from operations</t>
  </si>
  <si>
    <t>Investing activities</t>
  </si>
  <si>
    <t xml:space="preserve">  Capital expenditures</t>
  </si>
  <si>
    <t>3Q26E $650m: 2026 capex guide $2-3bn, "if anything higher end" (S5); 1H26 $1,190m</t>
  </si>
  <si>
    <t xml:space="preserve">    Capex Q/Q change ($m)</t>
  </si>
  <si>
    <t xml:space="preserve">    Capex % Y/Y</t>
  </si>
  <si>
    <t xml:space="preserve">  CHIPS Act incentive proceeds</t>
  </si>
  <si>
    <t>3Q26E nil: receipts are lumpy (S5); no 3Q receipt disclosed before cutoff</t>
  </si>
  <si>
    <t xml:space="preserve">  Proceeds from asset sales</t>
  </si>
  <si>
    <t xml:space="preserve">  Purchases of ST investments</t>
  </si>
  <si>
    <t xml:space="preserve">  Proceeds from ST investments</t>
  </si>
  <si>
    <t xml:space="preserve">  Other investing</t>
  </si>
  <si>
    <t>3Q26E: software licence additions ≈ amortization</t>
  </si>
  <si>
    <t>Cash flow from investing</t>
  </si>
  <si>
    <t>Financing activities</t>
  </si>
  <si>
    <t xml:space="preserve">  Issuance of long-term debt</t>
  </si>
  <si>
    <t xml:space="preserve">  Repayment of debt</t>
  </si>
  <si>
    <t>1.125% notes due Sep 15 2026, $500m (S26)</t>
  </si>
  <si>
    <t xml:space="preserve">  Dividends paid</t>
  </si>
  <si>
    <t>3Q26E: $1.42 × shares outstanding at 2Q26 end</t>
  </si>
  <si>
    <t xml:space="preserve">  Stock repurchases</t>
  </si>
  <si>
    <t>3Q26E $50m: buybacks minimal since 1Q26 ($27m in 2Q26)</t>
  </si>
  <si>
    <t xml:space="preserve">  Proceeds from stock transactions</t>
  </si>
  <si>
    <t>3Q26E $150m option exercises (2Q26 $445m at rising share price)</t>
  </si>
  <si>
    <t xml:space="preserve">  Other financing</t>
  </si>
  <si>
    <t>3Q26E = 2Q26</t>
  </si>
  <si>
    <t>Cash flow from financing</t>
  </si>
  <si>
    <t>Net change in cash</t>
  </si>
  <si>
    <t>Cash, beginning of period</t>
  </si>
  <si>
    <t>Cash, end of period</t>
  </si>
  <si>
    <t>Check: end cash − BS cash (= 0)</t>
  </si>
  <si>
    <t xml:space="preserve">  Reported CFO (filings)</t>
  </si>
  <si>
    <t xml:space="preserve">  Check: CFO − reported (= 0)</t>
  </si>
  <si>
    <t>Free cash flow (TI definition: CFO − capex + CHIPS Act incentive proceeds)</t>
  </si>
  <si>
    <t>Free cash flow (TI definition)</t>
  </si>
  <si>
    <t xml:space="preserve">  FCF % of revenue</t>
  </si>
  <si>
    <t xml:space="preserve">  CFO % of revenue</t>
  </si>
  <si>
    <t xml:space="preserve">  Capex % of revenue</t>
  </si>
  <si>
    <t xml:space="preserve">  D&amp;A (memo)</t>
  </si>
  <si>
    <t>Issuer-defined EBITDA: not applicable - TI does not report or define EBITDA (S3, S8); D&amp;A memo shown for reference only. CapIQ EBITDA consensus (Inputs!C51) is a CapIQ measure, not issuer-defined.</t>
  </si>
  <si>
    <t xml:space="preserve">  Memo: CHIPS ITC used against tax</t>
  </si>
  <si>
    <t>FY25 $335m verified: 10-K supplemental cash flow 'ITC used to reduce income taxes payable' (S8); equals CHIPS proceeds G32 by coincidence ($260m ITC proceeds + $75m direct funding). 3Q25 43 = 9M25 246 (S11) - 1H25 203 (S3); 4Q25 89 (S9). Memo only.</t>
  </si>
  <si>
    <t xml:space="preserve">  Check FY25 CFO: 1H+3Q+4Q</t>
  </si>
  <si>
    <t xml:space="preserve">  Check FY25 capex: 1H+3Q+4Q</t>
  </si>
  <si>
    <t xml:space="preserve">  Check FY25 Δcash: 1H+3Q+4Q</t>
  </si>
  <si>
    <t>Geo: revenue by end-customer headquarters location</t>
  </si>
  <si>
    <t>Revenue by end-customer headquarters (TI estimate)</t>
  </si>
  <si>
    <t>United States</t>
  </si>
  <si>
    <t xml:space="preserve">    % of total (3Q26E = 2Q26 mix)</t>
  </si>
  <si>
    <t>China</t>
  </si>
  <si>
    <t>Rest of Asia</t>
  </si>
  <si>
    <t>Europe, Middle East and Africa</t>
  </si>
  <si>
    <t>Japan</t>
  </si>
  <si>
    <t>Rest of world</t>
  </si>
  <si>
    <t xml:space="preserve">  Check: shares − 100% (= 0)</t>
  </si>
  <si>
    <t>Check: Geo − total revenue (= 0)</t>
  </si>
  <si>
    <t>Memo: Germany HQ customers, %</t>
  </si>
  <si>
    <t xml:space="preserve">  Check FY25 US: 1H+3Q+4Q (= 0)</t>
  </si>
  <si>
    <t>Share Count</t>
  </si>
  <si>
    <t>Period-end share count (millions)</t>
  </si>
  <si>
    <t>Common shares issued</t>
  </si>
  <si>
    <t>Treasury shares</t>
  </si>
  <si>
    <t>Shares outstanding, period end</t>
  </si>
  <si>
    <t xml:space="preserve">    Q/Q change (m)</t>
  </si>
  <si>
    <t>Buybacks and issuance</t>
  </si>
  <si>
    <t>Shares repurchased (m)</t>
  </si>
  <si>
    <t>FY25 = 8.5m: 10-K MD&amp;A financing activities, '$1.48 billion to repurchase 8.5 million shares' (S8); treasury table shows 8 in whole millions. Cross-check 9M25 6.1m (S11) + 4Q25 2.435903m (D16) = 8.54m. Not used in 3Q26E shares.</t>
  </si>
  <si>
    <t>Buyback spend ($m)</t>
  </si>
  <si>
    <t xml:space="preserve">  Avg. repurchase price ($/sh)</t>
  </si>
  <si>
    <t>3Q26E $260 ≈ 3Q26 trading range (S23)</t>
  </si>
  <si>
    <t xml:space="preserve">    Q/Q change ($/sh)</t>
  </si>
  <si>
    <t>Shares issued for stock comp (m)</t>
  </si>
  <si>
    <t>Treasury roll-forward, rounded to whole millions; 3Q26E 1.0m</t>
  </si>
  <si>
    <t>Stock transaction proceeds ($m)</t>
  </si>
  <si>
    <t>Weighted average shares behind EPS (millions)</t>
  </si>
  <si>
    <t>Weighted avg. basic shares</t>
  </si>
  <si>
    <t>3Q26E = average of opening and closing shares outstanding</t>
  </si>
  <si>
    <t xml:space="preserve">  Dilutive effect of stock plans</t>
  </si>
  <si>
    <t>3Q26E = 2Q26 (8m, 10-Q EPS note); higher share price could add ~1m</t>
  </si>
  <si>
    <t xml:space="preserve">    Y/Y change (m)</t>
  </si>
  <si>
    <t>Weighted avg. diluted shares</t>
  </si>
  <si>
    <t>Dividends</t>
  </si>
  <si>
    <t>Dividends declared per share</t>
  </si>
  <si>
    <t>3Q26 dividend $1.42 (raised to $1.52 from 4Q26, S18)</t>
  </si>
  <si>
    <t>Dividends paid ($m)</t>
  </si>
  <si>
    <t>Guidance: company outlook vs reported results</t>
  </si>
  <si>
    <t>Date issued</t>
  </si>
  <si>
    <t>Low</t>
  </si>
  <si>
    <t>High</t>
  </si>
  <si>
    <t>Midpoint</t>
  </si>
  <si>
    <t>Actual</t>
  </si>
  <si>
    <t>Actual vs mid</t>
  </si>
  <si>
    <t>Beat / miss</t>
  </si>
  <si>
    <t>Shortcut 3Q26E</t>
  </si>
  <si>
    <t>1Q25A</t>
  </si>
  <si>
    <t>S13</t>
  </si>
  <si>
    <t>2Q25A</t>
  </si>
  <si>
    <t>S14</t>
  </si>
  <si>
    <t>S15</t>
  </si>
  <si>
    <t>S12</t>
  </si>
  <si>
    <t>S9</t>
  </si>
  <si>
    <t>S7</t>
  </si>
  <si>
    <t>pending</t>
  </si>
  <si>
    <t>S4</t>
  </si>
  <si>
    <t>S5</t>
  </si>
  <si>
    <t>FY26E</t>
  </si>
  <si>
    <t>Capital expenditures ($m)</t>
  </si>
  <si>
    <t>S3</t>
  </si>
  <si>
    <t>Track record (last 6 quarters)</t>
  </si>
  <si>
    <t>Average revenue vs guidance midpoint</t>
  </si>
  <si>
    <t>Smallest revenue vs guidance midpoint</t>
  </si>
  <si>
    <t>Quarters with revenue above midpoint (of 6)</t>
  </si>
  <si>
    <t>Average GAAP EPS vs guidance midpoint</t>
  </si>
  <si>
    <t>Qualitative 3Q26 guidance (Jul 22 2026 call, S5): opex, acquisition charges and OI&amp;E net of interest flat vs 2Q26; 70-85% fall-through ex-depreciation.</t>
  </si>
  <si>
    <t>EPS outcomes vs guidance included items outside guidance: 3Q25 −10c restructuring; 4Q25 −6c (non-cash goodwill impairment in Other plus tax-related items, S9/S10); 1Q26 +5c and 2Q26 +5c discrete tax benefits.</t>
  </si>
  <si>
    <t>Sources</t>
  </si>
  <si>
    <t>ID</t>
  </si>
  <si>
    <t>Published</t>
  </si>
  <si>
    <t>Publisher</t>
  </si>
  <si>
    <t>URL or file</t>
  </si>
  <si>
    <t>What it feeds</t>
  </si>
  <si>
    <t>Retrieved (UTC)</t>
  </si>
  <si>
    <t>S1</t>
  </si>
  <si>
    <t>S&amp;P Capital IQ (attached file)</t>
  </si>
  <si>
    <t>TXN_history.csv</t>
  </si>
  <si>
    <t>Six historical consensus/actual EPS and revenue pairs; beat-rate prior; normalized EPS basis check</t>
  </si>
  <si>
    <t>S2</t>
  </si>
  <si>
    <t>TXN_consensus.json</t>
  </si>
  <si>
    <t>Frozen consensus at cutoff (EPS 2.42 normalized, revenue $5,908.85m); Cover headline; Inputs summary row</t>
  </si>
  <si>
    <t>Texas Instruments / SEC EDGAR</t>
  </si>
  <si>
    <t>https://www.sec.gov/Archives/edgar/data/97476/000009747626000152/txn-20260630.htm</t>
  </si>
  <si>
    <t>2Q26 income statement, balance sheet, segments, geography, taxes, EPS, debt, Silicon Labs, 2026 capex guide</t>
  </si>
  <si>
    <t>Texas Instruments</t>
  </si>
  <si>
    <t>https://investor.ti.com/static-files/82caba02-3b0a-4452-933e-5b97274b4db6</t>
  </si>
  <si>
    <t>2Q26 earnings release: quarterly cash flow, 3Q26 revenue/EPS guidance</t>
  </si>
  <si>
    <t>Texas Instruments (LSEG transcript)</t>
  </si>
  <si>
    <t>https://investor.ti.com/static-files/1eb79e47-24c2-40f1-84b8-743512b801fa</t>
  </si>
  <si>
    <t>3Q26 ETR ~13%, opex/OI&amp;E flat, 70-85% fall-through, pricing commentary, 2Q26 end-market growth</t>
  </si>
  <si>
    <t>S6</t>
  </si>
  <si>
    <t>Texas Instruments / SEC (10-Q)</t>
  </si>
  <si>
    <t>https://investor.ti.com/static-files/d3ae9c8e-7617-4f0c-8362-bfb9cb80ca2e</t>
  </si>
  <si>
    <t>1Q26 statements, segments, geography, taxes, buybacks</t>
  </si>
  <si>
    <t>https://www.ti.com/about-ti/newsroom/news-releases/2026/2026-04-22-ti-reports-first-quarter-2026-financial-results-and-shareholder-returns.html</t>
  </si>
  <si>
    <t>2Q26 guidance ($5.00-5.40bn; EPS $1.77-2.05)</t>
  </si>
  <si>
    <t>S8</t>
  </si>
  <si>
    <t>Texas Instruments / SEC EDGAR (10-K)</t>
  </si>
  <si>
    <t>https://www.sec.gov/Archives/edgar/data/97476/000009747626000059/txn-20251231.htm</t>
  </si>
  <si>
    <t>FY25 statements, segment detail, geography, debt schedule, buybacks</t>
  </si>
  <si>
    <t>https://investor.ti.com/static-files/74f9f431-2080-4a7f-aa91-a772127eac39</t>
  </si>
  <si>
    <t>4Q25 quarterly income statement and cash flow, FY25 cash flow, 1Q26 guidance</t>
  </si>
  <si>
    <t>S10</t>
  </si>
  <si>
    <t>https://investor.ti.com/static-files/7901445c-3338-4108-81d2-872ae768cf9d</t>
  </si>
  <si>
    <t>FY25 revenue by end market</t>
  </si>
  <si>
    <t>S11</t>
  </si>
  <si>
    <t>Texas Instruments / SEC EDGAR (10-Q)</t>
  </si>
  <si>
    <t>https://www.sec.gov/Archives/edgar/data/97476/000009747625000060/txn-20250930.htm</t>
  </si>
  <si>
    <t>3Q25 statements, segments, geography, 9M25 comparatives, buybacks</t>
  </si>
  <si>
    <t>https://www.prnewswire.com/news-releases/ti-reports-third-quarter-2025-financial-results-and-shareholder-returns-302590540.html</t>
  </si>
  <si>
    <t>3Q25 quarterly cash flow; 4Q25 guidance</t>
  </si>
  <si>
    <t>https://www.ti.com/about-ti/newsroom/news-releases/2025/2025-01-23-ti-reports-q4-2024-and-2024-financial-results-and-shareholder-returns.html</t>
  </si>
  <si>
    <t>1Q25 guidance; 4Q24 comparatives</t>
  </si>
  <si>
    <t>https://www.ti.com/about-ti/newsroom/news-releases/2025/2025-04-23-ti-reports-first-quarter-2025-financial-results-and-shareholder-returns.html</t>
  </si>
  <si>
    <t>2Q25 guidance</t>
  </si>
  <si>
    <t>https://investor.ti.com/static-files/d4351ef2-83b7-48e9-aab3-7349d25957f9</t>
  </si>
  <si>
    <t>3Q25 guidance</t>
  </si>
  <si>
    <t>S16</t>
  </si>
  <si>
    <t>https://investor.ti.com/upcoming-events</t>
  </si>
  <si>
    <t>Issuer calendar: 3Q26 call Oct 21 2026 3:30 PM CDT; results not yet released at cutoff</t>
  </si>
  <si>
    <t>S17</t>
  </si>
  <si>
    <t>Texas Instruments / PRNewswire</t>
  </si>
  <si>
    <t>https://investor.ti.com/news-releases/news-release-details/texas-instruments-webcast-q3-2026-earnings-conference-call</t>
  </si>
  <si>
    <t>Report date confirmation</t>
  </si>
  <si>
    <t>S18</t>
  </si>
  <si>
    <t>Texas Instruments / SEC (8-K)</t>
  </si>
  <si>
    <t>https://www.sec.gov/Archives/edgar/data/97476/000095010326014118/dp253473_8k.htm</t>
  </si>
  <si>
    <t>Dividend raised to $1.52 from 4Q26 (3Q26 dividend $1.42)</t>
  </si>
  <si>
    <t>S19</t>
  </si>
  <si>
    <t>AlphaGBM summary of Citi Research note (Sep 10)</t>
  </si>
  <si>
    <t>https://www.alphagbm.com/en/insights/citi-semiconductors-tmt-day2-20260910</t>
  </si>
  <si>
    <t>Mid-quarter: TI sees longer lead times, stronger backlogs, broader industrial recovery</t>
  </si>
  <si>
    <t>S20</t>
  </si>
  <si>
    <t>Aetrix Electronics; EE Times (2026-09-24)</t>
  </si>
  <si>
    <t>https://www.aetrixelec.com/blog/texas-instruments-price-increase-september-2026-demand-margins</t>
  </si>
  <si>
    <t>TI price increases (Jul 1, Oct 1 rounds; Sep 1 letter) — Analog price driver</t>
  </si>
  <si>
    <t>S21</t>
  </si>
  <si>
    <t>Investing.com (STMicro at Citi TMT)</t>
  </si>
  <si>
    <t>https://www.investing.com/news/transcripts/stmicroelectronics-at-citis-2026-global-tmt-conference-margin-lift-ahead-93CH-4894576</t>
  </si>
  <si>
    <t>Peer: book-to-bill well above 1, industrial lead times to 50 weeks</t>
  </si>
  <si>
    <t>S22</t>
  </si>
  <si>
    <t>Analog Devices</t>
  </si>
  <si>
    <t>https://investor.analog.com/news-releases/news-release-details/analog-devices-reports-record-fiscal-third-quarter-2026</t>
  </si>
  <si>
    <t>Peer: FQ3 revenue +40% Y/Y, FQ4 guide $4.3bn</t>
  </si>
  <si>
    <t>S23</t>
  </si>
  <si>
    <t>CompaniesMarketCap / GoMarketCap / Business Quant</t>
  </si>
  <si>
    <t>https://companiesmarketcap.com/texas-instruments/marketcap/</t>
  </si>
  <si>
    <t>Market cap $252.49bn (Oct 18 2026); size bucket for prior</t>
  </si>
  <si>
    <t>S24</t>
  </si>
  <si>
    <t>Zacks via Yahoo Finance</t>
  </si>
  <si>
    <t>https://finance.yahoo.com/markets/stocks/articles/stay-ahead-game-texas-instruments-121525989.html</t>
  </si>
  <si>
    <t>Newer consensus (EPS $2.38, revenue $5.91bn) — recorded separately</t>
  </si>
  <si>
    <t>S25</t>
  </si>
  <si>
    <t>AlphaStreet</t>
  </si>
  <si>
    <t>https://news.alphastreet.com/texas-instruments-q3-2026-earnings-preview-october-21-street-expects-2-42-eps/</t>
  </si>
  <si>
    <t>Newer consensus (EPS $2.42, revenue $5.91bn, 23 analysts)</t>
  </si>
  <si>
    <t>S26</t>
  </si>
  <si>
    <t>Texas Instruments (FWP)</t>
  </si>
  <si>
    <t>https://investor.ti.com/static-files/afc0b5e4-9874-4d15-94bf-e8e7ba3ff95a</t>
  </si>
  <si>
    <t>1.125% notes due Sep 15 2026 ($500m) — repayment in 3Q26</t>
  </si>
  <si>
    <t>S27</t>
  </si>
  <si>
    <t>FactSet</t>
  </si>
  <si>
    <t>https://insight.factset.com/sp-500-earnings-season-update-july-31-2026</t>
  </si>
  <si>
    <t>Playbook reference: S&amp;P 500 five-year beat rate 78% (cohort prior context)</t>
  </si>
  <si>
    <t>S28</t>
  </si>
  <si>
    <t>Hudson Labs</t>
  </si>
  <si>
    <t>https://www.hudson-labs.com/research/texas-instruments-q3-2026-earnings-preview-txn-results</t>
  </si>
  <si>
    <t>Consensus gross margin ~61.8% for 3Q26 (context)</t>
  </si>
  <si>
    <t>S29</t>
  </si>
  <si>
    <t>Texas Instruments (Bernstein SDC transcript)</t>
  </si>
  <si>
    <t>https://investor.ti.com/static-files/ebb0f0d1-46c1-45d8-b4e4-63f048b92413</t>
  </si>
  <si>
    <t>Context only (management commentary, May 2026)</t>
  </si>
  <si>
    <t>Tab coverage: all standard tabs carry content. Other (DLP, calculators) is not a reportable segment (S3 Note 1), so it has no Segment tab; it is modelled on Revenue summary.</t>
  </si>
  <si>
    <t>Geo tab included: TI discloses six customer-HQ regions quarterly (S3). No Dates, Consensus or Checks tabs by design; check summary is in artifacts/checks.md.</t>
  </si>
  <si>
    <t>Inputs tab (last) holds the complete CapIQ summary row and all six history rows plus prior-period comparatives from the filings listed above.</t>
  </si>
  <si>
    <t>Post-cutoff items seen while searching (StoneX, KeyCorp/MarketBeat, ad-hoc-news pieces dated 2026-10-19/20) were excluded. No 3Q26 actual results were seen.</t>
  </si>
  <si>
    <t>Inputs — CapIQ raw files and prior-period comparatives</t>
  </si>
  <si>
    <t>A. S&amp;P Capital IQ summary row (TXN_consensus.json → summary_row), complete and unedited; blank source values left blank</t>
  </si>
  <si>
    <t>Field</t>
  </si>
  <si>
    <t>Value</t>
  </si>
  <si>
    <t>ticker</t>
  </si>
  <si>
    <t>TXN</t>
  </si>
  <si>
    <t>company_name</t>
  </si>
  <si>
    <t>exchange_ticker</t>
  </si>
  <si>
    <t>NasdaqGS:TXN</t>
  </si>
  <si>
    <t>capiq_company_id</t>
  </si>
  <si>
    <t>currency_basis</t>
  </si>
  <si>
    <t>USD</t>
  </si>
  <si>
    <t>fiscal_year_end</t>
  </si>
  <si>
    <t>Dec-31</t>
  </si>
  <si>
    <t>fiscal_quarter</t>
  </si>
  <si>
    <t>FQ3 2026 - Sep 2026</t>
  </si>
  <si>
    <t>quarter_end_date</t>
  </si>
  <si>
    <t>expected_report_date</t>
  </si>
  <si>
    <t>eps_basis</t>
  </si>
  <si>
    <t>normalized diluted and GAAP diluted, as labelled</t>
  </si>
  <si>
    <t>eps_normalized_estimates</t>
  </si>
  <si>
    <t>eps_normalized_contributors</t>
  </si>
  <si>
    <t>detail_tab_total_contributors</t>
  </si>
  <si>
    <t>eps_normalized_mean</t>
  </si>
  <si>
    <t>eps_normalized_median</t>
  </si>
  <si>
    <t>eps_normalized_high</t>
  </si>
  <si>
    <t>eps_normalized_low</t>
  </si>
  <si>
    <t>eps_normalized_std_dev</t>
  </si>
  <si>
    <t>eps_normalized_n_est</t>
  </si>
  <si>
    <t>eps_normalized_guidance</t>
  </si>
  <si>
    <t>eps_normalized_guidance_low</t>
  </si>
  <si>
    <t>eps_normalized_guidance_high</t>
  </si>
  <si>
    <t>eps_gaap_mean</t>
  </si>
  <si>
    <t>eps_gaap_median</t>
  </si>
  <si>
    <t>eps_gaap_high</t>
  </si>
  <si>
    <t>eps_gaap_low</t>
  </si>
  <si>
    <t>eps_gaap_std_dev</t>
  </si>
  <si>
    <t>eps_gaap_n_est</t>
  </si>
  <si>
    <t>eps_gaap_guidance</t>
  </si>
  <si>
    <t>eps_gaap_guidance_low</t>
  </si>
  <si>
    <t>eps_gaap_guidance_high</t>
  </si>
  <si>
    <t>revenue_mean</t>
  </si>
  <si>
    <t>revenue_median</t>
  </si>
  <si>
    <t>revenue_high</t>
  </si>
  <si>
    <t>revenue_low</t>
  </si>
  <si>
    <t>revenue_std_dev</t>
  </si>
  <si>
    <t>revenue_n_est</t>
  </si>
  <si>
    <t>revenue_guidance</t>
  </si>
  <si>
    <t>revenue_guidance_low</t>
  </si>
  <si>
    <t>revenue_guidance_high</t>
  </si>
  <si>
    <t>ebitda</t>
  </si>
  <si>
    <t>ebit</t>
  </si>
  <si>
    <t>ebt_excl_excep</t>
  </si>
  <si>
    <t>ebt_gaap</t>
  </si>
  <si>
    <t>net_income_excl_excep</t>
  </si>
  <si>
    <t>net_income_gaap</t>
  </si>
  <si>
    <t>gross_margin_pct</t>
  </si>
  <si>
    <t>effective_tax_rate_pct</t>
  </si>
  <si>
    <t>d_and_a</t>
  </si>
  <si>
    <t>capex</t>
  </si>
  <si>
    <t>cfo</t>
  </si>
  <si>
    <t>fcf</t>
  </si>
  <si>
    <t>interest_expense</t>
  </si>
  <si>
    <t>net_debt</t>
  </si>
  <si>
    <t>nav</t>
  </si>
  <si>
    <t>roe_pct</t>
  </si>
  <si>
    <t>target_price_mean</t>
  </si>
  <si>
    <t>target_price_median</t>
  </si>
  <si>
    <t>target_price_high</t>
  </si>
  <si>
    <t>target_price_low</t>
  </si>
  <si>
    <t>target_price_std_dev</t>
  </si>
  <si>
    <t>target_price_n_est</t>
  </si>
  <si>
    <t>recommendation</t>
  </si>
  <si>
    <t>Outperform</t>
  </si>
  <si>
    <t>recommendation_score</t>
  </si>
  <si>
    <t>last_close_price</t>
  </si>
  <si>
    <t>wk52_high_low</t>
  </si>
  <si>
    <t>334.03/152.73</t>
  </si>
  <si>
    <t>estimates_captured_at</t>
  </si>
  <si>
    <t>notes</t>
  </si>
  <si>
    <t>normalized-EPS consensus rests on 10 of 15 contributors while GAAP has 23 of 25, so the normalized panel is the thinner of the two</t>
  </si>
  <si>
    <t>file.as_of_date</t>
  </si>
  <si>
    <t>file.analyst_count</t>
  </si>
  <si>
    <t>file.consensus_eps</t>
  </si>
  <si>
    <t>file.consensus_revenue_m</t>
  </si>
  <si>
    <t>file.currency</t>
  </si>
  <si>
    <t>file.captured_precision</t>
  </si>
  <si>
    <t>date only, user confirmed</t>
  </si>
  <si>
    <t>file.summary_sha256</t>
  </si>
  <si>
    <t>e59b846434f90c9b5de8c2ed951fd1b25c1f6d0217c680f72dea41992051a49d</t>
  </si>
  <si>
    <t>B. S&amp;P Capital IQ history (TXN_history.csv), all six rows; surprise columns are formulas</t>
  </si>
  <si>
    <t>period_end_date</t>
  </si>
  <si>
    <t>report_date</t>
  </si>
  <si>
    <t>eps_normalized_consensus</t>
  </si>
  <si>
    <t>eps_normalized_actual</t>
  </si>
  <si>
    <t>eps_gaap_consensus</t>
  </si>
  <si>
    <t>eps_gaap_actual</t>
  </si>
  <si>
    <t>revenue_m_consensus</t>
  </si>
  <si>
    <t>revenue_m_actual</t>
  </si>
  <si>
    <t>norm_surprise_$</t>
  </si>
  <si>
    <t>strict_beat</t>
  </si>
  <si>
    <t>C. Prior-period comparatives from SEC filings (used for Y/Y, Q/Q and annual reconciliation)</t>
  </si>
  <si>
    <t>Line item ($m, except per share)</t>
  </si>
  <si>
    <t>3Q24A</t>
  </si>
  <si>
    <t>4Q24A</t>
  </si>
  <si>
    <t>FY24A</t>
  </si>
  <si>
    <t>1H25A</t>
  </si>
  <si>
    <t>9M25A</t>
  </si>
  <si>
    <t>9M24A</t>
  </si>
  <si>
    <t>EP revenue</t>
  </si>
  <si>
    <t>Other revenue</t>
  </si>
  <si>
    <t>R&amp;D</t>
  </si>
  <si>
    <t>SG&amp;A</t>
  </si>
  <si>
    <t>OI&amp;E</t>
  </si>
  <si>
    <t>Operating taxes (annual ETR)</t>
  </si>
  <si>
    <t>Diluted average shares (m)</t>
  </si>
  <si>
    <t>Analog cost of revenue</t>
  </si>
  <si>
    <t>Analog R&amp;D</t>
  </si>
  <si>
    <t>Analog SG&amp;A</t>
  </si>
  <si>
    <t>Analog gross profit</t>
  </si>
  <si>
    <t>Analog OP (reported)</t>
  </si>
  <si>
    <t>EP cost of revenue</t>
  </si>
  <si>
    <t>EP R&amp;D</t>
  </si>
  <si>
    <t>EP SG&amp;A</t>
  </si>
  <si>
    <t>EP gross profit</t>
  </si>
  <si>
    <t>EP operating profit (reported)</t>
  </si>
  <si>
    <t>Geo revenue: United States</t>
  </si>
  <si>
    <t>Geo revenue: China</t>
  </si>
  <si>
    <t>Geo revenue: Rest of Asia</t>
  </si>
  <si>
    <t>Geo revenue: EMEA</t>
  </si>
  <si>
    <t>Geo revenue: Japan</t>
  </si>
  <si>
    <t>Geo revenue: Rest of world</t>
  </si>
  <si>
    <t>Capital expenditures</t>
  </si>
  <si>
    <t>CHIPS Act incentive proceeds</t>
  </si>
  <si>
    <t>D. Size / history prior inputs (playbook §7)</t>
  </si>
  <si>
    <t>Unsourced flag; non-determinative: market cap $252.49bn (C139, S23) alone places TXN in the Large cohort, selecting the same 0.78 prior (C141).</t>
  </si>
  <si>
    <t>Strict normalized beats, b</t>
  </si>
  <si>
    <t>Valid normalized pairs, n</t>
  </si>
  <si>
    <t>Starting P(beat)</t>
  </si>
  <si>
    <t>Mean surprise ($/sh)</t>
  </si>
  <si>
    <t>Median surprise ($/sh)</t>
  </si>
  <si>
    <t>Smallest surprise ($/sh)</t>
  </si>
</sst>
</file>

<file path=xl/styles.xml><?xml version="1.0" encoding="utf-8"?>
<styleSheet xmlns="http://schemas.openxmlformats.org/spreadsheetml/2006/main">
  <numFmts count="13">
    <numFmt numFmtId="164" formatCode="yyyy-mm-dd"/>
    <numFmt numFmtId="165" formatCode="$0.00"/>
    <numFmt numFmtId="166" formatCode="0.0%_);(0.0%);–_)"/>
    <numFmt numFmtId="167" formatCode="#,##0.0_);(#,##0.0);–_)"/>
    <numFmt numFmtId="168" formatCode="#,##0_);(#,##0);–_)"/>
    <numFmt numFmtId="169" formatCode="0.0%"/>
    <numFmt numFmtId="170" formatCode="0"/>
    <numFmt numFmtId="171" formatCode="0.000"/>
    <numFmt numFmtId="172" formatCode="0.0x"/>
    <numFmt numFmtId="173" formatCode="General"/>
    <numFmt numFmtId="174" formatCode="$0.00_);($0.00)"/>
    <numFmt numFmtId="175" formatCode="$0.000_);($0.000)"/>
    <numFmt numFmtId="176" formatCode="$0.0000_);($0.0000)"/>
  </numFmts>
  <fonts count="33">
    <font>
      <sz val="11"/>
      <color theme="1"/>
      <name val="Calibri"/>
      <family val="2"/>
      <scheme val="minor"/>
    </font>
    <font>
      <b val="0"/>
      <i val="0"/>
      <strike val="0"/>
      <sz val="10"/>
      <color rgb="FF000000"/>
      <name val="Arial"/>
    </font>
    <font>
      <b val="0"/>
      <i val="0"/>
      <strike val="0"/>
      <sz val="10"/>
      <color rgb="FF0000FF"/>
      <name val="Arial"/>
    </font>
    <font>
      <b val="0"/>
      <i val="0"/>
      <strike val="0"/>
      <sz val="10"/>
      <color rgb="FF006100"/>
      <name val="Arial"/>
    </font>
    <font>
      <b val="0"/>
      <i/>
      <strike val="0"/>
      <sz val="10"/>
      <color rgb="FF000000"/>
      <name val="Arial"/>
    </font>
    <font>
      <b/>
      <i val="0"/>
      <strike val="0"/>
      <sz val="10"/>
      <color rgb="FF000000"/>
      <name val="Arial"/>
    </font>
    <font>
      <b val="0"/>
      <i/>
      <strike val="0"/>
      <sz val="10"/>
      <color rgb="FF006100"/>
      <name val="Arial"/>
    </font>
    <font>
      <b/>
      <i val="0"/>
      <strike val="0"/>
      <u/>
      <sz val="10"/>
      <color rgb="FF000000"/>
      <name val="Arial"/>
    </font>
    <font>
      <b val="0"/>
      <i val="0"/>
      <strike val="0"/>
      <sz val="10"/>
      <color rgb="FF595959"/>
      <name val="Arial"/>
    </font>
    <font>
      <b/>
      <i/>
      <strike val="0"/>
      <sz val="10"/>
      <color rgb="FF0000FF"/>
      <name val="Arial"/>
    </font>
    <font>
      <b val="0"/>
      <i/>
      <strike val="0"/>
      <sz val="10"/>
      <color rgb="FF0000FF"/>
      <name val="Arial"/>
    </font>
    <font>
      <b/>
      <i val="0"/>
      <strike val="0"/>
      <sz val="12"/>
      <color rgb="FF000000"/>
      <name val="Arial"/>
    </font>
    <font>
      <b/>
      <i val="0"/>
      <strike val="0"/>
      <sz val="10"/>
      <color rgb="FF0000FF"/>
      <name val="Arial"/>
    </font>
    <font>
      <b/>
      <i val="0"/>
      <strike val="0"/>
      <sz val="10"/>
      <color rgb="FF006100"/>
      <name val="Arial"/>
    </font>
    <font>
      <b val="0"/>
      <i val="0"/>
      <strike val="0"/>
      <sz val="10"/>
      <color rgb="FF595959"/>
      <name val="Arial"/>
      <family val="2"/>
      <scheme val="minor"/>
    </font>
    <font>
      <b/>
      <i val="0"/>
      <strike val="0"/>
      <sz val="10"/>
      <color rgb="FF000000"/>
      <name val="Arial"/>
      <family val="2"/>
      <scheme val="minor"/>
    </font>
    <font>
      <b val="0"/>
      <i val="0"/>
      <strike val="0"/>
      <sz val="10"/>
      <color rgb="FF0000FF"/>
      <name val="Arial"/>
      <family val="2"/>
      <scheme val="minor"/>
    </font>
    <font>
      <b val="0"/>
      <i val="0"/>
      <strike val="0"/>
      <sz val="10"/>
      <color rgb="FF000000"/>
      <name val="Arial"/>
      <family val="2"/>
      <scheme val="minor"/>
    </font>
    <font>
      <b val="0"/>
      <i val="0"/>
      <strike val="0"/>
      <sz val="10"/>
      <color rgb="FF006100"/>
      <name val="Arial"/>
      <family val="2"/>
      <scheme val="minor"/>
    </font>
    <font>
      <b val="0"/>
      <i val="0"/>
      <strike val="0"/>
      <sz val="10"/>
      <color rgb="FF595959"/>
      <name val="Calibri"/>
      <family val="2"/>
      <scheme val="minor"/>
    </font>
    <font>
      <b val="0"/>
      <i val="0"/>
      <strike val="0"/>
      <sz val="10"/>
      <color rgb="FF0000FF"/>
      <name val="Arial"/>
      <family val="2"/>
      <scheme val="minor"/>
    </font>
    <font>
      <b val="0"/>
      <i val="0"/>
      <strike val="0"/>
      <sz val="10"/>
      <color rgb="FF000000"/>
      <name val="Arial"/>
      <family val="2"/>
      <scheme val="minor"/>
    </font>
    <font>
      <b/>
      <i val="0"/>
      <strike val="0"/>
      <sz val="10"/>
      <color rgb="FF000000"/>
      <name val="Calibri"/>
      <family val="2"/>
      <scheme val="minor"/>
    </font>
    <font>
      <b val="0"/>
      <i/>
      <strike val="0"/>
      <sz val="10"/>
      <color rgb="FF000000"/>
      <name val="Arial"/>
      <family val="2"/>
      <scheme val="minor"/>
    </font>
    <font>
      <b val="0"/>
      <i/>
      <strike val="0"/>
      <sz val="10"/>
      <color rgb="FF006100"/>
      <name val="Arial"/>
      <family val="2"/>
      <scheme val="minor"/>
    </font>
    <font>
      <b val="0"/>
      <i/>
      <strike val="0"/>
      <sz val="10"/>
      <color rgb="FF0000FF"/>
      <name val="Arial"/>
      <family val="2"/>
      <scheme val="minor"/>
    </font>
    <font>
      <b/>
      <i val="0"/>
      <strike val="0"/>
      <sz val="10"/>
      <color rgb="FF000000"/>
      <name val="Arial"/>
      <family val="2"/>
      <scheme val="minor"/>
    </font>
    <font>
      <b val="0"/>
      <i val="0"/>
      <strike val="0"/>
      <sz val="10"/>
      <color rgb="FF595959"/>
      <name val="Arial"/>
      <family val="2"/>
      <scheme val="minor"/>
    </font>
    <font>
      <b val="0"/>
      <i val="0"/>
      <strike val="0"/>
      <sz val="10"/>
      <color rgb="FF000000"/>
      <name val="Arial"/>
      <family val="2"/>
      <scheme val="minor"/>
    </font>
    <font>
      <b val="0"/>
      <i val="0"/>
      <strike val="0"/>
      <sz val="10"/>
      <color rgb="FF595959"/>
      <name val="Arial"/>
      <family val="2"/>
      <scheme val="minor"/>
    </font>
    <font>
      <b val="0"/>
      <i val="0"/>
      <strike val="0"/>
      <sz val="10"/>
      <color rgb="FF0000FF"/>
      <name val="Arial"/>
      <family val="2"/>
      <scheme val="minor"/>
    </font>
    <font>
      <b val="0"/>
      <i/>
      <strike val="0"/>
      <sz val="10"/>
      <color rgb="FF000000"/>
      <name val="Arial"/>
      <family val="2"/>
      <scheme val="minor"/>
    </font>
    <font>
      <b/>
      <i val="0"/>
      <strike val="0"/>
      <sz val="10"/>
      <color rgb="FF000000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none"/>
    </fill>
    <fill>
      <patternFill patternType="solid">
        <fgColor rgb="FFEEF4FB"/>
      </patternFill>
    </fill>
    <fill>
      <patternFill patternType="solid">
        <fgColor rgb="FFF2F2F2"/>
      </patternFill>
    </fill>
    <fill>
      <patternFill patternType="solid">
        <fgColor rgb="FFDCE6F2"/>
      </patternFill>
    </fill>
  </fills>
  <borders count="5">
    <border/>
    <border>
      <bottom style="thin">
        <color rgb="FF000000"/>
      </bottom>
    </border>
    <border>
      <top style="thin">
        <color rgb="FF000000"/>
      </top>
    </border>
    <border>
      <bottom style="thin">
        <color rgb="FF808080"/>
      </bottom>
    </border>
    <border>
      <top style="thin">
        <color rgb="FF808080"/>
      </top>
    </border>
  </borders>
  <cellStyleXfs count="1">
    <xf numFmtId="0" fontId="0" fillId="0" borderId="0"/>
  </cellStyleXfs>
  <cellXfs count="134">
    <xf numFmtId="0" fontId="0" fillId="0" borderId="0" xfId="0"/>
    <xf numFmtId="0" fontId="1" fillId="2" borderId="0" xfId="0" applyFont="1" applyFill="1" applyAlignment="1" applyProtection="1">
      <alignment horizontal="general" vertical="bottom"/>
      <protection locked="1" hidden="0"/>
    </xf>
    <xf numFmtId="164" fontId="2" fillId="2" borderId="0" xfId="0" applyNumberFormat="1" applyFont="1" applyFill="1" applyAlignment="1" applyProtection="1">
      <alignment horizontal="right" vertical="bottom"/>
      <protection locked="1" hidden="0"/>
    </xf>
    <xf numFmtId="165" fontId="3" fillId="2" borderId="0" xfId="0" applyNumberFormat="1" applyFont="1" applyFill="1" applyAlignment="1" applyProtection="1">
      <alignment horizontal="general" vertical="bottom"/>
      <protection locked="1" hidden="0"/>
    </xf>
    <xf numFmtId="166" fontId="4" fillId="2" borderId="0" xfId="0" applyNumberFormat="1" applyFont="1" applyFill="1" applyAlignment="1" applyProtection="1">
      <alignment horizontal="right" vertical="bottom"/>
      <protection locked="1" hidden="0"/>
    </xf>
    <xf numFmtId="0" fontId="1" fillId="2" borderId="1" xfId="0" applyFont="1" applyFill="1" applyBorder="1" applyAlignment="1" applyProtection="1">
      <alignment horizontal="general" vertical="bottom"/>
      <protection locked="1" hidden="0"/>
    </xf>
    <xf numFmtId="0" fontId="5" fillId="2" borderId="1" xfId="0" applyFont="1" applyFill="1" applyBorder="1" applyAlignment="1" applyProtection="1">
      <alignment horizontal="right" vertical="bottom" wrapText="1"/>
      <protection locked="1" hidden="0"/>
    </xf>
    <xf numFmtId="0" fontId="1" fillId="2" borderId="0" xfId="0" applyFont="1" applyFill="1" applyAlignment="1" applyProtection="1">
      <alignment horizontal="right" vertical="bottom"/>
      <protection locked="1" hidden="0"/>
    </xf>
    <xf numFmtId="167" fontId="1" fillId="2" borderId="0" xfId="0" applyNumberFormat="1" applyFont="1" applyFill="1" applyAlignment="1" applyProtection="1">
      <alignment horizontal="general" vertical="bottom"/>
      <protection locked="1" hidden="0"/>
    </xf>
    <xf numFmtId="0" fontId="5" fillId="2" borderId="0" xfId="0" applyFont="1" applyFill="1" applyAlignment="1" applyProtection="1">
      <alignment horizontal="general" vertical="bottom"/>
      <protection locked="1" hidden="0"/>
    </xf>
    <xf numFmtId="167" fontId="2" fillId="2" borderId="0" xfId="0" applyNumberFormat="1" applyFont="1" applyFill="1" applyAlignment="1" applyProtection="1">
      <alignment horizontal="general" vertical="bottom"/>
      <protection locked="1" hidden="0"/>
    </xf>
    <xf numFmtId="165" fontId="3" fillId="2" borderId="0" xfId="0" applyNumberFormat="1" applyFont="1" applyFill="1" applyAlignment="1" applyProtection="1">
      <alignment horizontal="right" vertical="bottom"/>
      <protection locked="1" hidden="0"/>
    </xf>
    <xf numFmtId="0" fontId="4" fillId="2" borderId="0" xfId="0" applyFont="1" applyFill="1" applyAlignment="1" applyProtection="1">
      <alignment horizontal="general" vertical="bottom"/>
      <protection locked="1" hidden="0"/>
    </xf>
    <xf numFmtId="166" fontId="6" fillId="2" borderId="0" xfId="0" applyNumberFormat="1" applyFont="1" applyFill="1" applyAlignment="1" applyProtection="1">
      <alignment horizontal="right" vertical="bottom"/>
      <protection locked="1" hidden="0"/>
    </xf>
    <xf numFmtId="0" fontId="3" fillId="2" borderId="0" xfId="0" applyFont="1" applyFill="1" applyAlignment="1" applyProtection="1">
      <alignment horizontal="right" vertical="bottom"/>
      <protection locked="1" hidden="0"/>
    </xf>
    <xf numFmtId="167" fontId="1" fillId="2" borderId="0" xfId="0" applyNumberFormat="1" applyFont="1" applyFill="1" applyAlignment="1" applyProtection="1">
      <alignment horizontal="right" vertical="bottom"/>
      <protection locked="1" hidden="0"/>
    </xf>
    <xf numFmtId="166" fontId="4" fillId="3" borderId="0" xfId="0" applyNumberFormat="1" applyFont="1" applyFill="1" applyAlignment="1" applyProtection="1">
      <alignment horizontal="right" vertical="bottom"/>
      <protection locked="1" hidden="0"/>
    </xf>
    <xf numFmtId="167" fontId="5" fillId="2" borderId="2" xfId="0" applyNumberFormat="1" applyFont="1" applyFill="1" applyBorder="1" applyAlignment="1" applyProtection="1">
      <alignment horizontal="right" vertical="bottom"/>
      <protection locked="1" hidden="0"/>
    </xf>
    <xf numFmtId="0" fontId="1" fillId="4" borderId="3" xfId="0" applyFont="1" applyFill="1" applyBorder="1" applyAlignment="1" applyProtection="1">
      <alignment horizontal="general" vertical="bottom"/>
      <protection locked="1" hidden="0"/>
    </xf>
    <xf numFmtId="166" fontId="4" fillId="2" borderId="0" xfId="0" applyNumberFormat="1" applyFont="1" applyFill="1" applyAlignment="1" applyProtection="1">
      <alignment horizontal="general" vertical="bottom"/>
      <protection locked="1" hidden="0"/>
    </xf>
    <xf numFmtId="0" fontId="5" fillId="2" borderId="1" xfId="0" applyFont="1" applyFill="1" applyBorder="1" applyAlignment="1" applyProtection="1">
      <alignment horizontal="left" vertical="bottom"/>
      <protection locked="1" hidden="0"/>
    </xf>
    <xf numFmtId="165" fontId="1" fillId="2" borderId="0" xfId="0" applyNumberFormat="1" applyFont="1" applyFill="1" applyAlignment="1" applyProtection="1">
      <alignment horizontal="general" vertical="bottom"/>
      <protection locked="1" hidden="0"/>
    </xf>
    <xf numFmtId="168" fontId="4" fillId="2" borderId="0" xfId="0" applyNumberFormat="1" applyFont="1" applyFill="1" applyAlignment="1" applyProtection="1">
      <alignment horizontal="right" vertical="bottom"/>
      <protection locked="1" hidden="0"/>
    </xf>
    <xf numFmtId="0" fontId="1" fillId="4" borderId="4" xfId="0" applyFont="1" applyFill="1" applyBorder="1" applyAlignment="1" applyProtection="1">
      <alignment horizontal="general" vertical="bottom"/>
      <protection locked="1" hidden="0"/>
    </xf>
    <xf numFmtId="167" fontId="2" fillId="2" borderId="0" xfId="0" applyNumberFormat="1" applyFont="1" applyFill="1" applyAlignment="1" applyProtection="1">
      <alignment horizontal="right" vertical="bottom"/>
      <protection locked="1" hidden="0"/>
    </xf>
    <xf numFmtId="0" fontId="7" fillId="2" borderId="0" xfId="0" applyFont="1" applyFill="1" applyAlignment="1" applyProtection="1">
      <alignment horizontal="general" vertical="bottom"/>
      <protection locked="1" hidden="0"/>
    </xf>
    <xf numFmtId="165" fontId="2" fillId="2" borderId="0" xfId="0" applyNumberFormat="1" applyFont="1" applyFill="1" applyAlignment="1" applyProtection="1">
      <alignment horizontal="general" vertical="bottom"/>
      <protection locked="1" hidden="0"/>
    </xf>
    <xf numFmtId="0" fontId="5" fillId="4" borderId="4" xfId="0" applyFont="1" applyFill="1" applyBorder="1" applyAlignment="1" applyProtection="1">
      <alignment horizontal="right" vertical="bottom"/>
      <protection locked="1" hidden="0"/>
    </xf>
    <xf numFmtId="168" fontId="4" fillId="3" borderId="0" xfId="0" applyNumberFormat="1" applyFont="1" applyFill="1" applyAlignment="1" applyProtection="1">
      <alignment horizontal="right" vertical="bottom"/>
      <protection locked="1" hidden="0"/>
    </xf>
    <xf numFmtId="0" fontId="1" fillId="4" borderId="0" xfId="0" applyFont="1" applyFill="1" applyAlignment="1" applyProtection="1">
      <alignment horizontal="general" vertical="bottom"/>
      <protection locked="1" hidden="0"/>
    </xf>
    <xf numFmtId="0" fontId="1" fillId="2" borderId="0" xfId="0" applyFont="1" applyFill="1" applyAlignment="1" applyProtection="1">
      <alignment horizontal="left" vertical="bottom"/>
      <protection locked="1" hidden="0"/>
    </xf>
    <xf numFmtId="0" fontId="8" fillId="2" borderId="0" xfId="0" applyFont="1" applyFill="1" applyAlignment="1" applyProtection="1">
      <alignment horizontal="general" vertical="bottom"/>
      <protection locked="1" hidden="0"/>
    </xf>
    <xf numFmtId="167" fontId="3" fillId="2" borderId="0" xfId="0" applyNumberFormat="1" applyFont="1" applyFill="1" applyAlignment="1" applyProtection="1">
      <alignment horizontal="right" vertical="bottom"/>
      <protection locked="1" hidden="0"/>
    </xf>
    <xf numFmtId="0" fontId="5" fillId="2" borderId="1" xfId="0" applyFont="1" applyFill="1" applyBorder="1" applyAlignment="1" applyProtection="1">
      <alignment horizontal="right" vertical="bottom"/>
      <protection locked="1" hidden="0"/>
    </xf>
    <xf numFmtId="168" fontId="3" fillId="2" borderId="0" xfId="0" applyNumberFormat="1" applyFont="1" applyFill="1" applyAlignment="1" applyProtection="1">
      <alignment horizontal="right" vertical="bottom"/>
      <protection locked="1" hidden="0"/>
    </xf>
    <xf numFmtId="168" fontId="6" fillId="2" borderId="0" xfId="0" applyNumberFormat="1" applyFont="1" applyFill="1" applyAlignment="1" applyProtection="1">
      <alignment horizontal="right" vertical="bottom"/>
      <protection locked="1" hidden="0"/>
    </xf>
    <xf numFmtId="169" fontId="9" fillId="2" borderId="0" xfId="0" applyNumberFormat="1" applyFont="1" applyFill="1" applyAlignment="1" applyProtection="1">
      <alignment horizontal="general" vertical="bottom"/>
      <protection locked="1" hidden="0"/>
    </xf>
    <xf numFmtId="167" fontId="3" fillId="2" borderId="0" xfId="0" applyNumberFormat="1" applyFont="1" applyFill="1" applyAlignment="1" applyProtection="1">
      <alignment horizontal="general" vertical="bottom"/>
      <protection locked="1" hidden="0"/>
    </xf>
    <xf numFmtId="167" fontId="5" fillId="3" borderId="2" xfId="0" applyNumberFormat="1" applyFont="1" applyFill="1" applyBorder="1" applyAlignment="1" applyProtection="1">
      <alignment horizontal="right" vertical="bottom"/>
      <protection locked="1" hidden="0"/>
    </xf>
    <xf numFmtId="164" fontId="1" fillId="4" borderId="0" xfId="0" applyNumberFormat="1" applyFont="1" applyFill="1" applyAlignment="1" applyProtection="1">
      <alignment horizontal="right" vertical="bottom"/>
      <protection locked="1" hidden="0"/>
    </xf>
    <xf numFmtId="166" fontId="10" fillId="2" borderId="0" xfId="0" applyNumberFormat="1" applyFont="1" applyFill="1" applyAlignment="1" applyProtection="1">
      <alignment horizontal="right" vertical="bottom"/>
      <protection locked="1" hidden="0"/>
    </xf>
    <xf numFmtId="167" fontId="1" fillId="3" borderId="0" xfId="0" applyNumberFormat="1" applyFont="1" applyFill="1" applyAlignment="1" applyProtection="1">
      <alignment horizontal="right" vertical="bottom"/>
      <protection locked="1" hidden="0"/>
    </xf>
    <xf numFmtId="170" fontId="1" fillId="4" borderId="3" xfId="0" applyNumberFormat="1" applyFont="1" applyFill="1" applyBorder="1" applyAlignment="1" applyProtection="1">
      <alignment horizontal="right" vertical="bottom"/>
      <protection locked="1" hidden="0"/>
    </xf>
    <xf numFmtId="0" fontId="5" fillId="2" borderId="0" xfId="0" applyFont="1" applyFill="1" applyAlignment="1" applyProtection="1">
      <alignment horizontal="right" vertical="bottom"/>
      <protection locked="1" hidden="0"/>
    </xf>
    <xf numFmtId="168" fontId="1" fillId="2" borderId="0" xfId="0" applyNumberFormat="1" applyFont="1" applyFill="1" applyAlignment="1" applyProtection="1">
      <alignment horizontal="general" vertical="bottom"/>
      <protection locked="1" hidden="0"/>
    </xf>
    <xf numFmtId="166" fontId="10" fillId="3" borderId="0" xfId="0" applyNumberFormat="1" applyFont="1" applyFill="1" applyAlignment="1" applyProtection="1">
      <alignment horizontal="right" vertical="bottom"/>
      <protection locked="1" hidden="0"/>
    </xf>
    <xf numFmtId="165" fontId="1" fillId="2" borderId="0" xfId="0" applyNumberFormat="1" applyFont="1" applyFill="1" applyAlignment="1" applyProtection="1">
      <alignment horizontal="right" vertical="bottom"/>
      <protection locked="1" hidden="0"/>
    </xf>
    <xf numFmtId="0" fontId="11" fillId="2" borderId="0" xfId="0" applyFont="1" applyFill="1" applyAlignment="1" applyProtection="1">
      <alignment horizontal="general" vertical="bottom"/>
      <protection locked="1" hidden="0"/>
    </xf>
    <xf numFmtId="167" fontId="12" fillId="2" borderId="2" xfId="0" applyNumberFormat="1" applyFont="1" applyFill="1" applyBorder="1" applyAlignment="1" applyProtection="1">
      <alignment horizontal="right" vertical="bottom"/>
      <protection locked="1" hidden="0"/>
    </xf>
    <xf numFmtId="0" fontId="5" fillId="4" borderId="4" xfId="0" applyFont="1" applyFill="1" applyBorder="1" applyAlignment="1" applyProtection="1">
      <alignment horizontal="general" vertical="bottom"/>
      <protection locked="1" hidden="0"/>
    </xf>
    <xf numFmtId="166" fontId="10" fillId="2" borderId="0" xfId="0" applyNumberFormat="1" applyFont="1" applyFill="1" applyAlignment="1" applyProtection="1">
      <alignment horizontal="general" vertical="bottom"/>
      <protection locked="1" hidden="0"/>
    </xf>
    <xf numFmtId="0" fontId="1" fillId="3" borderId="0" xfId="0" applyFont="1" applyFill="1" applyAlignment="1" applyProtection="1">
      <alignment horizontal="general" vertical="bottom"/>
      <protection locked="1" hidden="0"/>
    </xf>
    <xf numFmtId="0" fontId="13" fillId="2" borderId="1" xfId="0" applyFont="1" applyFill="1" applyBorder="1" applyAlignment="1" applyProtection="1">
      <alignment horizontal="right" vertical="bottom"/>
      <protection locked="1" hidden="0"/>
    </xf>
    <xf numFmtId="165" fontId="5" fillId="2" borderId="0" xfId="0" applyNumberFormat="1" applyFont="1" applyFill="1" applyAlignment="1" applyProtection="1">
      <alignment horizontal="right" vertical="bottom"/>
      <protection locked="1" hidden="0"/>
    </xf>
    <xf numFmtId="165" fontId="5" fillId="2" borderId="2" xfId="0" applyNumberFormat="1" applyFont="1" applyFill="1" applyBorder="1" applyAlignment="1" applyProtection="1">
      <alignment horizontal="right" vertical="bottom"/>
      <protection locked="1" hidden="0"/>
    </xf>
    <xf numFmtId="170" fontId="1" fillId="5" borderId="3" xfId="0" applyNumberFormat="1" applyFont="1" applyFill="1" applyBorder="1" applyAlignment="1" applyProtection="1">
      <alignment horizontal="right" vertical="bottom"/>
      <protection locked="1" hidden="0"/>
    </xf>
    <xf numFmtId="167" fontId="3" fillId="3" borderId="0" xfId="0" applyNumberFormat="1" applyFont="1" applyFill="1" applyAlignment="1" applyProtection="1">
      <alignment horizontal="right" vertical="bottom"/>
      <protection locked="1" hidden="0"/>
    </xf>
    <xf numFmtId="0" fontId="5" fillId="2" borderId="0" xfId="0" applyFont="1" applyFill="1" applyAlignment="1" applyProtection="1">
      <alignment horizontal="left" vertical="bottom"/>
      <protection locked="1" hidden="0"/>
    </xf>
    <xf numFmtId="166" fontId="6" fillId="2" borderId="0" xfId="0" applyNumberFormat="1" applyFont="1" applyFill="1" applyAlignment="1" applyProtection="1">
      <alignment horizontal="general" vertical="bottom"/>
      <protection locked="1" hidden="0"/>
    </xf>
    <xf numFmtId="165" fontId="1" fillId="3" borderId="0" xfId="0" applyNumberFormat="1" applyFont="1" applyFill="1" applyAlignment="1" applyProtection="1">
      <alignment horizontal="right" vertical="bottom"/>
      <protection locked="1" hidden="0"/>
    </xf>
    <xf numFmtId="0" fontId="5" fillId="2" borderId="1" xfId="0" applyFont="1" applyFill="1" applyBorder="1" applyAlignment="1" applyProtection="1">
      <alignment horizontal="general" vertical="bottom"/>
      <protection locked="1" hidden="0"/>
    </xf>
    <xf numFmtId="167" fontId="2" fillId="3" borderId="0" xfId="0" applyNumberFormat="1" applyFont="1" applyFill="1" applyAlignment="1" applyProtection="1">
      <alignment horizontal="right" vertical="bottom"/>
      <protection locked="1" hidden="0"/>
    </xf>
    <xf numFmtId="165" fontId="2" fillId="2" borderId="0" xfId="0" applyNumberFormat="1" applyFont="1" applyFill="1" applyAlignment="1" applyProtection="1">
      <alignment horizontal="right" vertical="bottom"/>
      <protection locked="1" hidden="0"/>
    </xf>
    <xf numFmtId="165" fontId="5" fillId="3" borderId="0" xfId="0" applyNumberFormat="1" applyFont="1" applyFill="1" applyAlignment="1" applyProtection="1">
      <alignment horizontal="right" vertical="bottom"/>
      <protection locked="1" hidden="0"/>
    </xf>
    <xf numFmtId="164" fontId="1" fillId="5" borderId="0" xfId="0" applyNumberFormat="1" applyFont="1" applyFill="1" applyAlignment="1" applyProtection="1">
      <alignment horizontal="right" vertical="bottom"/>
      <protection locked="1" hidden="0"/>
    </xf>
    <xf numFmtId="171" fontId="3" fillId="2" borderId="0" xfId="0" applyNumberFormat="1" applyFont="1" applyFill="1" applyAlignment="1" applyProtection="1">
      <alignment horizontal="general" vertical="bottom"/>
      <protection locked="1" hidden="0"/>
    </xf>
    <xf numFmtId="0" fontId="5" fillId="5" borderId="4" xfId="0" applyFont="1" applyFill="1" applyBorder="1" applyAlignment="1" applyProtection="1">
      <alignment horizontal="right" vertical="bottom"/>
      <protection locked="1" hidden="0"/>
    </xf>
    <xf numFmtId="167" fontId="13" fillId="3" borderId="0" xfId="0" applyNumberFormat="1" applyFont="1" applyFill="1" applyAlignment="1" applyProtection="1">
      <alignment horizontal="right" vertical="bottom"/>
      <protection locked="1" hidden="0"/>
    </xf>
    <xf numFmtId="167" fontId="12" fillId="2" borderId="0" xfId="0" applyNumberFormat="1" applyFont="1" applyFill="1" applyAlignment="1" applyProtection="1">
      <alignment horizontal="right" vertical="bottom"/>
      <protection locked="1" hidden="0"/>
    </xf>
    <xf numFmtId="167" fontId="13" fillId="2" borderId="0" xfId="0" applyNumberFormat="1" applyFont="1" applyFill="1" applyAlignment="1" applyProtection="1">
      <alignment horizontal="right" vertical="bottom"/>
      <protection locked="1" hidden="0"/>
    </xf>
    <xf numFmtId="165" fontId="2" fillId="3" borderId="0" xfId="0" applyNumberFormat="1" applyFont="1" applyFill="1" applyAlignment="1" applyProtection="1">
      <alignment horizontal="right" vertical="bottom"/>
      <protection locked="1" hidden="0"/>
    </xf>
    <xf numFmtId="0" fontId="1" fillId="2" borderId="0" xfId="0" applyFont="1" applyFill="1" applyAlignment="1" applyProtection="1">
      <alignment horizontal="general" vertical="top"/>
      <protection locked="1" hidden="0"/>
    </xf>
    <xf numFmtId="0" fontId="12" fillId="2" borderId="0" xfId="0" applyFont="1" applyFill="1" applyAlignment="1" applyProtection="1">
      <alignment horizontal="right" vertical="bottom"/>
      <protection locked="1" hidden="0"/>
    </xf>
    <xf numFmtId="164" fontId="2" fillId="2" borderId="0" xfId="0" applyNumberFormat="1" applyFont="1" applyFill="1" applyAlignment="1" applyProtection="1">
      <alignment horizontal="right" vertical="top"/>
      <protection locked="1" hidden="0"/>
    </xf>
    <xf numFmtId="0" fontId="2" fillId="2" borderId="0" xfId="0" applyFont="1" applyFill="1" applyAlignment="1" applyProtection="1">
      <alignment horizontal="general" vertical="top"/>
      <protection locked="1" hidden="0"/>
    </xf>
    <xf numFmtId="0" fontId="1" fillId="2" borderId="0" xfId="0" applyFont="1" applyFill="1" applyAlignment="1" applyProtection="1">
      <alignment horizontal="general" vertical="top" wrapText="1"/>
      <protection locked="1" hidden="0"/>
    </xf>
    <xf numFmtId="0" fontId="2" fillId="2" borderId="0" xfId="0" applyFont="1" applyFill="1" applyAlignment="1" applyProtection="1">
      <alignment horizontal="right" vertical="bottom"/>
      <protection locked="1" hidden="0"/>
    </xf>
    <xf numFmtId="167" fontId="13" fillId="3" borderId="2" xfId="0" applyNumberFormat="1" applyFont="1" applyFill="1" applyBorder="1" applyAlignment="1" applyProtection="1">
      <alignment horizontal="right" vertical="bottom"/>
      <protection locked="1" hidden="0"/>
    </xf>
    <xf numFmtId="168" fontId="2" fillId="2" borderId="0" xfId="0" applyNumberFormat="1" applyFont="1" applyFill="1" applyAlignment="1" applyProtection="1">
      <alignment horizontal="general" vertical="bottom"/>
      <protection locked="1" hidden="0"/>
    </xf>
    <xf numFmtId="165" fontId="5" fillId="3" borderId="2" xfId="0" applyNumberFormat="1" applyFont="1" applyFill="1" applyBorder="1" applyAlignment="1" applyProtection="1">
      <alignment horizontal="right" vertical="bottom"/>
      <protection locked="1" hidden="0"/>
    </xf>
    <xf numFmtId="166" fontId="6" fillId="3" borderId="0" xfId="0" applyNumberFormat="1" applyFont="1" applyFill="1" applyAlignment="1" applyProtection="1">
      <alignment horizontal="right" vertical="bottom"/>
      <protection locked="1" hidden="0"/>
    </xf>
    <xf numFmtId="168" fontId="2" fillId="2" borderId="0" xfId="0" applyNumberFormat="1" applyFont="1" applyFill="1" applyAlignment="1" applyProtection="1">
      <alignment horizontal="right" vertical="bottom"/>
      <protection locked="1" hidden="0"/>
    </xf>
    <xf numFmtId="167" fontId="5" fillId="2" borderId="0" xfId="0" applyNumberFormat="1" applyFont="1" applyFill="1" applyAlignment="1" applyProtection="1">
      <alignment horizontal="right" vertical="bottom"/>
      <protection locked="1" hidden="0"/>
    </xf>
    <xf numFmtId="0" fontId="2" fillId="2" borderId="0" xfId="0" applyFont="1" applyFill="1" applyAlignment="1" applyProtection="1">
      <alignment horizontal="general" vertical="bottom"/>
      <protection locked="1" hidden="0"/>
    </xf>
    <xf numFmtId="167" fontId="5" fillId="3" borderId="0" xfId="0" applyNumberFormat="1" applyFont="1" applyFill="1" applyAlignment="1" applyProtection="1">
      <alignment horizontal="right" vertical="bottom"/>
      <protection locked="1" hidden="0"/>
    </xf>
    <xf numFmtId="172" fontId="1" fillId="2" borderId="0" xfId="0" applyNumberFormat="1" applyFont="1" applyFill="1" applyAlignment="1" applyProtection="1">
      <alignment horizontal="right" vertical="bottom"/>
      <protection locked="1" hidden="0"/>
    </xf>
    <xf numFmtId="172" fontId="3" fillId="3" borderId="0" xfId="0" applyNumberFormat="1" applyFont="1" applyFill="1" applyAlignment="1" applyProtection="1">
      <alignment horizontal="right" vertical="bottom"/>
      <protection locked="1" hidden="0"/>
    </xf>
    <xf numFmtId="172" fontId="3" fillId="2" borderId="0" xfId="0" applyNumberFormat="1" applyFont="1" applyFill="1" applyAlignment="1" applyProtection="1">
      <alignment horizontal="right" vertical="bottom"/>
      <protection locked="1" hidden="0"/>
    </xf>
    <xf numFmtId="165" fontId="14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73" fontId="14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73" fontId="15" fillId="0" borderId="1" xfId="0" applyNumberFormat="1" applyFont="1" applyFill="1" applyBorder="1" applyAlignment="1" applyProtection="1">
      <alignment horizontal="right" vertical="bottom" textRotation="0" indent="0" readingOrder="0"/>
      <protection locked="1" hidden="0"/>
    </xf>
    <xf numFmtId="173" fontId="15" fillId="0" borderId="1" xfId="0" applyNumberFormat="1" applyFont="1" applyFill="1" applyBorder="1" applyAlignment="1" applyProtection="1">
      <alignment horizontal="left" vertical="bottom" textRotation="0" indent="0" readingOrder="0"/>
      <protection locked="1" hidden="0"/>
    </xf>
    <xf numFmtId="173" fontId="16" fillId="0" borderId="0" xfId="0" applyNumberFormat="1" applyFont="1" applyFill="1" applyAlignment="1" applyProtection="1">
      <alignment horizontal="left" vertical="bottom" textRotation="0" indent="0" readingOrder="0"/>
      <protection locked="1" hidden="0"/>
    </xf>
    <xf numFmtId="173" fontId="17" fillId="0" borderId="0" xfId="0" applyNumberFormat="1" applyFont="1" applyFill="1" applyAlignment="1" applyProtection="1">
      <alignment horizontal="left" vertical="bottom" textRotation="0" indent="0" readingOrder="0"/>
      <protection locked="1" hidden="0"/>
    </xf>
    <xf numFmtId="174" fontId="18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4" fontId="19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74" fontId="20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74" fontId="21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3" fontId="21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74" fontId="20" fillId="3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4" fontId="20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4" fontId="21" fillId="3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7" fontId="20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7" fontId="21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3" fontId="22" fillId="0" borderId="1" xfId="0" applyNumberFormat="1" applyFont="1" applyFill="1" applyBorder="1" applyAlignment="1" applyProtection="1">
      <alignment horizontal="right" vertical="bottom" textRotation="0" wrapText="1" indent="0" readingOrder="0"/>
      <protection locked="1" hidden="0"/>
    </xf>
    <xf numFmtId="166" fontId="23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3" fontId="21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8" fontId="24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6" fontId="25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7" fontId="18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3" fontId="26" fillId="0" borderId="1" xfId="0" applyNumberFormat="1" applyFont="1" applyFill="1" applyBorder="1" applyAlignment="1" applyProtection="1">
      <alignment horizontal="right" vertical="bottom" textRotation="0" wrapText="1" indent="0" readingOrder="0"/>
      <protection locked="1" hidden="0"/>
    </xf>
    <xf numFmtId="166" fontId="24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3" fontId="26" fillId="0" borderId="1" xfId="0" applyNumberFormat="1" applyFont="1" applyFill="1" applyBorder="1" applyAlignment="1" applyProtection="1">
      <alignment horizontal="left" vertical="bottom" textRotation="0" wrapText="1" indent="0" readingOrder="0"/>
      <protection locked="1" hidden="0"/>
    </xf>
    <xf numFmtId="174" fontId="21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74" fontId="26" fillId="3" borderId="2" xfId="0" applyNumberFormat="1" applyFont="1" applyFill="1" applyBorder="1" applyAlignment="1" applyProtection="1">
      <alignment horizontal="right" vertical="bottom" textRotation="0" indent="0" readingOrder="0"/>
      <protection locked="1" hidden="0"/>
    </xf>
    <xf numFmtId="174" fontId="26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4" fontId="26" fillId="0" borderId="2" xfId="0" applyNumberFormat="1" applyFont="1" applyFill="1" applyBorder="1" applyAlignment="1" applyProtection="1">
      <alignment horizontal="right" vertical="bottom" textRotation="0" indent="0" readingOrder="0"/>
      <protection locked="1" hidden="0"/>
    </xf>
    <xf numFmtId="174" fontId="26" fillId="3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3" fontId="27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73" fontId="28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67" fontId="29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0" fontId="28" fillId="0" borderId="0" xfId="0" applyFont="1" applyFill="1" applyAlignment="1" applyProtection="1">
      <alignment horizontal="general" vertical="bottom"/>
      <protection locked="1" hidden="0"/>
    </xf>
    <xf numFmtId="175" fontId="30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3" fontId="29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76" fontId="28" fillId="3" borderId="0" xfId="0" applyNumberFormat="1" applyFont="1" applyFill="1" applyAlignment="1" applyProtection="1">
      <alignment horizontal="right" vertical="bottom"/>
      <protection locked="1" hidden="0"/>
    </xf>
    <xf numFmtId="166" fontId="31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0" fontId="29" fillId="0" borderId="0" xfId="0" applyFont="1" applyFill="1" applyAlignment="1" applyProtection="1">
      <alignment horizontal="general" vertical="bottom"/>
      <protection locked="1" hidden="0"/>
    </xf>
    <xf numFmtId="175" fontId="28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6" fontId="31" fillId="3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4" fontId="29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73" fontId="32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73" fontId="31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73" fontId="28" fillId="3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6" fontId="28" fillId="3" borderId="0" xfId="0" applyNumberFormat="1" applyFont="1" applyFill="1" applyAlignment="1" applyProtection="1">
      <alignment horizontal="right" vertical="bottom" textRotation="0" indent="0" readingOrder="0"/>
      <protection locked="1" hidden="0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styles" Target="styles.xml"/><Relationship Id="rId14" Type="http://schemas.openxmlformats.org/officeDocument/2006/relationships/theme" Target="theme/theme1.xml"/><Relationship Id="rId15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38100</xdr:colOff>
      <xdr:row>0</xdr:row>
      <xdr:rowOff>38100</xdr:rowOff>
    </xdr:from>
    <xdr:ext cx="571500" cy="571500"/>
    <xdr:pic>
      <xdr:nvPicPr>
        <xdr:cNvPr id="2" name="Shortcut logo"/>
        <xdr:cNvPicPr>
          <a:picLocks noChangeAspect="1"/>
        </xdr:cNvPicPr>
      </xdr:nvPicPr>
      <xdr:blipFill>
        <a:blip r:embed="rId1"/>
      </xdr:blipFill>
      <xdr:spPr>
        <a:xfrm>
          <a:off x="0" y="0"/>
          <a:ext cx="571500" cy="5715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Malgun Gothic"/>
        <a:font script="Hans" typeface="DengXian Light"/>
        <a:font script="Hant" typeface="Microsoft JhengHei Light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</a:majorFont>
      <a:minorFont>
        <a:latin typeface="Calibri" panose="020F0502020204030204"/>
        <a:ea typeface=""/>
        <a:cs typeface=""/>
        <a:font script="Jpan" typeface="Yu Gothic"/>
        <a:font script="Hang" typeface="Malgun Gothic"/>
        <a:font script="Hans" typeface="DengXian"/>
        <a:font script="Hant" typeface="Microsoft JhengHei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solidFill>
            <a:schemeClr val="phClr"/>
          </a:solidFill>
        </a:ln>
        <a:ln w="12700">
          <a:solidFill>
            <a:schemeClr val="phClr"/>
          </a:solidFill>
        </a:ln>
        <a:ln w="1905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comments" Target="../comments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vmlDrawing" Target="../drawings/vmlDrawing5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comments" Target="../comments6.xml"/><Relationship Id="rId2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comments" Target="../comments7.xml"/><Relationship Id="rId2" Type="http://schemas.openxmlformats.org/officeDocument/2006/relationships/vmlDrawing" Target="../drawings/vmlDrawing7.v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comments" Target="../comments8.xml"/><Relationship Id="rId2" Type="http://schemas.openxmlformats.org/officeDocument/2006/relationships/vmlDrawing" Target="../drawings/vmlDrawing8.v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comments" Target="../comments9.xml"/><Relationship Id="rId2" Type="http://schemas.openxmlformats.org/officeDocument/2006/relationships/vmlDrawing" Target="../drawings/vmlDrawing9.v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comments" Target="../comments10.xml"/><Relationship Id="rId2" Type="http://schemas.openxmlformats.org/officeDocument/2006/relationships/vmlDrawing" Target="../drawings/vmlDrawing10.v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comments" Target="../comments11.xml"/><Relationship Id="rId2" Type="http://schemas.openxmlformats.org/officeDocument/2006/relationships/vmlDrawing" Target="../drawings/vmlDrawing1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0"/>
  <sheetViews>
    <sheetView showGridLines="0" tabSelected="1" workbookViewId="0"/>
  </sheetViews>
  <sheetFormatPr defaultColWidth="8.42578125" defaultRowHeight="15"/>
  <cols>
    <col min="1" max="1" width="9" customWidth="1"/>
    <col min="2" max="2" width="32" customWidth="1"/>
    <col min="3" max="8" width="12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>
      <c r="A2" s="1"/>
      <c r="B2" s="47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>
      <c r="A3" s="1"/>
      <c r="B3" s="9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>
      <c r="A4" s="1"/>
      <c r="B4" s="12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>
      <c r="A5" s="1"/>
      <c r="B5" s="23" t="s">
        <v>3</v>
      </c>
      <c r="C5" s="27" t="s">
        <v>4</v>
      </c>
      <c r="D5" s="23"/>
      <c r="E5" s="23"/>
      <c r="F5" s="23"/>
      <c r="G5" s="23"/>
      <c r="H5" s="23"/>
      <c r="I5" s="1"/>
      <c r="J5" s="1"/>
      <c r="K5" s="1"/>
      <c r="L5" s="1"/>
      <c r="M5" s="1"/>
    </row>
    <row r="6">
      <c r="A6" s="1"/>
      <c r="B6" s="29" t="s">
        <v>5</v>
      </c>
      <c r="C6" s="39">
        <f>DATE(2026,9,30)</f>
        <v>46295</v>
      </c>
      <c r="D6" s="29"/>
      <c r="E6" s="29"/>
      <c r="F6" s="29"/>
      <c r="G6" s="29"/>
      <c r="H6" s="29"/>
      <c r="I6" s="1"/>
      <c r="J6" s="1"/>
      <c r="K6" s="1"/>
      <c r="L6" s="1"/>
      <c r="M6" s="1"/>
    </row>
    <row r="7">
      <c r="A7" s="1"/>
      <c r="B7" s="18" t="s">
        <v>6</v>
      </c>
      <c r="C7" s="42">
        <f>C6-EOMONTH(C6,-3)</f>
        <v>92</v>
      </c>
      <c r="D7" s="18"/>
      <c r="E7" s="18"/>
      <c r="F7" s="18"/>
      <c r="G7" s="18"/>
      <c r="H7" s="18"/>
      <c r="I7" s="1"/>
      <c r="J7" s="1"/>
      <c r="K7" s="1"/>
      <c r="L7" s="1"/>
      <c r="M7" s="1"/>
    </row>
    <row r="8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>
      <c r="A9" s="1"/>
      <c r="B9" s="25" t="s">
        <v>7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>
      <c r="A10" s="1"/>
      <c r="B10" s="1" t="s">
        <v>7</v>
      </c>
      <c r="C10" s="1" t="s">
        <v>8</v>
      </c>
      <c r="D10" s="1"/>
      <c r="E10" s="1"/>
      <c r="F10" s="1"/>
      <c r="G10" s="1"/>
      <c r="H10" s="1"/>
      <c r="I10" s="1"/>
      <c r="J10" s="1"/>
      <c r="K10" s="1"/>
      <c r="L10" s="1"/>
      <c r="M10" s="1"/>
    </row>
    <row r="11">
      <c r="A11" s="1"/>
      <c r="B11" s="1" t="s">
        <v>9</v>
      </c>
      <c r="C11" s="1" t="s">
        <v>10</v>
      </c>
      <c r="D11" s="1"/>
      <c r="E11" s="1"/>
      <c r="F11" s="1"/>
      <c r="G11" s="1"/>
      <c r="H11" s="1"/>
      <c r="I11" s="1"/>
      <c r="J11" s="1"/>
      <c r="K11" s="1"/>
      <c r="L11" s="1"/>
      <c r="M11" s="1"/>
    </row>
    <row r="12">
      <c r="A12" s="1"/>
      <c r="B12" s="1" t="s">
        <v>11</v>
      </c>
      <c r="C12" s="1" t="s">
        <v>12</v>
      </c>
      <c r="D12" s="1"/>
      <c r="E12" s="1"/>
      <c r="F12" s="1"/>
      <c r="G12" s="1"/>
      <c r="H12" s="1"/>
      <c r="I12" s="1"/>
      <c r="J12" s="1"/>
      <c r="K12" s="1"/>
      <c r="L12" s="1"/>
      <c r="M12" s="1"/>
    </row>
    <row r="13">
      <c r="A13" s="1"/>
      <c r="B13" s="1" t="s">
        <v>13</v>
      </c>
      <c r="C13" s="1" t="s">
        <v>14</v>
      </c>
      <c r="D13" s="1"/>
      <c r="E13" s="1"/>
      <c r="F13" s="1"/>
      <c r="G13" s="1"/>
      <c r="H13" s="1"/>
      <c r="I13" s="1"/>
      <c r="J13" s="1"/>
      <c r="K13" s="1"/>
      <c r="L13" s="1"/>
      <c r="M13" s="1"/>
    </row>
    <row r="14">
      <c r="A14" s="1"/>
      <c r="B14" s="1" t="s">
        <v>15</v>
      </c>
      <c r="C14" s="119" t="str">
        <f>"Normalized diluted EPS per common share (S&amp;P Capital IQ basis), USD = (GAAP net income before the two-class RSU allocation + acquisition/restructuring charges, tax effect on charges "&amp;TEXT('Income Statement'!H78,"0%")&amp;") ÷ weighted diluted shares (Income Statement!H83). Basis unresolved: after-allocation alternative (H87) "&amp;TEXT('Income Statement'!H87,"$0.0000")&amp;" ("&amp;TEXT('Income Statement'!H83-'Income Statement'!H87,"$0.0000")&amp;"/share lower); at 0% tax, CapIQ actuals 4Q25-2Q26 round to the H83 basis but 3Q25 reconstructs at "&amp;TEXT('Income Statement'!C83,"$0.0000")&amp;" vs "&amp;TEXT('Income Statement'!C85,"$0.00")&amp;"; rounded history permits a tax effect on charges of "&amp;TEXT('Income Statement'!H96,"0.0%")&amp;"-"&amp;TEXT('Income Statement'!H97,"0.0%")&amp;", not a uniquely known future rate (at the 13% ETR: "&amp;TEXT('Income Statement'!H98,"$0.0000")&amp;"; Income Statement rows 94-101)."</f>
        <v>Normalized diluted EPS per common share (S&amp;P Capital IQ basis), USD = (GAAP net income before the two-class RSU allocation + acquisition/restructuring charges, tax effect on charges 0%) ÷ weighted diluted shares (Income Statement!H83). Basis unresolved: after-allocation alternative (H87) $2.5260 ($0.0141/share lower); at 0% tax, CapIQ actuals 4Q25-2Q26 round to the H83 basis but 3Q25 reconstructs at $1.5853 vs $1.57; rounded history permits a tax effect on charges of 11.1%-19.2%, not a uniquely known future rate (at the 13% ETR: $2.5377; Income Statement rows 94-101).</v>
      </c>
      <c r="D14" s="1"/>
      <c r="E14" s="1"/>
      <c r="F14" s="1"/>
      <c r="G14" s="1"/>
      <c r="H14" s="1"/>
      <c r="I14" s="1"/>
      <c r="J14" s="1"/>
      <c r="K14" s="1"/>
      <c r="L14" s="1"/>
      <c r="M14" s="1"/>
    </row>
    <row r="15">
      <c r="A15" s="1"/>
      <c r="B15" s="1" t="s">
        <v>16</v>
      </c>
      <c r="C15" s="1" t="s">
        <v>17</v>
      </c>
      <c r="D15" s="1"/>
      <c r="E15" s="1"/>
      <c r="F15" s="1"/>
      <c r="G15" s="1"/>
      <c r="H15" s="1"/>
      <c r="I15" s="1"/>
      <c r="J15" s="1"/>
      <c r="K15" s="1"/>
      <c r="L15" s="1"/>
      <c r="M15" s="1"/>
    </row>
    <row r="16">
      <c r="A16" s="1"/>
      <c r="B16" s="1" t="s">
        <v>18</v>
      </c>
      <c r="C16" s="1" t="s">
        <v>19</v>
      </c>
      <c r="D16" s="1"/>
      <c r="E16" s="1"/>
      <c r="F16" s="1"/>
      <c r="G16" s="1"/>
      <c r="H16" s="1"/>
      <c r="I16" s="1"/>
      <c r="J16" s="1"/>
      <c r="K16" s="1"/>
      <c r="L16" s="1"/>
      <c r="M16" s="1"/>
    </row>
    <row r="17">
      <c r="A17" s="1"/>
      <c r="B17" s="1" t="s">
        <v>20</v>
      </c>
      <c r="C17" s="1" t="s">
        <v>21</v>
      </c>
      <c r="D17" s="1"/>
      <c r="E17" s="1"/>
      <c r="F17" s="1"/>
      <c r="G17" s="1"/>
      <c r="H17" s="1"/>
      <c r="I17" s="1"/>
      <c r="J17" s="1"/>
      <c r="K17" s="1"/>
      <c r="L17" s="1"/>
      <c r="M17" s="1"/>
    </row>
    <row r="18">
      <c r="A18" s="1"/>
      <c r="B18" s="1" t="s">
        <v>22</v>
      </c>
      <c r="C18" s="1" t="s">
        <v>23</v>
      </c>
      <c r="D18" s="1"/>
      <c r="E18" s="1"/>
      <c r="F18" s="1"/>
      <c r="G18" s="1"/>
      <c r="H18" s="1"/>
      <c r="I18" s="1"/>
      <c r="J18" s="1"/>
      <c r="K18" s="1"/>
      <c r="L18" s="1"/>
      <c r="M18" s="1"/>
    </row>
    <row r="19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>
      <c r="A20" s="1"/>
      <c r="B20" s="25" t="s">
        <v>24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ht="27">
      <c r="A21" s="1"/>
      <c r="B21" s="20" t="s">
        <v>25</v>
      </c>
      <c r="C21" s="6" t="s">
        <v>26</v>
      </c>
      <c r="D21" s="6" t="s">
        <v>27</v>
      </c>
      <c r="E21" s="6" t="s">
        <v>28</v>
      </c>
      <c r="F21" s="6" t="s">
        <v>29</v>
      </c>
      <c r="G21" s="6" t="s">
        <v>30</v>
      </c>
      <c r="H21" s="6" t="s">
        <v>31</v>
      </c>
      <c r="I21" s="91" t="s">
        <v>32</v>
      </c>
      <c r="J21" s="1"/>
      <c r="K21" s="1"/>
      <c r="L21" s="1"/>
      <c r="M21" s="1"/>
    </row>
    <row r="22">
      <c r="A22" s="1"/>
      <c r="B22" s="1" t="s">
        <v>33</v>
      </c>
      <c r="C22" s="32">
        <f>'Income Statement'!H9</f>
        <v>6026.9386</v>
      </c>
      <c r="D22" s="32">
        <f>Inputs!C42</f>
        <v>5908.85</v>
      </c>
      <c r="E22" s="15">
        <f>IFERROR(C22-D22,"n/a")</f>
        <v>118.08860000000004</v>
      </c>
      <c r="F22" s="4">
        <f>IFERROR(C22/D22-1,"n/a")</f>
        <v>0.01998503939006735</v>
      </c>
      <c r="G22" s="32">
        <f>Guidance!G22</f>
        <v>5900</v>
      </c>
      <c r="H22" s="4">
        <f>IFERROR(C22/G22-1,"n/a")</f>
        <v>0.0215150169491527</v>
      </c>
      <c r="I22" s="1"/>
      <c r="J22" s="1"/>
      <c r="K22" s="1"/>
      <c r="L22" s="1"/>
      <c r="M22" s="1"/>
    </row>
    <row r="23">
      <c r="A23" s="1"/>
      <c r="B23" s="1" t="s">
        <v>34</v>
      </c>
      <c r="C23" s="32">
        <f>'Income Statement'!H34</f>
        <v>2742.668015</v>
      </c>
      <c r="D23" s="32">
        <f>Inputs!C52</f>
        <v>2604.4</v>
      </c>
      <c r="E23" s="15">
        <f>IFERROR(C23-D23,"n/a")</f>
        <v>138.2680150000001</v>
      </c>
      <c r="F23" s="4">
        <f>IFERROR(C23/D23-1,"n/a")</f>
        <v>0.053090160881585025</v>
      </c>
      <c r="G23" s="15" t="s">
        <v>35</v>
      </c>
      <c r="H23" s="4" t="str">
        <f>IFERROR(C23/G23-1,"n/a")</f>
        <v>n/a</v>
      </c>
      <c r="I23" s="120" t="str">
        <f>"Consensus = CapIQ 'EBIT' (Inputs!C52); CapIQ definition (GAAP vs excl. unusual items) not confirmed in frozen sources - unresolved. Vs model OP excl. acquisition charges ("&amp;TEXT('Income Statement'!H34+'Income Statement'!H33,"$#,##0.0")&amp;"m) variance would be "&amp;TEXT('Income Statement'!H34+'Income Statement'!H33-Inputs!C52,"$#,##0.0")&amp;"m. No EPS effect."</f>
        <v>Consensus = CapIQ 'EBIT' (Inputs!C52); CapIQ definition (GAAP vs excl. unusual items) not confirmed in frozen sources - unresolved. Vs model OP excl. acquisition charges ($2,759.7m) variance would be $155.3m. No EPS effect.</v>
      </c>
      <c r="J23" s="1"/>
      <c r="K23" s="1"/>
      <c r="L23" s="1"/>
      <c r="M23" s="1"/>
    </row>
    <row r="24">
      <c r="A24" s="1"/>
      <c r="B24" s="1" t="s">
        <v>36</v>
      </c>
      <c r="C24" s="32">
        <f>'Income Statement'!H82</f>
        <v>2340.48117305</v>
      </c>
      <c r="D24" s="32">
        <f>Inputs!C55</f>
        <v>2245.17</v>
      </c>
      <c r="E24" s="15">
        <f>IFERROR(C24-D24,"n/a")</f>
        <v>95.31117304999998</v>
      </c>
      <c r="F24" s="4">
        <f>IFERROR(C24/D24-1,"n/a")</f>
        <v>0.04245165089948655</v>
      </c>
      <c r="G24" s="32">
        <f>Guidance!G23*'Income Statement'!H66/(1-'Income Statement'!H60)+'Income Statement'!H33</f>
        <v>2240.822637539452</v>
      </c>
      <c r="H24" s="4">
        <f>IFERROR(C24/G24-1,"n/a")</f>
        <v>0.04447408457992852</v>
      </c>
      <c r="I24" s="89" t="s">
        <v>37</v>
      </c>
      <c r="J24" s="1"/>
      <c r="K24" s="1"/>
      <c r="L24" s="1"/>
      <c r="M24" s="1"/>
    </row>
    <row r="25">
      <c r="A25" s="1"/>
      <c r="B25" s="1" t="s">
        <v>38</v>
      </c>
      <c r="C25" s="32">
        <f>'Income Statement'!H55</f>
        <v>2323.48117305</v>
      </c>
      <c r="D25" s="32">
        <f>Inputs!C56</f>
        <v>2212.19</v>
      </c>
      <c r="E25" s="15">
        <f>IFERROR(C25-D25,"n/a")</f>
        <v>111.29117305</v>
      </c>
      <c r="F25" s="4">
        <f>IFERROR(C25/D25-1,"n/a")</f>
        <v>0.050308143988536225</v>
      </c>
      <c r="G25" s="32">
        <f>Guidance!G23*'Income Statement'!H66/(1-'Income Statement'!H60)</f>
        <v>2223.822637539452</v>
      </c>
      <c r="H25" s="4">
        <f>IFERROR(C25/G25-1,"n/a")</f>
        <v>0.04481406647645936</v>
      </c>
      <c r="I25" s="89"/>
      <c r="J25" s="1"/>
      <c r="K25" s="1"/>
      <c r="L25" s="1"/>
      <c r="M25" s="1"/>
    </row>
    <row r="26">
      <c r="A26" s="1"/>
      <c r="B26" s="1" t="s">
        <v>39</v>
      </c>
      <c r="C26" s="94">
        <f>'Income Statement'!H83</f>
        <v>2.540125247815833</v>
      </c>
      <c r="D26" s="94">
        <f>Inputs!C24</f>
        <v>2.42</v>
      </c>
      <c r="E26" s="97">
        <f>IFERROR(C26-D26,"n/a")</f>
        <v>0.120125247815833</v>
      </c>
      <c r="F26" s="4">
        <f>IFERROR(C26/D26-1,"n/a")</f>
        <v>0.049638532155303006</v>
      </c>
      <c r="G26" s="94">
        <f>G24/'Income Statement'!H66</f>
        <v>2.4319657953384572</v>
      </c>
      <c r="H26" s="4">
        <f>IFERROR(C26/G26-1,"n/a")</f>
        <v>0.04447408457992852</v>
      </c>
      <c r="I26" s="95" t="str">
        <f>"Basis sensitivity: two-class normalized EPS "&amp;TEXT('Income Statement'!H87,"$0.000")&amp;" ("&amp;TEXT('Income Statement'!H87-C26,"+$0.000;-$0.000")&amp;" vs C26). Headline basis (NI before RSU allocation) matches CapIQ actuals 4Q25-2Q26 but not 3Q25 - retained, unresolved."</f>
        <v>Basis sensitivity: two-class normalized EPS $2.526 (-$0.014 vs C26). Headline basis (NI before RSU allocation) matches CapIQ actuals 4Q25-2Q26 but not 3Q25 - retained, unresolved.</v>
      </c>
      <c r="J26" s="1"/>
      <c r="K26" s="1"/>
      <c r="L26" s="1"/>
      <c r="M26" s="1"/>
    </row>
    <row r="27">
      <c r="A27" s="1"/>
      <c r="B27" s="1" t="s">
        <v>40</v>
      </c>
      <c r="C27" s="94">
        <f>'Income Statement'!H68</f>
        <v>2.507553759543503</v>
      </c>
      <c r="D27" s="94">
        <f>Inputs!C33</f>
        <v>2.42</v>
      </c>
      <c r="E27" s="97">
        <f>IFERROR(C27-D27,"n/a")</f>
        <v>0.08755375954350297</v>
      </c>
      <c r="F27" s="4">
        <f>IFERROR(C27/D27-1,"n/a")</f>
        <v>0.036179239480786274</v>
      </c>
      <c r="G27" s="94">
        <f>Guidance!G23</f>
        <v>2.4</v>
      </c>
      <c r="H27" s="4">
        <f>IFERROR(C27/G27-1,"n/a")</f>
        <v>0.04481406647645958</v>
      </c>
      <c r="I27" s="89"/>
      <c r="J27" s="1"/>
      <c r="K27" s="1"/>
      <c r="L27" s="1"/>
      <c r="M27" s="1"/>
    </row>
    <row r="28">
      <c r="A28" s="1"/>
      <c r="B28" s="1" t="s">
        <v>41</v>
      </c>
      <c r="C28" s="65">
        <f>ABS(C22-'Income Statement'!H9)+ABS(C25-'Income Statement'!H55)+ABS(C24-'Income Statement'!H82)+ABS(C26-'Income Statement'!H83)+ABS(C27-'Income Statement'!H68)</f>
        <v>0</v>
      </c>
      <c r="D28" s="1"/>
      <c r="E28" s="1"/>
      <c r="F28" s="1"/>
      <c r="G28" s="1"/>
      <c r="H28" s="1"/>
      <c r="I28" s="89"/>
      <c r="J28" s="1"/>
      <c r="K28" s="1"/>
      <c r="L28" s="1"/>
      <c r="M28" s="1"/>
    </row>
    <row r="29">
      <c r="A29" s="1"/>
      <c r="B29" s="60" t="s">
        <v>42</v>
      </c>
      <c r="C29" s="52" t="str">
        <f>IF(AND(SUMPRODUCT(ABS(N(+'Revenue summary'!C57:H57)))&lt;0.5,SUMPRODUCT(ABS(N(+'Revenue summary'!C114:G114)))&lt;0.5,SUMPRODUCT(ABS(N(+'Segment - Analog'!C64:G64)))&lt;0.5,SUMPRODUCT(ABS(N(+'Segment - Embedded Processing'!C64:G64)))&lt;0.5,SUMPRODUCT(ABS(N(+'Segment - Analog'!E28:H28)))&lt;0.5,SUMPRODUCT(ABS(N(+'Segment - Embedded Processing'!E28:H28)))&lt;0.5,SUMPRODUCT(ABS(N(+'Income Statement'!C39:H39)))&lt;0.5,SUMPRODUCT(ABS(N(+'Income Statement'!C71:G71)))&lt;0.5,SUMPRODUCT(ABS(N(+'Income Statement'!C72:H72)))&lt;0.5,SUMPRODUCT(ABS(N(+'Balance Sheet'!C56:H56)))&lt;0.5,SUMPRODUCT(ABS(N(+'Balance Sheet'!C58:G58)))&lt;0.5,SUMPRODUCT(ABS(N(+'Cash Flow Statement'!C51:H51)))&lt;0.5,SUMPRODUCT(ABS(N(+'Cash Flow Statement'!C53:G53)))&lt;0.5,SUMPRODUCT(ABS(N(+Geo!C85:H85)))&lt;0.5,SUMPRODUCT(ABS(N(+Geo!C84:H84)))&lt;0.5,SUMPRODUCT(ABS(N(+'Revenue summary'!G58:G58)))&lt;0.5,SUMPRODUCT(ABS(N(+'Income Statement'!G90:G90)))&lt;0.5,SUMPRODUCT(ABS(N(+'Income Statement'!G91:G91)))&lt;0.5,SUMPRODUCT(ABS(N(+'Income Statement'!G92:G92)))&lt;0.5,SUMPRODUCT(ABS(N(+'Cash Flow Statement'!G67:G67)))&lt;0.5,SUMPRODUCT(ABS(N(+'Cash Flow Statement'!G68:G68)))&lt;0.5,SUMPRODUCT(ABS(N(+'Cash Flow Statement'!G69:G69)))&lt;0.5,SUMPRODUCT(ABS(N(+Geo!G87:G87)))&lt;0.5,C28&lt;0.0005),"PASS","FAIL")</f>
        <v>PASS</v>
      </c>
      <c r="D29" s="5"/>
      <c r="E29" s="5"/>
      <c r="F29" s="5"/>
      <c r="G29" s="5"/>
      <c r="H29" s="5"/>
      <c r="I29" s="89" t="s">
        <v>43</v>
      </c>
      <c r="J29" s="1"/>
      <c r="K29" s="1"/>
      <c r="L29" s="1"/>
      <c r="M29" s="1"/>
    </row>
    <row r="30">
      <c r="A30" s="1"/>
      <c r="B30" s="9" t="s">
        <v>44</v>
      </c>
      <c r="C30" s="36">
        <v>0.84</v>
      </c>
      <c r="D30" s="1"/>
      <c r="E30" s="1"/>
      <c r="F30" s="1"/>
      <c r="G30" s="1"/>
      <c r="H30" s="1"/>
      <c r="I30" s="1"/>
      <c r="J30" s="1"/>
      <c r="K30" s="1"/>
      <c r="L30" s="1"/>
      <c r="M30" s="1"/>
    </row>
    <row r="31">
      <c r="A31" s="1"/>
      <c r="B31" s="9" t="s">
        <v>45</v>
      </c>
      <c r="C31" s="72" t="s">
        <v>46</v>
      </c>
      <c r="D31" s="1"/>
      <c r="E31" s="1"/>
      <c r="F31" s="1"/>
      <c r="G31" s="1"/>
      <c r="H31" s="1"/>
      <c r="I31" s="1"/>
      <c r="J31" s="1"/>
      <c r="K31" s="1"/>
      <c r="L31" s="1"/>
      <c r="M31" s="1"/>
    </row>
    <row r="3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>
      <c r="A33" s="1"/>
      <c r="B33" s="25" t="s">
        <v>47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>
      <c r="A34" s="1"/>
      <c r="B34" s="1" t="s">
        <v>48</v>
      </c>
      <c r="C34" s="32">
        <f>Inputs!C139</f>
        <v>252.49</v>
      </c>
      <c r="D34" s="1"/>
      <c r="E34" s="1"/>
      <c r="F34" s="1"/>
      <c r="G34" s="1"/>
      <c r="H34" s="1"/>
      <c r="I34" s="1"/>
      <c r="J34" s="1"/>
      <c r="K34" s="1"/>
      <c r="L34" s="1"/>
      <c r="M34" s="1"/>
    </row>
    <row r="35">
      <c r="A35" s="1"/>
      <c r="B35" s="1" t="s">
        <v>49</v>
      </c>
      <c r="C35" s="7" t="str">
        <f>IF(C34&gt;10,"Large (&gt;$10bn)",IF(C34&gt;=2,"Mid ($2-10bn)","Small (&lt;$2bn)"))</f>
        <v>Large (&gt;$10bn)</v>
      </c>
      <c r="D35" s="1"/>
      <c r="E35" s="1"/>
      <c r="F35" s="1"/>
      <c r="G35" s="1"/>
      <c r="H35" s="1"/>
      <c r="I35" s="1"/>
      <c r="J35" s="1"/>
      <c r="K35" s="1"/>
      <c r="L35" s="1"/>
      <c r="M35" s="1"/>
    </row>
    <row r="36">
      <c r="A36" s="1"/>
      <c r="B36" s="1" t="s">
        <v>50</v>
      </c>
      <c r="C36" s="34">
        <f>Inputs!C140</f>
        <v>1</v>
      </c>
      <c r="D36" s="1"/>
      <c r="E36" s="1"/>
      <c r="F36" s="1"/>
      <c r="G36" s="1"/>
      <c r="H36" s="1"/>
      <c r="I36" s="1"/>
      <c r="J36" s="1"/>
      <c r="K36" s="1"/>
      <c r="L36" s="1"/>
      <c r="M36" s="1"/>
    </row>
    <row r="37">
      <c r="A37" s="1"/>
      <c r="B37" s="1" t="s">
        <v>51</v>
      </c>
      <c r="C37" s="13">
        <f>Inputs!C141</f>
        <v>0.78</v>
      </c>
      <c r="D37" s="1"/>
      <c r="E37" s="1"/>
      <c r="F37" s="1"/>
      <c r="G37" s="1"/>
      <c r="H37" s="1"/>
      <c r="I37" s="1"/>
      <c r="J37" s="1"/>
      <c r="K37" s="1"/>
      <c r="L37" s="1"/>
      <c r="M37" s="1"/>
    </row>
    <row r="38">
      <c r="A38" s="1"/>
      <c r="B38" s="1" t="s">
        <v>52</v>
      </c>
      <c r="C38" s="14" t="str">
        <f>Inputs!C143&amp;" of "&amp;Inputs!C144</f>
        <v>6 of 6</v>
      </c>
      <c r="D38" s="1"/>
      <c r="E38" s="1"/>
      <c r="F38" s="1"/>
      <c r="G38" s="1"/>
      <c r="H38" s="1"/>
      <c r="I38" s="1"/>
      <c r="J38" s="1"/>
      <c r="K38" s="1"/>
      <c r="L38" s="1"/>
      <c r="M38" s="1"/>
    </row>
    <row r="39">
      <c r="A39" s="1"/>
      <c r="B39" s="1" t="s">
        <v>53</v>
      </c>
      <c r="C39" s="34">
        <f>Inputs!C142</f>
        <v>8</v>
      </c>
      <c r="D39" s="1"/>
      <c r="E39" s="1"/>
      <c r="F39" s="1"/>
      <c r="G39" s="1"/>
      <c r="H39" s="1"/>
      <c r="I39" s="1"/>
      <c r="J39" s="1"/>
      <c r="K39" s="1"/>
      <c r="L39" s="1"/>
      <c r="M39" s="1"/>
    </row>
    <row r="40">
      <c r="A40" s="1"/>
      <c r="B40" s="1" t="s">
        <v>54</v>
      </c>
      <c r="C40" s="13">
        <f>Inputs!C145</f>
        <v>0.8742857142857143</v>
      </c>
      <c r="D40" s="1"/>
      <c r="E40" s="1"/>
      <c r="F40" s="1"/>
      <c r="G40" s="1"/>
      <c r="H40" s="1"/>
      <c r="I40" s="1"/>
      <c r="J40" s="1"/>
      <c r="K40" s="1"/>
      <c r="L40" s="1"/>
      <c r="M40" s="1"/>
    </row>
    <row r="41">
      <c r="A41" s="1"/>
      <c r="B41" s="1" t="s">
        <v>55</v>
      </c>
      <c r="C41" s="4">
        <f>C30</f>
        <v>0.84</v>
      </c>
      <c r="D41" s="1"/>
      <c r="E41" s="1"/>
      <c r="F41" s="1"/>
      <c r="G41" s="1"/>
      <c r="H41" s="1"/>
      <c r="I41" s="1"/>
      <c r="J41" s="1"/>
      <c r="K41" s="1"/>
      <c r="L41" s="1"/>
      <c r="M41" s="1"/>
    </row>
    <row r="42">
      <c r="A42" s="1"/>
      <c r="B42" s="1" t="s">
        <v>56</v>
      </c>
      <c r="C42" s="13">
        <f>C30-Inputs!C145</f>
        <v>-0.034285714285714364</v>
      </c>
      <c r="D42" s="1"/>
      <c r="E42" s="1"/>
      <c r="F42" s="1"/>
      <c r="G42" s="1"/>
      <c r="H42" s="1"/>
      <c r="I42" s="1"/>
      <c r="J42" s="1"/>
      <c r="K42" s="1"/>
      <c r="L42" s="1"/>
      <c r="M42" s="1"/>
    </row>
    <row r="43">
      <c r="A43" s="1"/>
      <c r="B43" s="1" t="s">
        <v>57</v>
      </c>
      <c r="C43" s="14" t="str">
        <f>TEXT(Inputs!C146,"$0.00")&amp;" / "&amp;TEXT(Inputs!C147,"$0.00")</f>
        <v>$0.15 / $0.13</v>
      </c>
      <c r="D43" s="1"/>
      <c r="E43" s="1"/>
      <c r="F43" s="1"/>
      <c r="G43" s="1"/>
      <c r="H43" s="1"/>
      <c r="I43" s="1"/>
      <c r="J43" s="1"/>
      <c r="K43" s="1"/>
      <c r="L43" s="1"/>
      <c r="M43" s="1"/>
    </row>
    <row r="44">
      <c r="A44" s="1"/>
      <c r="B44" s="1" t="s">
        <v>58</v>
      </c>
      <c r="C44" s="97">
        <f>E26</f>
        <v>0.120125247815833</v>
      </c>
      <c r="D44" s="1"/>
      <c r="E44" s="1"/>
      <c r="F44" s="1"/>
      <c r="G44" s="1"/>
      <c r="H44" s="1"/>
      <c r="I44" s="1"/>
      <c r="J44" s="1"/>
      <c r="K44" s="1"/>
      <c r="L44" s="1"/>
      <c r="M44" s="1"/>
    </row>
    <row r="4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>
      <c r="A46" s="1"/>
      <c r="B46" s="25" t="s">
        <v>59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>
      <c r="A47" s="1"/>
      <c r="B47" s="1" t="s">
        <v>60</v>
      </c>
      <c r="C47" s="4">
        <f>H22</f>
        <v>0.0215150169491527</v>
      </c>
      <c r="D47" s="1"/>
      <c r="E47" s="1"/>
      <c r="F47" s="1"/>
      <c r="G47" s="1"/>
      <c r="H47" s="1"/>
      <c r="I47" s="1"/>
      <c r="J47" s="1"/>
      <c r="K47" s="1"/>
      <c r="L47" s="1"/>
      <c r="M47" s="1"/>
    </row>
    <row r="48">
      <c r="A48" s="1"/>
      <c r="B48" s="1" t="s">
        <v>61</v>
      </c>
      <c r="C48" s="13">
        <f>'Income Statement'!H13</f>
        <v>0.1032287387882116</v>
      </c>
      <c r="D48" s="1"/>
      <c r="E48" s="1"/>
      <c r="F48" s="1"/>
      <c r="G48" s="1"/>
      <c r="H48" s="1"/>
      <c r="I48" s="1"/>
      <c r="J48" s="1"/>
      <c r="K48" s="1"/>
      <c r="L48" s="1"/>
      <c r="M48" s="1"/>
    </row>
    <row r="49">
      <c r="A49" s="1"/>
      <c r="B49" s="1" t="s">
        <v>62</v>
      </c>
      <c r="C49" s="14" t="str">
        <f>TEXT('Segment - Analog'!H11,"0.0%")&amp;" / "&amp;TEXT('Segment - Analog'!H15,"0.0%")</f>
        <v>10.0% / 1.5%</v>
      </c>
      <c r="D49" s="1"/>
      <c r="E49" s="1"/>
      <c r="F49" s="1"/>
      <c r="G49" s="1"/>
      <c r="H49" s="1"/>
      <c r="I49" s="1"/>
      <c r="J49" s="1"/>
      <c r="K49" s="1"/>
      <c r="L49" s="1"/>
      <c r="M49" s="1"/>
    </row>
    <row r="50">
      <c r="A50" s="1"/>
      <c r="B50" s="1" t="s">
        <v>63</v>
      </c>
      <c r="C50" s="13">
        <f>'Income Statement'!H17</f>
        <v>0.6279586148430316</v>
      </c>
      <c r="D50" s="1"/>
      <c r="E50" s="1"/>
      <c r="F50" s="1"/>
      <c r="G50" s="1"/>
      <c r="H50" s="1"/>
      <c r="I50" s="1"/>
      <c r="J50" s="1"/>
      <c r="K50" s="1"/>
      <c r="L50" s="1"/>
      <c r="M50" s="1"/>
    </row>
    <row r="51">
      <c r="A51" s="1"/>
      <c r="B51" s="1" t="s">
        <v>64</v>
      </c>
      <c r="C51" s="13">
        <f>'Income Statement'!H36</f>
        <v>0.45506818586139236</v>
      </c>
      <c r="D51" s="1"/>
      <c r="E51" s="1"/>
      <c r="F51" s="1"/>
      <c r="G51" s="1"/>
      <c r="H51" s="1"/>
      <c r="I51" s="1"/>
      <c r="J51" s="1"/>
      <c r="K51" s="1"/>
      <c r="L51" s="1"/>
      <c r="M51" s="1"/>
    </row>
    <row r="52">
      <c r="A52" s="1"/>
      <c r="B52" s="1" t="s">
        <v>65</v>
      </c>
      <c r="C52" s="13">
        <f>'Income Statement'!H52</f>
        <v>0.13</v>
      </c>
      <c r="D52" s="1"/>
      <c r="E52" s="1"/>
      <c r="F52" s="1"/>
      <c r="G52" s="1"/>
      <c r="H52" s="1"/>
      <c r="I52" s="1"/>
      <c r="J52" s="1"/>
      <c r="K52" s="1"/>
      <c r="L52" s="1"/>
      <c r="M52" s="1"/>
    </row>
    <row r="53">
      <c r="A53" s="1"/>
      <c r="B53" s="1" t="s">
        <v>66</v>
      </c>
      <c r="C53" s="32">
        <f>'Income Statement'!H66</f>
        <v>921.4038461538462</v>
      </c>
      <c r="D53" s="1"/>
      <c r="E53" s="1"/>
      <c r="F53" s="1"/>
      <c r="G53" s="1"/>
      <c r="H53" s="1"/>
      <c r="I53" s="1"/>
      <c r="J53" s="1"/>
      <c r="K53" s="1"/>
      <c r="L53" s="1"/>
      <c r="M53" s="1"/>
    </row>
    <row r="5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</row>
    <row r="55">
      <c r="A55" s="1"/>
      <c r="B55" s="25" t="s">
        <v>67</v>
      </c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</row>
    <row r="56">
      <c r="A56" s="1"/>
      <c r="B56" s="57" t="s">
        <v>68</v>
      </c>
      <c r="C56" s="43" t="s">
        <v>69</v>
      </c>
      <c r="D56" s="43" t="s">
        <v>33</v>
      </c>
      <c r="E56" s="1"/>
      <c r="F56" s="1"/>
      <c r="G56" s="1"/>
      <c r="H56" s="1"/>
      <c r="I56" s="1"/>
      <c r="J56" s="1"/>
      <c r="K56" s="1"/>
      <c r="L56" s="1"/>
      <c r="M56" s="1"/>
    </row>
    <row r="57">
      <c r="A57" s="1"/>
      <c r="B57" s="1" t="s">
        <v>70</v>
      </c>
      <c r="C57" s="96">
        <v>2.38</v>
      </c>
      <c r="D57" s="10">
        <v>5910</v>
      </c>
      <c r="E57" s="1"/>
      <c r="F57" s="1"/>
      <c r="G57" s="1"/>
      <c r="H57" s="1"/>
      <c r="I57" s="1"/>
      <c r="J57" s="1"/>
      <c r="K57" s="1"/>
      <c r="L57" s="1"/>
      <c r="M57" s="1"/>
    </row>
    <row r="58">
      <c r="A58" s="1"/>
      <c r="B58" s="1" t="s">
        <v>71</v>
      </c>
      <c r="C58" s="96">
        <v>2.42</v>
      </c>
      <c r="D58" s="10">
        <v>5910</v>
      </c>
      <c r="E58" s="1"/>
      <c r="F58" s="1"/>
      <c r="G58" s="1"/>
      <c r="H58" s="1"/>
      <c r="I58" s="1"/>
      <c r="J58" s="1"/>
      <c r="K58" s="1"/>
      <c r="L58" s="1"/>
      <c r="M58" s="1"/>
    </row>
    <row r="59">
      <c r="A59" s="1"/>
      <c r="B59" s="1" t="s">
        <v>72</v>
      </c>
      <c r="C59" s="96">
        <v>2.42</v>
      </c>
      <c r="D59" s="10">
        <v>5908</v>
      </c>
      <c r="E59" s="1"/>
      <c r="F59" s="1"/>
      <c r="G59" s="1"/>
      <c r="H59" s="1"/>
      <c r="I59" s="1"/>
      <c r="J59" s="1"/>
      <c r="K59" s="1"/>
      <c r="L59" s="1"/>
      <c r="M59" s="1"/>
    </row>
    <row r="60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  <row r="6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</row>
    <row r="7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</row>
    <row r="77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</sheetData>
  <drawing r:id="rId1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20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8" width="12" customWidth="1"/>
    <col min="9" max="9" width="6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>
      <c r="A2" s="1"/>
      <c r="B2" s="47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>
      <c r="A3" s="1"/>
      <c r="B3" s="9" t="s">
        <v>73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>
      <c r="A4" s="1"/>
      <c r="B4" s="12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>
      <c r="A5" s="1"/>
      <c r="B5" s="23" t="s">
        <v>3</v>
      </c>
      <c r="C5" s="27" t="s">
        <v>74</v>
      </c>
      <c r="D5" s="27" t="s">
        <v>75</v>
      </c>
      <c r="E5" s="27" t="s">
        <v>76</v>
      </c>
      <c r="F5" s="27" t="s">
        <v>77</v>
      </c>
      <c r="G5" s="27" t="s">
        <v>78</v>
      </c>
      <c r="H5" s="66" t="s">
        <v>4</v>
      </c>
      <c r="I5" s="49" t="s">
        <v>32</v>
      </c>
      <c r="J5" s="1"/>
      <c r="K5" s="1"/>
      <c r="L5" s="1"/>
      <c r="M5" s="1"/>
    </row>
    <row r="6">
      <c r="A6" s="1"/>
      <c r="B6" s="29" t="s">
        <v>5</v>
      </c>
      <c r="C6" s="39">
        <f>DATE(2025,9,30)</f>
        <v>45930</v>
      </c>
      <c r="D6" s="39">
        <f>DATE(2025,12,31)</f>
        <v>46022</v>
      </c>
      <c r="E6" s="39">
        <f>DATE(2026,3,31)</f>
        <v>46112</v>
      </c>
      <c r="F6" s="39">
        <f>DATE(2026,6,30)</f>
        <v>46203</v>
      </c>
      <c r="G6" s="39">
        <f>DATE(2025,12,31)</f>
        <v>46022</v>
      </c>
      <c r="H6" s="64">
        <f>DATE(2026,9,30)</f>
        <v>46295</v>
      </c>
      <c r="I6" s="29"/>
      <c r="J6" s="1"/>
      <c r="K6" s="1"/>
      <c r="L6" s="1"/>
      <c r="M6" s="1"/>
    </row>
    <row r="7">
      <c r="A7" s="1"/>
      <c r="B7" s="18" t="s">
        <v>6</v>
      </c>
      <c r="C7" s="42">
        <f>C6-EOMONTH(C6,-3)</f>
        <v>92</v>
      </c>
      <c r="D7" s="42">
        <f>D6-EOMONTH(D6,-3)</f>
        <v>92</v>
      </c>
      <c r="E7" s="42">
        <f>E6-EOMONTH(E6,-3)</f>
        <v>90</v>
      </c>
      <c r="F7" s="42">
        <f>F6-EOMONTH(F6,-3)</f>
        <v>91</v>
      </c>
      <c r="G7" s="42">
        <f>G6-EOMONTH(G6,-12)</f>
        <v>365</v>
      </c>
      <c r="H7" s="55">
        <f>H6-EOMONTH(H6,-3)</f>
        <v>92</v>
      </c>
      <c r="I7" s="18"/>
      <c r="J7" s="1"/>
      <c r="K7" s="1"/>
      <c r="L7" s="1"/>
      <c r="M7" s="1"/>
    </row>
    <row r="8">
      <c r="A8" s="1"/>
      <c r="B8" s="1"/>
      <c r="C8" s="1"/>
      <c r="D8" s="1"/>
      <c r="E8" s="1"/>
      <c r="F8" s="1"/>
      <c r="G8" s="1"/>
      <c r="H8" s="51"/>
      <c r="I8" s="1"/>
      <c r="J8" s="1"/>
      <c r="K8" s="1"/>
      <c r="L8" s="1"/>
      <c r="M8" s="1"/>
    </row>
    <row r="9">
      <c r="A9" s="1"/>
      <c r="B9" s="25" t="s">
        <v>79</v>
      </c>
      <c r="C9" s="1"/>
      <c r="D9" s="1"/>
      <c r="E9" s="1"/>
      <c r="F9" s="1"/>
      <c r="G9" s="1"/>
      <c r="H9" s="51"/>
      <c r="I9" s="31"/>
      <c r="J9" s="1"/>
      <c r="K9" s="1"/>
      <c r="L9" s="1"/>
      <c r="M9" s="1"/>
    </row>
    <row r="10">
      <c r="A10" s="1"/>
      <c r="B10" s="9" t="s">
        <v>80</v>
      </c>
      <c r="C10" s="69">
        <f>'Segment - Analog'!C19</f>
        <v>3729</v>
      </c>
      <c r="D10" s="69">
        <f>'Segment - Analog'!D19</f>
        <v>3615</v>
      </c>
      <c r="E10" s="69">
        <f>'Segment - Analog'!E19</f>
        <v>3924</v>
      </c>
      <c r="F10" s="69">
        <f>'Segment - Analog'!F19</f>
        <v>4365</v>
      </c>
      <c r="G10" s="69">
        <f>'Segment - Analog'!G19</f>
        <v>14006</v>
      </c>
      <c r="H10" s="67">
        <f>'Segment - Analog'!H19</f>
        <v>4873.5225</v>
      </c>
      <c r="I10" s="31"/>
      <c r="J10" s="1"/>
      <c r="K10" s="1"/>
      <c r="L10" s="1"/>
      <c r="M10" s="1"/>
    </row>
    <row r="11">
      <c r="A11" s="1"/>
      <c r="B11" s="1" t="s">
        <v>81</v>
      </c>
      <c r="C11" s="32">
        <f>IF(AND(ISNUMBER(C10),ISNUMBER(Inputs!F99)),C10-Inputs!F99,"n/a")</f>
        <v>277</v>
      </c>
      <c r="D11" s="15">
        <f>IF(AND(ISNUMBER(D10),ISNUMBER(C10)),D10-C10,"n/a")</f>
        <v>-114</v>
      </c>
      <c r="E11" s="15">
        <f>IF(AND(ISNUMBER(E10),ISNUMBER(D10)),E10-D10,"n/a")</f>
        <v>309</v>
      </c>
      <c r="F11" s="15">
        <f>IF(AND(ISNUMBER(F10),ISNUMBER(E10)),F10-E10,"n/a")</f>
        <v>441</v>
      </c>
      <c r="G11" s="15" t="s">
        <v>82</v>
      </c>
      <c r="H11" s="41">
        <f>IF(AND(ISNUMBER(H10),ISNUMBER(F10)),H10-F10,"n/a")</f>
        <v>508.52250000000004</v>
      </c>
      <c r="I11" s="31"/>
      <c r="J11" s="1"/>
      <c r="K11" s="1"/>
      <c r="L11" s="1"/>
      <c r="M11" s="1"/>
    </row>
    <row r="12">
      <c r="A12" s="1"/>
      <c r="B12" s="1" t="s">
        <v>83</v>
      </c>
      <c r="C12" s="32">
        <f>IF(AND(ISNUMBER(C10),ISNUMBER(Inputs!C99)),C10-Inputs!C99,"n/a")</f>
        <v>506</v>
      </c>
      <c r="D12" s="32">
        <f>IF(AND(ISNUMBER(D10),ISNUMBER(Inputs!D99)),D10-Inputs!D99,"n/a")</f>
        <v>441</v>
      </c>
      <c r="E12" s="32">
        <f>IF(AND(ISNUMBER(E10),ISNUMBER(Inputs!E99)),E10-Inputs!E99,"n/a")</f>
        <v>714</v>
      </c>
      <c r="F12" s="32">
        <f>IF(AND(ISNUMBER(F10),ISNUMBER(Inputs!F99)),F10-Inputs!F99,"n/a")</f>
        <v>913</v>
      </c>
      <c r="G12" s="32">
        <f>IF(AND(ISNUMBER(G10),ISNUMBER(Inputs!G99)),G10-Inputs!G99,"n/a")</f>
        <v>1845</v>
      </c>
      <c r="H12" s="41">
        <f>IF(AND(ISNUMBER(H10),ISNUMBER(C10)),H10-C10,"n/a")</f>
        <v>1144.5225</v>
      </c>
      <c r="I12" s="31"/>
      <c r="J12" s="1"/>
      <c r="K12" s="1"/>
      <c r="L12" s="1"/>
      <c r="M12" s="1"/>
    </row>
    <row r="13">
      <c r="A13" s="1"/>
      <c r="B13" s="12" t="s">
        <v>84</v>
      </c>
      <c r="C13" s="13">
        <f>IFERROR(C10/Inputs!C99-1,"n/a")</f>
        <v>0.15699658703071662</v>
      </c>
      <c r="D13" s="13">
        <f>IFERROR(D10/Inputs!D99-1,"n/a")</f>
        <v>0.1389413988657846</v>
      </c>
      <c r="E13" s="13">
        <f>IFERROR(E10/Inputs!E99-1,"n/a")</f>
        <v>0.22242990654205608</v>
      </c>
      <c r="F13" s="13">
        <f>IFERROR(F10/Inputs!F99-1,"n/a")</f>
        <v>0.26448435689455385</v>
      </c>
      <c r="G13" s="13">
        <f>IFERROR(G10/Inputs!G99-1,"n/a")</f>
        <v>0.15171449716306218</v>
      </c>
      <c r="H13" s="16">
        <f>IFERROR(H10/C10-1,"n/a")</f>
        <v>0.30692477876106206</v>
      </c>
      <c r="I13" s="31"/>
      <c r="J13" s="1"/>
      <c r="K13" s="1"/>
      <c r="L13" s="1"/>
      <c r="M13" s="1"/>
    </row>
    <row r="14">
      <c r="A14" s="1"/>
      <c r="B14" s="12" t="s">
        <v>85</v>
      </c>
      <c r="C14" s="13">
        <f>IFERROR(C10/Inputs!F99-1,"n/a")</f>
        <v>0.08024333719582843</v>
      </c>
      <c r="D14" s="4">
        <f>IFERROR(D10/C10-1,"n/a")</f>
        <v>-0.03057119871279168</v>
      </c>
      <c r="E14" s="4">
        <f>IFERROR(E10/D10-1,"n/a")</f>
        <v>0.08547717842323643</v>
      </c>
      <c r="F14" s="4">
        <f>IFERROR(F10/E10-1,"n/a")</f>
        <v>0.11238532110091737</v>
      </c>
      <c r="G14" s="4" t="s">
        <v>82</v>
      </c>
      <c r="H14" s="16">
        <f>IFERROR(H10/F10-1,"n/a")</f>
        <v>0.11650000000000005</v>
      </c>
      <c r="I14" s="31"/>
      <c r="J14" s="1"/>
      <c r="K14" s="1"/>
      <c r="L14" s="1"/>
      <c r="M14" s="1"/>
    </row>
    <row r="15">
      <c r="A15" s="1"/>
      <c r="B15" s="12" t="s">
        <v>86</v>
      </c>
      <c r="C15" s="4">
        <f>C10/C47</f>
        <v>0.786377056094475</v>
      </c>
      <c r="D15" s="4">
        <f>D10/D47</f>
        <v>0.8173185620619489</v>
      </c>
      <c r="E15" s="4">
        <f>E10/E47</f>
        <v>0.8132642487046632</v>
      </c>
      <c r="F15" s="4">
        <f>F10/F47</f>
        <v>0.7990115321252059</v>
      </c>
      <c r="G15" s="4">
        <f>G10/G47</f>
        <v>0.7921049655016401</v>
      </c>
      <c r="H15" s="16">
        <f>H10/H47</f>
        <v>0.8086232204190698</v>
      </c>
      <c r="I15" s="31"/>
      <c r="J15" s="1"/>
      <c r="K15" s="1"/>
      <c r="L15" s="1"/>
      <c r="M15" s="1"/>
    </row>
    <row r="16">
      <c r="A16" s="1"/>
      <c r="B16" s="12" t="s">
        <v>87</v>
      </c>
      <c r="C16" s="40">
        <v>0</v>
      </c>
      <c r="D16" s="40">
        <v>0</v>
      </c>
      <c r="E16" s="40">
        <v>0</v>
      </c>
      <c r="F16" s="40">
        <v>0</v>
      </c>
      <c r="G16" s="40">
        <v>0</v>
      </c>
      <c r="H16" s="45">
        <v>0</v>
      </c>
      <c r="I16" s="31" t="s">
        <v>88</v>
      </c>
      <c r="J16" s="1"/>
      <c r="K16" s="1"/>
      <c r="L16" s="1"/>
      <c r="M16" s="1"/>
    </row>
    <row r="17">
      <c r="A17" s="1"/>
      <c r="B17" s="12" t="s">
        <v>89</v>
      </c>
      <c r="C17" s="4" t="s">
        <v>90</v>
      </c>
      <c r="D17" s="4" t="s">
        <v>90</v>
      </c>
      <c r="E17" s="4" t="s">
        <v>90</v>
      </c>
      <c r="F17" s="4" t="s">
        <v>90</v>
      </c>
      <c r="G17" s="4" t="s">
        <v>90</v>
      </c>
      <c r="H17" s="16" t="s">
        <v>90</v>
      </c>
      <c r="I17" s="31" t="s">
        <v>91</v>
      </c>
      <c r="J17" s="1"/>
      <c r="K17" s="1"/>
      <c r="L17" s="1"/>
      <c r="M17" s="1"/>
    </row>
    <row r="18">
      <c r="A18" s="1"/>
      <c r="B18" s="12" t="s">
        <v>92</v>
      </c>
      <c r="C18" s="4" t="str">
        <f>IF(AND(ISNUMBER(C13),ISNUMBER(C16),ISNUMBER(C17)),(1+C13)/((1+C16)*(1+C17))-1,"unavailable")</f>
        <v>unavailable</v>
      </c>
      <c r="D18" s="4" t="str">
        <f>IF(AND(ISNUMBER(D13),ISNUMBER(D16),ISNUMBER(D17)),(1+D13)/((1+D16)*(1+D17))-1,"unavailable")</f>
        <v>unavailable</v>
      </c>
      <c r="E18" s="4" t="str">
        <f>IF(AND(ISNUMBER(E13),ISNUMBER(E16),ISNUMBER(E17)),(1+E13)/((1+E16)*(1+E17))-1,"unavailable")</f>
        <v>unavailable</v>
      </c>
      <c r="F18" s="4" t="str">
        <f>IF(AND(ISNUMBER(F13),ISNUMBER(F16),ISNUMBER(F17)),(1+F13)/((1+F16)*(1+F17))-1,"unavailable")</f>
        <v>unavailable</v>
      </c>
      <c r="G18" s="4" t="str">
        <f>IF(AND(ISNUMBER(G13),ISNUMBER(G16),ISNUMBER(G17)),(1+G13)/((1+G16)*(1+G17))-1,"unavailable")</f>
        <v>unavailable</v>
      </c>
      <c r="H18" s="16" t="str">
        <f>IF(AND(ISNUMBER(H13),ISNUMBER(H16),ISNUMBER(H17)),(1+H13)/((1+H16)*(1+H17))-1,"unavailable")</f>
        <v>unavailable</v>
      </c>
      <c r="I18" s="31"/>
      <c r="J18" s="1"/>
      <c r="K18" s="1"/>
      <c r="L18" s="1"/>
      <c r="M18" s="1"/>
    </row>
    <row r="19">
      <c r="A19" s="1"/>
      <c r="B19" s="12" t="s">
        <v>93</v>
      </c>
      <c r="C19" s="4">
        <f>C13</f>
        <v>0.15699658703071662</v>
      </c>
      <c r="D19" s="4">
        <f>D13</f>
        <v>0.1389413988657846</v>
      </c>
      <c r="E19" s="4">
        <f>E13</f>
        <v>0.22242990654205608</v>
      </c>
      <c r="F19" s="4">
        <f>F13</f>
        <v>0.26448435689455385</v>
      </c>
      <c r="G19" s="4">
        <f>G13</f>
        <v>0.15171449716306218</v>
      </c>
      <c r="H19" s="16">
        <f>H13</f>
        <v>0.30692477876106206</v>
      </c>
      <c r="I19" s="31"/>
      <c r="J19" s="1"/>
      <c r="K19" s="1"/>
      <c r="L19" s="1"/>
      <c r="M19" s="1"/>
    </row>
    <row r="20">
      <c r="A20" s="1"/>
      <c r="B20" s="1"/>
      <c r="C20" s="1"/>
      <c r="D20" s="1"/>
      <c r="E20" s="1"/>
      <c r="F20" s="1"/>
      <c r="G20" s="1"/>
      <c r="H20" s="51"/>
      <c r="I20" s="31"/>
      <c r="J20" s="1"/>
      <c r="K20" s="1"/>
      <c r="L20" s="1"/>
      <c r="M20" s="1"/>
    </row>
    <row r="21">
      <c r="A21" s="1"/>
      <c r="B21" s="9" t="s">
        <v>94</v>
      </c>
      <c r="C21" s="69">
        <f>'Segment - Embedded Processing'!C19</f>
        <v>709</v>
      </c>
      <c r="D21" s="69">
        <f>'Segment - Embedded Processing'!D19</f>
        <v>662</v>
      </c>
      <c r="E21" s="69">
        <f>'Segment - Embedded Processing'!E19</f>
        <v>723</v>
      </c>
      <c r="F21" s="69">
        <f>'Segment - Embedded Processing'!F19</f>
        <v>788</v>
      </c>
      <c r="G21" s="69">
        <f>'Segment - Embedded Processing'!G19</f>
        <v>2697</v>
      </c>
      <c r="H21" s="67">
        <f>'Segment - Embedded Processing'!H19</f>
        <v>843.4161</v>
      </c>
      <c r="I21" s="31"/>
      <c r="J21" s="1"/>
      <c r="K21" s="1"/>
      <c r="L21" s="1"/>
      <c r="M21" s="1"/>
    </row>
    <row r="22">
      <c r="A22" s="1"/>
      <c r="B22" s="1" t="s">
        <v>81</v>
      </c>
      <c r="C22" s="32">
        <f>IF(AND(ISNUMBER(C21),ISNUMBER(Inputs!F100)),C21-Inputs!F100,"n/a")</f>
        <v>30</v>
      </c>
      <c r="D22" s="15">
        <f>IF(AND(ISNUMBER(D21),ISNUMBER(C21)),D21-C21,"n/a")</f>
        <v>-47</v>
      </c>
      <c r="E22" s="15">
        <f>IF(AND(ISNUMBER(E21),ISNUMBER(D21)),E21-D21,"n/a")</f>
        <v>61</v>
      </c>
      <c r="F22" s="15">
        <f>IF(AND(ISNUMBER(F21),ISNUMBER(E21)),F21-E21,"n/a")</f>
        <v>65</v>
      </c>
      <c r="G22" s="15" t="s">
        <v>82</v>
      </c>
      <c r="H22" s="41">
        <f>IF(AND(ISNUMBER(H21),ISNUMBER(F21)),H21-F21,"n/a")</f>
        <v>55.41610000000003</v>
      </c>
      <c r="I22" s="31"/>
      <c r="J22" s="1"/>
      <c r="K22" s="1"/>
      <c r="L22" s="1"/>
      <c r="M22" s="1"/>
    </row>
    <row r="23">
      <c r="A23" s="1"/>
      <c r="B23" s="1" t="s">
        <v>83</v>
      </c>
      <c r="C23" s="32">
        <f>IF(AND(ISNUMBER(C21),ISNUMBER(Inputs!C100)),C21-Inputs!C100,"n/a")</f>
        <v>56</v>
      </c>
      <c r="D23" s="32">
        <f>IF(AND(ISNUMBER(D21),ISNUMBER(Inputs!D100)),D21-Inputs!D100,"n/a")</f>
        <v>49</v>
      </c>
      <c r="E23" s="32">
        <f>IF(AND(ISNUMBER(E21),ISNUMBER(Inputs!E100)),E21-Inputs!E100,"n/a")</f>
        <v>76</v>
      </c>
      <c r="F23" s="32">
        <f>IF(AND(ISNUMBER(F21),ISNUMBER(Inputs!F100)),F21-Inputs!F100,"n/a")</f>
        <v>109</v>
      </c>
      <c r="G23" s="32">
        <f>IF(AND(ISNUMBER(G21),ISNUMBER(Inputs!G100)),G21-Inputs!G100,"n/a")</f>
        <v>164</v>
      </c>
      <c r="H23" s="41">
        <f>IF(AND(ISNUMBER(H21),ISNUMBER(C21)),H21-C21,"n/a")</f>
        <v>134.41610000000003</v>
      </c>
      <c r="I23" s="31"/>
      <c r="J23" s="1"/>
      <c r="K23" s="1"/>
      <c r="L23" s="1"/>
      <c r="M23" s="1"/>
    </row>
    <row r="24">
      <c r="A24" s="1"/>
      <c r="B24" s="12" t="s">
        <v>84</v>
      </c>
      <c r="C24" s="13">
        <f>IFERROR(C21/Inputs!C100-1,"n/a")</f>
        <v>0.08575803981623276</v>
      </c>
      <c r="D24" s="13">
        <f>IFERROR(D21/Inputs!D100-1,"n/a")</f>
        <v>0.07993474714518767</v>
      </c>
      <c r="E24" s="13">
        <f>IFERROR(E21/Inputs!E100-1,"n/a")</f>
        <v>0.1174652241112828</v>
      </c>
      <c r="F24" s="13">
        <f>IFERROR(F21/Inputs!F100-1,"n/a")</f>
        <v>0.1605301914580266</v>
      </c>
      <c r="G24" s="13">
        <f>IFERROR(G21/Inputs!G100-1,"n/a")</f>
        <v>0.06474536123174102</v>
      </c>
      <c r="H24" s="16">
        <f>IFERROR(H21/C21-1,"n/a")</f>
        <v>0.18958547249647384</v>
      </c>
      <c r="I24" s="31"/>
      <c r="J24" s="1"/>
      <c r="K24" s="1"/>
      <c r="L24" s="1"/>
      <c r="M24" s="1"/>
    </row>
    <row r="25">
      <c r="A25" s="1"/>
      <c r="B25" s="12" t="s">
        <v>85</v>
      </c>
      <c r="C25" s="13">
        <f>IFERROR(C21/Inputs!F100-1,"n/a")</f>
        <v>0.044182621502209196</v>
      </c>
      <c r="D25" s="4">
        <f>IFERROR(D21/C21-1,"n/a")</f>
        <v>-0.06629055007052187</v>
      </c>
      <c r="E25" s="4">
        <f>IFERROR(E21/D21-1,"n/a")</f>
        <v>0.09214501510574014</v>
      </c>
      <c r="F25" s="4">
        <f>IFERROR(F21/E21-1,"n/a")</f>
        <v>0.08990318118948815</v>
      </c>
      <c r="G25" s="4" t="s">
        <v>82</v>
      </c>
      <c r="H25" s="16">
        <f>IFERROR(H21/F21-1,"n/a")</f>
        <v>0.07032499999999997</v>
      </c>
      <c r="I25" s="31"/>
      <c r="J25" s="1"/>
      <c r="K25" s="1"/>
      <c r="L25" s="1"/>
      <c r="M25" s="1"/>
    </row>
    <row r="26">
      <c r="A26" s="1"/>
      <c r="B26" s="12" t="s">
        <v>86</v>
      </c>
      <c r="C26" s="4">
        <f>C21/C47</f>
        <v>0.149514972585407</v>
      </c>
      <c r="D26" s="4">
        <f>D21/D47</f>
        <v>0.14967216821162108</v>
      </c>
      <c r="E26" s="4">
        <f>E21/E47</f>
        <v>0.14984455958549223</v>
      </c>
      <c r="F26" s="4">
        <f>F21/F47</f>
        <v>0.14424308987735676</v>
      </c>
      <c r="G26" s="4">
        <f>G21/G47</f>
        <v>0.15252799457074992</v>
      </c>
      <c r="H26" s="16">
        <f>H21/H47</f>
        <v>0.13994104735030816</v>
      </c>
      <c r="I26" s="31"/>
      <c r="J26" s="1"/>
      <c r="K26" s="1"/>
      <c r="L26" s="1"/>
      <c r="M26" s="1"/>
    </row>
    <row r="27">
      <c r="A27" s="1"/>
      <c r="B27" s="12" t="s">
        <v>87</v>
      </c>
      <c r="C27" s="40">
        <v>0</v>
      </c>
      <c r="D27" s="40">
        <v>0</v>
      </c>
      <c r="E27" s="40">
        <v>0</v>
      </c>
      <c r="F27" s="40">
        <v>0</v>
      </c>
      <c r="G27" s="40">
        <v>0</v>
      </c>
      <c r="H27" s="45">
        <v>0</v>
      </c>
      <c r="I27" s="31" t="s">
        <v>88</v>
      </c>
      <c r="J27" s="1"/>
      <c r="K27" s="1"/>
      <c r="L27" s="1"/>
      <c r="M27" s="1"/>
    </row>
    <row r="28">
      <c r="A28" s="1"/>
      <c r="B28" s="12" t="s">
        <v>89</v>
      </c>
      <c r="C28" s="4" t="s">
        <v>90</v>
      </c>
      <c r="D28" s="4" t="s">
        <v>90</v>
      </c>
      <c r="E28" s="4" t="s">
        <v>90</v>
      </c>
      <c r="F28" s="4" t="s">
        <v>90</v>
      </c>
      <c r="G28" s="4" t="s">
        <v>90</v>
      </c>
      <c r="H28" s="16" t="s">
        <v>90</v>
      </c>
      <c r="I28" s="31" t="s">
        <v>91</v>
      </c>
      <c r="J28" s="1"/>
      <c r="K28" s="1"/>
      <c r="L28" s="1"/>
      <c r="M28" s="1"/>
    </row>
    <row r="29">
      <c r="A29" s="1"/>
      <c r="B29" s="12" t="s">
        <v>92</v>
      </c>
      <c r="C29" s="4" t="str">
        <f>IF(AND(ISNUMBER(C24),ISNUMBER(C27),ISNUMBER(C28)),(1+C24)/((1+C27)*(1+C28))-1,"unavailable")</f>
        <v>unavailable</v>
      </c>
      <c r="D29" s="4" t="str">
        <f>IF(AND(ISNUMBER(D24),ISNUMBER(D27),ISNUMBER(D28)),(1+D24)/((1+D27)*(1+D28))-1,"unavailable")</f>
        <v>unavailable</v>
      </c>
      <c r="E29" s="4" t="str">
        <f>IF(AND(ISNUMBER(E24),ISNUMBER(E27),ISNUMBER(E28)),(1+E24)/((1+E27)*(1+E28))-1,"unavailable")</f>
        <v>unavailable</v>
      </c>
      <c r="F29" s="4" t="str">
        <f>IF(AND(ISNUMBER(F24),ISNUMBER(F27),ISNUMBER(F28)),(1+F24)/((1+F27)*(1+F28))-1,"unavailable")</f>
        <v>unavailable</v>
      </c>
      <c r="G29" s="4" t="str">
        <f>IF(AND(ISNUMBER(G24),ISNUMBER(G27),ISNUMBER(G28)),(1+G24)/((1+G27)*(1+G28))-1,"unavailable")</f>
        <v>unavailable</v>
      </c>
      <c r="H29" s="16" t="str">
        <f>IF(AND(ISNUMBER(H24),ISNUMBER(H27),ISNUMBER(H28)),(1+H24)/((1+H27)*(1+H28))-1,"unavailable")</f>
        <v>unavailable</v>
      </c>
      <c r="I29" s="31"/>
      <c r="J29" s="1"/>
      <c r="K29" s="1"/>
      <c r="L29" s="1"/>
      <c r="M29" s="1"/>
    </row>
    <row r="30">
      <c r="A30" s="1"/>
      <c r="B30" s="12" t="s">
        <v>93</v>
      </c>
      <c r="C30" s="4">
        <f>C24</f>
        <v>0.08575803981623276</v>
      </c>
      <c r="D30" s="4">
        <f>D24</f>
        <v>0.07993474714518767</v>
      </c>
      <c r="E30" s="4">
        <f>E24</f>
        <v>0.1174652241112828</v>
      </c>
      <c r="F30" s="4">
        <f>F24</f>
        <v>0.1605301914580266</v>
      </c>
      <c r="G30" s="4">
        <f>G24</f>
        <v>0.06474536123174102</v>
      </c>
      <c r="H30" s="16">
        <f>H24</f>
        <v>0.18958547249647384</v>
      </c>
      <c r="I30" s="31"/>
      <c r="J30" s="1"/>
      <c r="K30" s="1"/>
      <c r="L30" s="1"/>
      <c r="M30" s="1"/>
    </row>
    <row r="31">
      <c r="A31" s="1"/>
      <c r="B31" s="1"/>
      <c r="C31" s="1"/>
      <c r="D31" s="1"/>
      <c r="E31" s="1"/>
      <c r="F31" s="1"/>
      <c r="G31" s="1"/>
      <c r="H31" s="51"/>
      <c r="I31" s="31"/>
      <c r="J31" s="1"/>
      <c r="K31" s="1"/>
      <c r="L31" s="1"/>
      <c r="M31" s="1"/>
    </row>
    <row r="32">
      <c r="A32" s="1"/>
      <c r="B32" s="1" t="s">
        <v>95</v>
      </c>
      <c r="C32" s="32">
        <f>Inputs!F101</f>
        <v>317</v>
      </c>
      <c r="D32" s="15">
        <f>C36</f>
        <v>304</v>
      </c>
      <c r="E32" s="15">
        <f>D36</f>
        <v>146</v>
      </c>
      <c r="F32" s="15">
        <f>E36</f>
        <v>178</v>
      </c>
      <c r="G32" s="15"/>
      <c r="H32" s="41">
        <f>F36</f>
        <v>310</v>
      </c>
      <c r="I32" s="31"/>
      <c r="J32" s="1"/>
      <c r="K32" s="1"/>
      <c r="L32" s="1"/>
      <c r="M32" s="1"/>
    </row>
    <row r="33">
      <c r="A33" s="1"/>
      <c r="B33" s="12" t="s">
        <v>96</v>
      </c>
      <c r="C33" s="4">
        <f>C36/C32-1</f>
        <v>-0.04100946372239744</v>
      </c>
      <c r="D33" s="4">
        <f>D36/D32-1</f>
        <v>-0.5197368421052632</v>
      </c>
      <c r="E33" s="4">
        <f>E36/E32-1</f>
        <v>0.2191780821917808</v>
      </c>
      <c r="F33" s="4">
        <f>F36/F32-1</f>
        <v>0.7415730337078652</v>
      </c>
      <c r="G33" s="4"/>
      <c r="H33" s="45">
        <v>0</v>
      </c>
      <c r="I33" s="31" t="s">
        <v>97</v>
      </c>
      <c r="J33" s="1"/>
      <c r="K33" s="1"/>
      <c r="L33" s="1"/>
      <c r="M33" s="1"/>
    </row>
    <row r="34">
      <c r="A34" s="1"/>
      <c r="B34" s="12" t="s">
        <v>98</v>
      </c>
      <c r="C34" s="22" t="s">
        <v>82</v>
      </c>
      <c r="D34" s="22" t="s">
        <v>82</v>
      </c>
      <c r="E34" s="22" t="s">
        <v>82</v>
      </c>
      <c r="F34" s="22" t="s">
        <v>82</v>
      </c>
      <c r="G34" s="22" t="s">
        <v>82</v>
      </c>
      <c r="H34" s="28" t="s">
        <v>82</v>
      </c>
      <c r="I34" s="31" t="s">
        <v>99</v>
      </c>
      <c r="J34" s="1"/>
      <c r="K34" s="1"/>
      <c r="L34" s="1"/>
      <c r="M34" s="1"/>
    </row>
    <row r="35">
      <c r="A35" s="1"/>
      <c r="B35" s="12" t="s">
        <v>100</v>
      </c>
      <c r="C35" s="22" t="s">
        <v>82</v>
      </c>
      <c r="D35" s="22" t="s">
        <v>82</v>
      </c>
      <c r="E35" s="22" t="s">
        <v>82</v>
      </c>
      <c r="F35" s="22" t="s">
        <v>82</v>
      </c>
      <c r="G35" s="22" t="s">
        <v>82</v>
      </c>
      <c r="H35" s="28" t="s">
        <v>82</v>
      </c>
      <c r="I35" s="31"/>
      <c r="J35" s="1"/>
      <c r="K35" s="1"/>
      <c r="L35" s="1"/>
      <c r="M35" s="1"/>
    </row>
    <row r="36">
      <c r="A36" s="1"/>
      <c r="B36" s="9" t="s">
        <v>101</v>
      </c>
      <c r="C36" s="68">
        <v>304</v>
      </c>
      <c r="D36" s="68">
        <v>146</v>
      </c>
      <c r="E36" s="68">
        <v>178</v>
      </c>
      <c r="F36" s="68">
        <v>310</v>
      </c>
      <c r="G36" s="68">
        <v>979</v>
      </c>
      <c r="H36" s="84">
        <f>H32*(1+H33)</f>
        <v>310</v>
      </c>
      <c r="I36" s="31"/>
      <c r="J36" s="1"/>
      <c r="K36" s="1"/>
      <c r="L36" s="1"/>
      <c r="M36" s="1"/>
    </row>
    <row r="37">
      <c r="A37" s="1"/>
      <c r="B37" s="1" t="s">
        <v>81</v>
      </c>
      <c r="C37" s="15">
        <f>C36-C32</f>
        <v>-13</v>
      </c>
      <c r="D37" s="15">
        <f>D36-D32</f>
        <v>-158</v>
      </c>
      <c r="E37" s="15">
        <f>E36-E32</f>
        <v>32</v>
      </c>
      <c r="F37" s="15">
        <f>F36-F32</f>
        <v>132</v>
      </c>
      <c r="G37" s="15"/>
      <c r="H37" s="41">
        <f>H36-H32</f>
        <v>0</v>
      </c>
      <c r="I37" s="31"/>
      <c r="J37" s="1"/>
      <c r="K37" s="1"/>
      <c r="L37" s="1"/>
      <c r="M37" s="1"/>
    </row>
    <row r="38">
      <c r="A38" s="1"/>
      <c r="B38" s="1" t="s">
        <v>83</v>
      </c>
      <c r="C38" s="32">
        <f>IF(AND(ISNUMBER(C36),ISNUMBER(Inputs!C101)),C36-Inputs!C101,"n/a")</f>
        <v>29</v>
      </c>
      <c r="D38" s="32">
        <f>IF(AND(ISNUMBER(D36),ISNUMBER(Inputs!D101)),D36-Inputs!D101,"n/a")</f>
        <v>-74</v>
      </c>
      <c r="E38" s="32">
        <f>IF(AND(ISNUMBER(E36),ISNUMBER(Inputs!E101)),E36-Inputs!E101,"n/a")</f>
        <v>-34</v>
      </c>
      <c r="F38" s="32">
        <f>IF(AND(ISNUMBER(F36),ISNUMBER(Inputs!F101)),F36-Inputs!F101,"n/a")</f>
        <v>-7</v>
      </c>
      <c r="G38" s="32">
        <f>IF(AND(ISNUMBER(G36),ISNUMBER(Inputs!G101)),G36-Inputs!G101,"n/a")</f>
        <v>32</v>
      </c>
      <c r="H38" s="41">
        <f>IF(AND(ISNUMBER(H36),ISNUMBER(C36)),H36-C36,"n/a")</f>
        <v>6</v>
      </c>
      <c r="I38" s="31"/>
      <c r="J38" s="1"/>
      <c r="K38" s="1"/>
      <c r="L38" s="1"/>
      <c r="M38" s="1"/>
    </row>
    <row r="39">
      <c r="A39" s="1"/>
      <c r="B39" s="12" t="s">
        <v>84</v>
      </c>
      <c r="C39" s="13">
        <f>IFERROR(C36/Inputs!C101-1,"n/a")</f>
        <v>0.10545454545454547</v>
      </c>
      <c r="D39" s="13">
        <f>IFERROR(D36/Inputs!D101-1,"n/a")</f>
        <v>-0.3363636363636363</v>
      </c>
      <c r="E39" s="13">
        <f>IFERROR(E36/Inputs!E101-1,"n/a")</f>
        <v>-0.160377358490566</v>
      </c>
      <c r="F39" s="13">
        <f>IFERROR(F36/Inputs!F101-1,"n/a")</f>
        <v>-0.02208201892744477</v>
      </c>
      <c r="G39" s="13">
        <f>IFERROR(G36/Inputs!G101-1,"n/a")</f>
        <v>0.0337909186906018</v>
      </c>
      <c r="H39" s="16">
        <f>IFERROR(H36/C36-1,"n/a")</f>
        <v>0.019736842105263053</v>
      </c>
      <c r="I39" s="31"/>
      <c r="J39" s="1"/>
      <c r="K39" s="1"/>
      <c r="L39" s="1"/>
      <c r="M39" s="1"/>
    </row>
    <row r="40">
      <c r="A40" s="1"/>
      <c r="B40" s="12" t="s">
        <v>85</v>
      </c>
      <c r="C40" s="13">
        <f>IFERROR(C36/Inputs!F101-1,"n/a")</f>
        <v>-0.04100946372239744</v>
      </c>
      <c r="D40" s="4">
        <f>IFERROR(D36/C36-1,"n/a")</f>
        <v>-0.5197368421052632</v>
      </c>
      <c r="E40" s="4">
        <f>IFERROR(E36/D36-1,"n/a")</f>
        <v>0.2191780821917808</v>
      </c>
      <c r="F40" s="4">
        <f>IFERROR(F36/E36-1,"n/a")</f>
        <v>0.7415730337078652</v>
      </c>
      <c r="G40" s="4" t="s">
        <v>82</v>
      </c>
      <c r="H40" s="16">
        <f>IFERROR(H36/F36-1,"n/a")</f>
        <v>0</v>
      </c>
      <c r="I40" s="31"/>
      <c r="J40" s="1"/>
      <c r="K40" s="1"/>
      <c r="L40" s="1"/>
      <c r="M40" s="1"/>
    </row>
    <row r="41">
      <c r="A41" s="1"/>
      <c r="B41" s="12" t="s">
        <v>86</v>
      </c>
      <c r="C41" s="4">
        <f>C36/C47</f>
        <v>0.0641079713201181</v>
      </c>
      <c r="D41" s="4">
        <f>D36/D47</f>
        <v>0.03300926972643003</v>
      </c>
      <c r="E41" s="4">
        <f>E36/E47</f>
        <v>0.03689119170984456</v>
      </c>
      <c r="F41" s="4">
        <f>F36/F47</f>
        <v>0.056745377997437306</v>
      </c>
      <c r="G41" s="4">
        <f>G36/G47</f>
        <v>0.055367039927609996</v>
      </c>
      <c r="H41" s="16">
        <f>H36/H47</f>
        <v>0.051435732230622026</v>
      </c>
      <c r="I41" s="31"/>
      <c r="J41" s="1"/>
      <c r="K41" s="1"/>
      <c r="L41" s="1"/>
      <c r="M41" s="1"/>
    </row>
    <row r="42">
      <c r="A42" s="1"/>
      <c r="B42" s="12" t="s">
        <v>87</v>
      </c>
      <c r="C42" s="40">
        <v>0</v>
      </c>
      <c r="D42" s="40">
        <v>0</v>
      </c>
      <c r="E42" s="40">
        <v>0</v>
      </c>
      <c r="F42" s="40">
        <v>0</v>
      </c>
      <c r="G42" s="40">
        <v>0</v>
      </c>
      <c r="H42" s="45">
        <v>0</v>
      </c>
      <c r="I42" s="31" t="s">
        <v>102</v>
      </c>
      <c r="J42" s="1"/>
      <c r="K42" s="1"/>
      <c r="L42" s="1"/>
      <c r="M42" s="1"/>
    </row>
    <row r="43">
      <c r="A43" s="1"/>
      <c r="B43" s="12" t="s">
        <v>89</v>
      </c>
      <c r="C43" s="4" t="s">
        <v>90</v>
      </c>
      <c r="D43" s="4" t="s">
        <v>90</v>
      </c>
      <c r="E43" s="4" t="s">
        <v>90</v>
      </c>
      <c r="F43" s="4" t="s">
        <v>90</v>
      </c>
      <c r="G43" s="4" t="s">
        <v>90</v>
      </c>
      <c r="H43" s="16" t="s">
        <v>90</v>
      </c>
      <c r="I43" s="31" t="s">
        <v>91</v>
      </c>
      <c r="J43" s="1"/>
      <c r="K43" s="1"/>
      <c r="L43" s="1"/>
      <c r="M43" s="1"/>
    </row>
    <row r="44">
      <c r="A44" s="1"/>
      <c r="B44" s="12" t="s">
        <v>92</v>
      </c>
      <c r="C44" s="4" t="str">
        <f>IF(AND(ISNUMBER(C39),ISNUMBER(C42),ISNUMBER(C43)),(1+C39)/((1+C42)*(1+C43))-1,"unavailable")</f>
        <v>unavailable</v>
      </c>
      <c r="D44" s="4" t="str">
        <f>IF(AND(ISNUMBER(D39),ISNUMBER(D42),ISNUMBER(D43)),(1+D39)/((1+D42)*(1+D43))-1,"unavailable")</f>
        <v>unavailable</v>
      </c>
      <c r="E44" s="4" t="str">
        <f>IF(AND(ISNUMBER(E39),ISNUMBER(E42),ISNUMBER(E43)),(1+E39)/((1+E42)*(1+E43))-1,"unavailable")</f>
        <v>unavailable</v>
      </c>
      <c r="F44" s="4" t="str">
        <f>IF(AND(ISNUMBER(F39),ISNUMBER(F42),ISNUMBER(F43)),(1+F39)/((1+F42)*(1+F43))-1,"unavailable")</f>
        <v>unavailable</v>
      </c>
      <c r="G44" s="4" t="str">
        <f>IF(AND(ISNUMBER(G39),ISNUMBER(G42),ISNUMBER(G43)),(1+G39)/((1+G42)*(1+G43))-1,"unavailable")</f>
        <v>unavailable</v>
      </c>
      <c r="H44" s="16" t="str">
        <f>IF(AND(ISNUMBER(H39),ISNUMBER(H42),ISNUMBER(H43)),(1+H39)/((1+H42)*(1+H43))-1,"unavailable")</f>
        <v>unavailable</v>
      </c>
      <c r="I44" s="31"/>
      <c r="J44" s="1"/>
      <c r="K44" s="1"/>
      <c r="L44" s="1"/>
      <c r="M44" s="1"/>
    </row>
    <row r="45">
      <c r="A45" s="1"/>
      <c r="B45" s="12" t="s">
        <v>93</v>
      </c>
      <c r="C45" s="4">
        <f>C39</f>
        <v>0.10545454545454547</v>
      </c>
      <c r="D45" s="4">
        <f>D39</f>
        <v>-0.3363636363636363</v>
      </c>
      <c r="E45" s="4">
        <f>E39</f>
        <v>-0.160377358490566</v>
      </c>
      <c r="F45" s="4">
        <f>F39</f>
        <v>-0.02208201892744477</v>
      </c>
      <c r="G45" s="4">
        <f>G39</f>
        <v>0.0337909186906018</v>
      </c>
      <c r="H45" s="16">
        <f>H39</f>
        <v>0.019736842105263053</v>
      </c>
      <c r="I45" s="31"/>
      <c r="J45" s="1"/>
      <c r="K45" s="1"/>
      <c r="L45" s="1"/>
      <c r="M45" s="1"/>
    </row>
    <row r="46">
      <c r="A46" s="1"/>
      <c r="B46" s="1"/>
      <c r="C46" s="1"/>
      <c r="D46" s="1"/>
      <c r="E46" s="1"/>
      <c r="F46" s="1"/>
      <c r="G46" s="1"/>
      <c r="H46" s="51"/>
      <c r="I46" s="31"/>
      <c r="J46" s="1"/>
      <c r="K46" s="1"/>
      <c r="L46" s="1"/>
      <c r="M46" s="1"/>
    </row>
    <row r="47">
      <c r="A47" s="1"/>
      <c r="B47" s="9" t="s">
        <v>103</v>
      </c>
      <c r="C47" s="17">
        <f>C10+C21+C36</f>
        <v>4742</v>
      </c>
      <c r="D47" s="17">
        <f>D10+D21+D36</f>
        <v>4423</v>
      </c>
      <c r="E47" s="17">
        <f>E10+E21+E36</f>
        <v>4825</v>
      </c>
      <c r="F47" s="17">
        <f>F10+F21+F36</f>
        <v>5463</v>
      </c>
      <c r="G47" s="17">
        <f>G10+G21+G36</f>
        <v>17682</v>
      </c>
      <c r="H47" s="38">
        <f>H10+H21+H36</f>
        <v>6026.9386</v>
      </c>
      <c r="I47" s="31"/>
      <c r="J47" s="1"/>
      <c r="K47" s="1"/>
      <c r="L47" s="1"/>
      <c r="M47" s="1"/>
    </row>
    <row r="48">
      <c r="A48" s="1"/>
      <c r="B48" s="1" t="s">
        <v>81</v>
      </c>
      <c r="C48" s="32">
        <f>IF(AND(ISNUMBER(C47),ISNUMBER(Inputs!F98)),C47-Inputs!F98,"n/a")</f>
        <v>294</v>
      </c>
      <c r="D48" s="15">
        <f>IF(AND(ISNUMBER(D47),ISNUMBER(C47)),D47-C47,"n/a")</f>
        <v>-319</v>
      </c>
      <c r="E48" s="15">
        <f>IF(AND(ISNUMBER(E47),ISNUMBER(D47)),E47-D47,"n/a")</f>
        <v>402</v>
      </c>
      <c r="F48" s="15">
        <f>IF(AND(ISNUMBER(F47),ISNUMBER(E47)),F47-E47,"n/a")</f>
        <v>638</v>
      </c>
      <c r="G48" s="15" t="s">
        <v>82</v>
      </c>
      <c r="H48" s="41">
        <f>IF(AND(ISNUMBER(H47),ISNUMBER(F47)),H47-F47,"n/a")</f>
        <v>563.9386000000004</v>
      </c>
      <c r="I48" s="31"/>
      <c r="J48" s="1"/>
      <c r="K48" s="1"/>
      <c r="L48" s="1"/>
      <c r="M48" s="1"/>
    </row>
    <row r="49">
      <c r="A49" s="1"/>
      <c r="B49" s="1" t="s">
        <v>83</v>
      </c>
      <c r="C49" s="32">
        <f>IF(AND(ISNUMBER(C47),ISNUMBER(Inputs!C98)),C47-Inputs!C98,"n/a")</f>
        <v>591</v>
      </c>
      <c r="D49" s="32">
        <f>IF(AND(ISNUMBER(D47),ISNUMBER(Inputs!D98)),D47-Inputs!D98,"n/a")</f>
        <v>416</v>
      </c>
      <c r="E49" s="32">
        <f>IF(AND(ISNUMBER(E47),ISNUMBER(Inputs!E98)),E47-Inputs!E98,"n/a")</f>
        <v>756</v>
      </c>
      <c r="F49" s="32">
        <f>IF(AND(ISNUMBER(F47),ISNUMBER(Inputs!F98)),F47-Inputs!F98,"n/a")</f>
        <v>1015</v>
      </c>
      <c r="G49" s="32">
        <f>IF(AND(ISNUMBER(G47),ISNUMBER(Inputs!G98)),G47-Inputs!G98,"n/a")</f>
        <v>2041</v>
      </c>
      <c r="H49" s="41">
        <f>IF(AND(ISNUMBER(H47),ISNUMBER(C47)),H47-C47,"n/a")</f>
        <v>1284.9386000000004</v>
      </c>
      <c r="I49" s="31"/>
      <c r="J49" s="1"/>
      <c r="K49" s="1"/>
      <c r="L49" s="1"/>
      <c r="M49" s="1"/>
    </row>
    <row r="50">
      <c r="A50" s="1"/>
      <c r="B50" s="12" t="s">
        <v>84</v>
      </c>
      <c r="C50" s="13">
        <f>IFERROR(C47/Inputs!C98-1,"n/a")</f>
        <v>0.14237533124548296</v>
      </c>
      <c r="D50" s="13">
        <f>IFERROR(D47/Inputs!D98-1,"n/a")</f>
        <v>0.10381831794359875</v>
      </c>
      <c r="E50" s="13">
        <f>IFERROR(E47/Inputs!E98-1,"n/a")</f>
        <v>0.18579503563529132</v>
      </c>
      <c r="F50" s="13">
        <f>IFERROR(F47/Inputs!F98-1,"n/a")</f>
        <v>0.22819244604316546</v>
      </c>
      <c r="G50" s="13">
        <f>IFERROR(G47/Inputs!G98-1,"n/a")</f>
        <v>0.13049037785307838</v>
      </c>
      <c r="H50" s="16">
        <f>IFERROR(H47/C47-1,"n/a")</f>
        <v>0.2709697595951077</v>
      </c>
      <c r="I50" s="31"/>
      <c r="J50" s="1"/>
      <c r="K50" s="1"/>
      <c r="L50" s="1"/>
      <c r="M50" s="1"/>
    </row>
    <row r="51">
      <c r="A51" s="1"/>
      <c r="B51" s="12" t="s">
        <v>85</v>
      </c>
      <c r="C51" s="13">
        <f>IFERROR(C47/Inputs!F98-1,"n/a")</f>
        <v>0.06609712230215825</v>
      </c>
      <c r="D51" s="4">
        <f>IFERROR(D47/C47-1,"n/a")</f>
        <v>-0.06727119358920286</v>
      </c>
      <c r="E51" s="4">
        <f>IFERROR(E47/D47-1,"n/a")</f>
        <v>0.09088853719195122</v>
      </c>
      <c r="F51" s="4">
        <f>IFERROR(F47/E47-1,"n/a")</f>
        <v>0.1322279792746115</v>
      </c>
      <c r="G51" s="4" t="s">
        <v>82</v>
      </c>
      <c r="H51" s="16">
        <f>IFERROR(H47/F47-1,"n/a")</f>
        <v>0.1032287387882116</v>
      </c>
      <c r="I51" s="31"/>
      <c r="J51" s="1"/>
      <c r="K51" s="1"/>
      <c r="L51" s="1"/>
      <c r="M51" s="1"/>
    </row>
    <row r="52">
      <c r="A52" s="1"/>
      <c r="B52" s="12" t="s">
        <v>87</v>
      </c>
      <c r="C52" s="40">
        <v>0</v>
      </c>
      <c r="D52" s="40">
        <v>0</v>
      </c>
      <c r="E52" s="40">
        <v>0</v>
      </c>
      <c r="F52" s="40">
        <v>0</v>
      </c>
      <c r="G52" s="40">
        <v>0</v>
      </c>
      <c r="H52" s="45">
        <v>0</v>
      </c>
      <c r="I52" s="31" t="s">
        <v>88</v>
      </c>
      <c r="J52" s="1"/>
      <c r="K52" s="1"/>
      <c r="L52" s="1"/>
      <c r="M52" s="1"/>
    </row>
    <row r="53">
      <c r="A53" s="1"/>
      <c r="B53" s="12" t="s">
        <v>89</v>
      </c>
      <c r="C53" s="4" t="s">
        <v>90</v>
      </c>
      <c r="D53" s="4" t="s">
        <v>90</v>
      </c>
      <c r="E53" s="4" t="s">
        <v>90</v>
      </c>
      <c r="F53" s="4" t="s">
        <v>90</v>
      </c>
      <c r="G53" s="4" t="s">
        <v>90</v>
      </c>
      <c r="H53" s="16" t="s">
        <v>90</v>
      </c>
      <c r="I53" s="31" t="s">
        <v>91</v>
      </c>
      <c r="J53" s="1"/>
      <c r="K53" s="1"/>
      <c r="L53" s="1"/>
      <c r="M53" s="1"/>
    </row>
    <row r="54">
      <c r="A54" s="1"/>
      <c r="B54" s="12" t="s">
        <v>92</v>
      </c>
      <c r="C54" s="4" t="str">
        <f>IF(AND(ISNUMBER(C50),ISNUMBER(C52),ISNUMBER(C53)),(1+C50)/((1+C52)*(1+C53))-1,"unavailable")</f>
        <v>unavailable</v>
      </c>
      <c r="D54" s="4" t="str">
        <f>IF(AND(ISNUMBER(D50),ISNUMBER(D52),ISNUMBER(D53)),(1+D50)/((1+D52)*(1+D53))-1,"unavailable")</f>
        <v>unavailable</v>
      </c>
      <c r="E54" s="4" t="str">
        <f>IF(AND(ISNUMBER(E50),ISNUMBER(E52),ISNUMBER(E53)),(1+E50)/((1+E52)*(1+E53))-1,"unavailable")</f>
        <v>unavailable</v>
      </c>
      <c r="F54" s="4" t="str">
        <f>IF(AND(ISNUMBER(F50),ISNUMBER(F52),ISNUMBER(F53)),(1+F50)/((1+F52)*(1+F53))-1,"unavailable")</f>
        <v>unavailable</v>
      </c>
      <c r="G54" s="4" t="str">
        <f>IF(AND(ISNUMBER(G50),ISNUMBER(G52),ISNUMBER(G53)),(1+G50)/((1+G52)*(1+G53))-1,"unavailable")</f>
        <v>unavailable</v>
      </c>
      <c r="H54" s="16" t="str">
        <f>IF(AND(ISNUMBER(H50),ISNUMBER(H52),ISNUMBER(H53)),(1+H50)/((1+H52)*(1+H53))-1,"unavailable")</f>
        <v>unavailable</v>
      </c>
      <c r="I54" s="31"/>
      <c r="J54" s="1"/>
      <c r="K54" s="1"/>
      <c r="L54" s="1"/>
      <c r="M54" s="1"/>
    </row>
    <row r="55">
      <c r="A55" s="1"/>
      <c r="B55" s="12" t="s">
        <v>93</v>
      </c>
      <c r="C55" s="4">
        <f>C50</f>
        <v>0.14237533124548296</v>
      </c>
      <c r="D55" s="4">
        <f>D50</f>
        <v>0.10381831794359875</v>
      </c>
      <c r="E55" s="4">
        <f>E50</f>
        <v>0.18579503563529132</v>
      </c>
      <c r="F55" s="4">
        <f>F50</f>
        <v>0.22819244604316546</v>
      </c>
      <c r="G55" s="4">
        <f>G50</f>
        <v>0.13049037785307838</v>
      </c>
      <c r="H55" s="16">
        <f>H50</f>
        <v>0.2709697595951077</v>
      </c>
      <c r="I55" s="31"/>
      <c r="J55" s="1"/>
      <c r="K55" s="1"/>
      <c r="L55" s="1"/>
      <c r="M55" s="1"/>
    </row>
    <row r="56">
      <c r="A56" s="1"/>
      <c r="B56" s="1" t="s">
        <v>104</v>
      </c>
      <c r="C56" s="24">
        <v>4742</v>
      </c>
      <c r="D56" s="24">
        <v>4423</v>
      </c>
      <c r="E56" s="24">
        <v>4825</v>
      </c>
      <c r="F56" s="24">
        <v>5463</v>
      </c>
      <c r="G56" s="24">
        <v>17682</v>
      </c>
      <c r="H56" s="41"/>
      <c r="I56" s="31"/>
      <c r="J56" s="1"/>
      <c r="K56" s="1"/>
      <c r="L56" s="1"/>
      <c r="M56" s="1"/>
    </row>
    <row r="57">
      <c r="A57" s="1"/>
      <c r="B57" s="1" t="s">
        <v>105</v>
      </c>
      <c r="C57" s="15">
        <f>C47-C56</f>
        <v>0</v>
      </c>
      <c r="D57" s="15">
        <f>D47-D56</f>
        <v>0</v>
      </c>
      <c r="E57" s="15">
        <f>E47-E56</f>
        <v>0</v>
      </c>
      <c r="F57" s="15">
        <f>F47-F56</f>
        <v>0</v>
      </c>
      <c r="G57" s="15">
        <f>G47-G56</f>
        <v>0</v>
      </c>
      <c r="H57" s="56">
        <f>H47-'Income Statement'!H9</f>
        <v>0</v>
      </c>
      <c r="I57" s="31"/>
      <c r="J57" s="1"/>
      <c r="K57" s="1"/>
      <c r="L57" s="1"/>
      <c r="M57" s="1"/>
    </row>
    <row r="58">
      <c r="A58" s="1"/>
      <c r="B58" s="1" t="s">
        <v>106</v>
      </c>
      <c r="C58" s="15"/>
      <c r="D58" s="15"/>
      <c r="E58" s="15"/>
      <c r="F58" s="15"/>
      <c r="G58" s="32">
        <f>Inputs!H98+C47+D47-G47</f>
        <v>0</v>
      </c>
      <c r="H58" s="41"/>
      <c r="I58" s="31"/>
      <c r="J58" s="1"/>
      <c r="K58" s="1"/>
      <c r="L58" s="1"/>
      <c r="M58" s="1"/>
    </row>
    <row r="59">
      <c r="A59" s="1"/>
      <c r="B59" s="1"/>
      <c r="C59" s="1"/>
      <c r="D59" s="1"/>
      <c r="E59" s="1"/>
      <c r="F59" s="1"/>
      <c r="G59" s="1"/>
      <c r="H59" s="51"/>
      <c r="I59" s="31"/>
      <c r="J59" s="1"/>
      <c r="K59" s="1"/>
      <c r="L59" s="1"/>
      <c r="M59" s="1"/>
    </row>
    <row r="60">
      <c r="A60" s="1"/>
      <c r="B60" s="25" t="s">
        <v>107</v>
      </c>
      <c r="C60" s="1"/>
      <c r="D60" s="1"/>
      <c r="E60" s="1"/>
      <c r="F60" s="1"/>
      <c r="G60" s="1"/>
      <c r="H60" s="51"/>
      <c r="I60" s="31"/>
      <c r="J60" s="1"/>
      <c r="K60" s="1"/>
      <c r="L60" s="1"/>
      <c r="M60" s="1"/>
    </row>
    <row r="61">
      <c r="A61" s="1"/>
      <c r="B61" s="1" t="s">
        <v>108</v>
      </c>
      <c r="C61" s="15" t="s">
        <v>109</v>
      </c>
      <c r="D61" s="15" t="s">
        <v>109</v>
      </c>
      <c r="E61" s="15" t="s">
        <v>109</v>
      </c>
      <c r="F61" s="15" t="s">
        <v>109</v>
      </c>
      <c r="G61" s="24">
        <v>5800</v>
      </c>
      <c r="H61" s="41" t="s">
        <v>109</v>
      </c>
      <c r="I61" s="31" t="s">
        <v>110</v>
      </c>
      <c r="J61" s="1"/>
      <c r="K61" s="1"/>
      <c r="L61" s="1"/>
      <c r="M61" s="1"/>
    </row>
    <row r="62">
      <c r="A62" s="1"/>
      <c r="B62" s="12" t="s">
        <v>111</v>
      </c>
      <c r="C62" s="4"/>
      <c r="D62" s="4"/>
      <c r="E62" s="4"/>
      <c r="F62" s="4"/>
      <c r="G62" s="40">
        <v>0.12</v>
      </c>
      <c r="H62" s="16"/>
      <c r="I62" s="31"/>
      <c r="J62" s="1"/>
      <c r="K62" s="1"/>
      <c r="L62" s="1"/>
      <c r="M62" s="1"/>
    </row>
    <row r="63">
      <c r="A63" s="1"/>
      <c r="B63" s="12" t="s">
        <v>86</v>
      </c>
      <c r="C63" s="4"/>
      <c r="D63" s="4"/>
      <c r="E63" s="4"/>
      <c r="F63" s="4"/>
      <c r="G63" s="4">
        <f>G61/G47</f>
        <v>0.3280171926252686</v>
      </c>
      <c r="H63" s="16"/>
      <c r="I63" s="31"/>
      <c r="J63" s="1"/>
      <c r="K63" s="1"/>
      <c r="L63" s="1"/>
      <c r="M63" s="1"/>
    </row>
    <row r="64">
      <c r="A64" s="1"/>
      <c r="B64" s="12" t="s">
        <v>87</v>
      </c>
      <c r="C64" s="4"/>
      <c r="D64" s="4"/>
      <c r="E64" s="4"/>
      <c r="F64" s="4"/>
      <c r="G64" s="40">
        <v>0</v>
      </c>
      <c r="H64" s="16"/>
      <c r="I64" s="31"/>
      <c r="J64" s="1"/>
      <c r="K64" s="1"/>
      <c r="L64" s="1"/>
      <c r="M64" s="1"/>
    </row>
    <row r="65">
      <c r="A65" s="1"/>
      <c r="B65" s="12" t="s">
        <v>89</v>
      </c>
      <c r="C65" s="4"/>
      <c r="D65" s="4"/>
      <c r="E65" s="4"/>
      <c r="F65" s="4"/>
      <c r="G65" s="4" t="s">
        <v>90</v>
      </c>
      <c r="H65" s="16"/>
      <c r="I65" s="31"/>
      <c r="J65" s="1"/>
      <c r="K65" s="1"/>
      <c r="L65" s="1"/>
      <c r="M65" s="1"/>
    </row>
    <row r="66">
      <c r="A66" s="1"/>
      <c r="B66" s="12" t="s">
        <v>92</v>
      </c>
      <c r="C66" s="4"/>
      <c r="D66" s="4"/>
      <c r="E66" s="4"/>
      <c r="F66" s="4"/>
      <c r="G66" s="4" t="str">
        <f>IF(AND(ISNUMBER(G62),ISNUMBER(G64),ISNUMBER(G65)),(1+G62)/((1+G64)*(1+G65))-1,"unavailable")</f>
        <v>unavailable</v>
      </c>
      <c r="H66" s="16"/>
      <c r="I66" s="31"/>
      <c r="J66" s="1"/>
      <c r="K66" s="1"/>
      <c r="L66" s="1"/>
      <c r="M66" s="1"/>
    </row>
    <row r="67">
      <c r="A67" s="1"/>
      <c r="B67" s="12" t="s">
        <v>93</v>
      </c>
      <c r="C67" s="4"/>
      <c r="D67" s="4"/>
      <c r="E67" s="4"/>
      <c r="F67" s="4"/>
      <c r="G67" s="4">
        <f>G62</f>
        <v>0.12</v>
      </c>
      <c r="H67" s="16"/>
      <c r="I67" s="31"/>
      <c r="J67" s="1"/>
      <c r="K67" s="1"/>
      <c r="L67" s="1"/>
      <c r="M67" s="1"/>
    </row>
    <row r="68">
      <c r="A68" s="1"/>
      <c r="B68" s="1" t="s">
        <v>112</v>
      </c>
      <c r="C68" s="15" t="s">
        <v>109</v>
      </c>
      <c r="D68" s="15" t="s">
        <v>109</v>
      </c>
      <c r="E68" s="15" t="s">
        <v>109</v>
      </c>
      <c r="F68" s="15" t="s">
        <v>109</v>
      </c>
      <c r="G68" s="24">
        <v>5800</v>
      </c>
      <c r="H68" s="41" t="s">
        <v>109</v>
      </c>
      <c r="I68" s="31" t="s">
        <v>113</v>
      </c>
      <c r="J68" s="1"/>
      <c r="K68" s="1"/>
      <c r="L68" s="1"/>
      <c r="M68" s="1"/>
    </row>
    <row r="69">
      <c r="A69" s="1"/>
      <c r="B69" s="12" t="s">
        <v>111</v>
      </c>
      <c r="C69" s="4"/>
      <c r="D69" s="4"/>
      <c r="E69" s="4"/>
      <c r="F69" s="4"/>
      <c r="G69" s="40">
        <v>0.06</v>
      </c>
      <c r="H69" s="16"/>
      <c r="I69" s="31"/>
      <c r="J69" s="1"/>
      <c r="K69" s="1"/>
      <c r="L69" s="1"/>
      <c r="M69" s="1"/>
    </row>
    <row r="70">
      <c r="A70" s="1"/>
      <c r="B70" s="12" t="s">
        <v>86</v>
      </c>
      <c r="C70" s="4"/>
      <c r="D70" s="4"/>
      <c r="E70" s="4"/>
      <c r="F70" s="4"/>
      <c r="G70" s="4">
        <f>G68/G47</f>
        <v>0.3280171926252686</v>
      </c>
      <c r="H70" s="16"/>
      <c r="I70" s="31"/>
      <c r="J70" s="1"/>
      <c r="K70" s="1"/>
      <c r="L70" s="1"/>
      <c r="M70" s="1"/>
    </row>
    <row r="71">
      <c r="A71" s="1"/>
      <c r="B71" s="12" t="s">
        <v>87</v>
      </c>
      <c r="C71" s="4"/>
      <c r="D71" s="4"/>
      <c r="E71" s="4"/>
      <c r="F71" s="4"/>
      <c r="G71" s="40">
        <v>0</v>
      </c>
      <c r="H71" s="16"/>
      <c r="I71" s="31"/>
      <c r="J71" s="1"/>
      <c r="K71" s="1"/>
      <c r="L71" s="1"/>
      <c r="M71" s="1"/>
    </row>
    <row r="72">
      <c r="A72" s="1"/>
      <c r="B72" s="12" t="s">
        <v>89</v>
      </c>
      <c r="C72" s="4"/>
      <c r="D72" s="4"/>
      <c r="E72" s="4"/>
      <c r="F72" s="4"/>
      <c r="G72" s="4" t="s">
        <v>90</v>
      </c>
      <c r="H72" s="16"/>
      <c r="I72" s="31"/>
      <c r="J72" s="1"/>
      <c r="K72" s="1"/>
      <c r="L72" s="1"/>
      <c r="M72" s="1"/>
    </row>
    <row r="73">
      <c r="A73" s="1"/>
      <c r="B73" s="12" t="s">
        <v>92</v>
      </c>
      <c r="C73" s="4"/>
      <c r="D73" s="4"/>
      <c r="E73" s="4"/>
      <c r="F73" s="4"/>
      <c r="G73" s="4" t="str">
        <f>IF(AND(ISNUMBER(G69),ISNUMBER(G71),ISNUMBER(G72)),(1+G69)/((1+G71)*(1+G72))-1,"unavailable")</f>
        <v>unavailable</v>
      </c>
      <c r="H73" s="16"/>
      <c r="I73" s="31"/>
      <c r="J73" s="1"/>
      <c r="K73" s="1"/>
      <c r="L73" s="1"/>
      <c r="M73" s="1"/>
    </row>
    <row r="74">
      <c r="A74" s="1"/>
      <c r="B74" s="12" t="s">
        <v>93</v>
      </c>
      <c r="C74" s="4"/>
      <c r="D74" s="4"/>
      <c r="E74" s="4"/>
      <c r="F74" s="4"/>
      <c r="G74" s="4">
        <f>G69</f>
        <v>0.06</v>
      </c>
      <c r="H74" s="16"/>
      <c r="I74" s="31"/>
      <c r="J74" s="1"/>
      <c r="K74" s="1"/>
      <c r="L74" s="1"/>
      <c r="M74" s="1"/>
    </row>
    <row r="75">
      <c r="A75" s="1"/>
      <c r="B75" s="1" t="s">
        <v>114</v>
      </c>
      <c r="C75" s="15" t="s">
        <v>109</v>
      </c>
      <c r="D75" s="15" t="s">
        <v>109</v>
      </c>
      <c r="E75" s="15" t="s">
        <v>109</v>
      </c>
      <c r="F75" s="15" t="s">
        <v>109</v>
      </c>
      <c r="G75" s="24">
        <v>1500</v>
      </c>
      <c r="H75" s="41" t="s">
        <v>109</v>
      </c>
      <c r="I75" s="31" t="s">
        <v>115</v>
      </c>
      <c r="J75" s="1"/>
      <c r="K75" s="1"/>
      <c r="L75" s="1"/>
      <c r="M75" s="1"/>
    </row>
    <row r="76">
      <c r="A76" s="1"/>
      <c r="B76" s="12" t="s">
        <v>111</v>
      </c>
      <c r="C76" s="4"/>
      <c r="D76" s="4"/>
      <c r="E76" s="4"/>
      <c r="F76" s="4"/>
      <c r="G76" s="40">
        <v>0.64</v>
      </c>
      <c r="H76" s="16"/>
      <c r="I76" s="31"/>
      <c r="J76" s="1"/>
      <c r="K76" s="1"/>
      <c r="L76" s="1"/>
      <c r="M76" s="1"/>
    </row>
    <row r="77">
      <c r="A77" s="1"/>
      <c r="B77" s="12" t="s">
        <v>86</v>
      </c>
      <c r="C77" s="4"/>
      <c r="D77" s="4"/>
      <c r="E77" s="4"/>
      <c r="F77" s="4"/>
      <c r="G77" s="4">
        <f>G75/G47</f>
        <v>0.08483203257550051</v>
      </c>
      <c r="H77" s="16"/>
      <c r="I77" s="31"/>
      <c r="J77" s="1"/>
      <c r="K77" s="1"/>
      <c r="L77" s="1"/>
      <c r="M77" s="1"/>
    </row>
    <row r="78">
      <c r="A78" s="1"/>
      <c r="B78" s="12" t="s">
        <v>87</v>
      </c>
      <c r="C78" s="4"/>
      <c r="D78" s="4"/>
      <c r="E78" s="4"/>
      <c r="F78" s="4"/>
      <c r="G78" s="40">
        <v>0</v>
      </c>
      <c r="H78" s="16"/>
      <c r="I78" s="31"/>
      <c r="J78" s="1"/>
      <c r="K78" s="1"/>
      <c r="L78" s="1"/>
      <c r="M78" s="1"/>
    </row>
    <row r="79">
      <c r="A79" s="1"/>
      <c r="B79" s="12" t="s">
        <v>89</v>
      </c>
      <c r="C79" s="4"/>
      <c r="D79" s="4"/>
      <c r="E79" s="4"/>
      <c r="F79" s="4"/>
      <c r="G79" s="4" t="s">
        <v>90</v>
      </c>
      <c r="H79" s="16"/>
      <c r="I79" s="31"/>
      <c r="J79" s="1"/>
      <c r="K79" s="1"/>
      <c r="L79" s="1"/>
      <c r="M79" s="1"/>
    </row>
    <row r="80">
      <c r="A80" s="1"/>
      <c r="B80" s="12" t="s">
        <v>92</v>
      </c>
      <c r="C80" s="4"/>
      <c r="D80" s="4"/>
      <c r="E80" s="4"/>
      <c r="F80" s="4"/>
      <c r="G80" s="4" t="str">
        <f>IF(AND(ISNUMBER(G76),ISNUMBER(G78),ISNUMBER(G79)),(1+G76)/((1+G78)*(1+G79))-1,"unavailable")</f>
        <v>unavailable</v>
      </c>
      <c r="H80" s="16"/>
      <c r="I80" s="31"/>
      <c r="J80" s="1"/>
      <c r="K80" s="1"/>
      <c r="L80" s="1"/>
      <c r="M80" s="1"/>
    </row>
    <row r="81">
      <c r="A81" s="1"/>
      <c r="B81" s="12" t="s">
        <v>93</v>
      </c>
      <c r="C81" s="4"/>
      <c r="D81" s="4"/>
      <c r="E81" s="4"/>
      <c r="F81" s="4"/>
      <c r="G81" s="4">
        <f>G76</f>
        <v>0.64</v>
      </c>
      <c r="H81" s="16"/>
      <c r="I81" s="31"/>
      <c r="J81" s="1"/>
      <c r="K81" s="1"/>
      <c r="L81" s="1"/>
      <c r="M81" s="1"/>
    </row>
    <row r="82">
      <c r="A82" s="1"/>
      <c r="B82" s="1" t="s">
        <v>116</v>
      </c>
      <c r="C82" s="15" t="s">
        <v>109</v>
      </c>
      <c r="D82" s="15" t="s">
        <v>109</v>
      </c>
      <c r="E82" s="15" t="s">
        <v>109</v>
      </c>
      <c r="F82" s="15" t="s">
        <v>109</v>
      </c>
      <c r="G82" s="24">
        <v>3700</v>
      </c>
      <c r="H82" s="41" t="s">
        <v>109</v>
      </c>
      <c r="I82" s="31" t="s">
        <v>117</v>
      </c>
      <c r="J82" s="1"/>
      <c r="K82" s="1"/>
      <c r="L82" s="1"/>
      <c r="M82" s="1"/>
    </row>
    <row r="83">
      <c r="A83" s="1"/>
      <c r="B83" s="12" t="s">
        <v>111</v>
      </c>
      <c r="C83" s="4"/>
      <c r="D83" s="4"/>
      <c r="E83" s="4"/>
      <c r="F83" s="4"/>
      <c r="G83" s="40">
        <v>0.07</v>
      </c>
      <c r="H83" s="16"/>
      <c r="I83" s="31"/>
      <c r="J83" s="1"/>
      <c r="K83" s="1"/>
      <c r="L83" s="1"/>
      <c r="M83" s="1"/>
    </row>
    <row r="84">
      <c r="A84" s="1"/>
      <c r="B84" s="12" t="s">
        <v>86</v>
      </c>
      <c r="C84" s="4"/>
      <c r="D84" s="4"/>
      <c r="E84" s="4"/>
      <c r="F84" s="4"/>
      <c r="G84" s="4">
        <f>G82/G47</f>
        <v>0.20925234701956794</v>
      </c>
      <c r="H84" s="16"/>
      <c r="I84" s="31"/>
      <c r="J84" s="1"/>
      <c r="K84" s="1"/>
      <c r="L84" s="1"/>
      <c r="M84" s="1"/>
    </row>
    <row r="85">
      <c r="A85" s="1"/>
      <c r="B85" s="12" t="s">
        <v>87</v>
      </c>
      <c r="C85" s="4"/>
      <c r="D85" s="4"/>
      <c r="E85" s="4"/>
      <c r="F85" s="4"/>
      <c r="G85" s="40">
        <v>0</v>
      </c>
      <c r="H85" s="16"/>
      <c r="I85" s="31"/>
      <c r="J85" s="1"/>
      <c r="K85" s="1"/>
      <c r="L85" s="1"/>
      <c r="M85" s="1"/>
    </row>
    <row r="86">
      <c r="A86" s="1"/>
      <c r="B86" s="12" t="s">
        <v>89</v>
      </c>
      <c r="C86" s="4"/>
      <c r="D86" s="4"/>
      <c r="E86" s="4"/>
      <c r="F86" s="4"/>
      <c r="G86" s="4" t="s">
        <v>90</v>
      </c>
      <c r="H86" s="16"/>
      <c r="I86" s="31"/>
      <c r="J86" s="1"/>
      <c r="K86" s="1"/>
      <c r="L86" s="1"/>
      <c r="M86" s="1"/>
    </row>
    <row r="87">
      <c r="A87" s="1"/>
      <c r="B87" s="12" t="s">
        <v>92</v>
      </c>
      <c r="C87" s="4"/>
      <c r="D87" s="4"/>
      <c r="E87" s="4"/>
      <c r="F87" s="4"/>
      <c r="G87" s="4" t="str">
        <f>IF(AND(ISNUMBER(G83),ISNUMBER(G85),ISNUMBER(G86)),(1+G83)/((1+G85)*(1+G86))-1,"unavailable")</f>
        <v>unavailable</v>
      </c>
      <c r="H87" s="16"/>
      <c r="I87" s="31"/>
      <c r="J87" s="1"/>
      <c r="K87" s="1"/>
      <c r="L87" s="1"/>
      <c r="M87" s="1"/>
    </row>
    <row r="88">
      <c r="A88" s="1"/>
      <c r="B88" s="12" t="s">
        <v>93</v>
      </c>
      <c r="C88" s="4"/>
      <c r="D88" s="4"/>
      <c r="E88" s="4"/>
      <c r="F88" s="4"/>
      <c r="G88" s="4">
        <f>G83</f>
        <v>0.07</v>
      </c>
      <c r="H88" s="16"/>
      <c r="I88" s="31"/>
      <c r="J88" s="1"/>
      <c r="K88" s="1"/>
      <c r="L88" s="1"/>
      <c r="M88" s="1"/>
    </row>
    <row r="89">
      <c r="A89" s="1"/>
      <c r="B89" s="1" t="s">
        <v>118</v>
      </c>
      <c r="C89" s="15" t="s">
        <v>109</v>
      </c>
      <c r="D89" s="15" t="s">
        <v>109</v>
      </c>
      <c r="E89" s="15" t="s">
        <v>109</v>
      </c>
      <c r="F89" s="15" t="s">
        <v>109</v>
      </c>
      <c r="G89" s="24">
        <v>500</v>
      </c>
      <c r="H89" s="41" t="s">
        <v>109</v>
      </c>
      <c r="I89" s="31" t="s">
        <v>119</v>
      </c>
      <c r="J89" s="1"/>
      <c r="K89" s="1"/>
      <c r="L89" s="1"/>
      <c r="M89" s="1"/>
    </row>
    <row r="90">
      <c r="A90" s="1"/>
      <c r="B90" s="12" t="s">
        <v>111</v>
      </c>
      <c r="C90" s="4"/>
      <c r="D90" s="4"/>
      <c r="E90" s="4"/>
      <c r="F90" s="4"/>
      <c r="G90" s="40">
        <v>0.2</v>
      </c>
      <c r="H90" s="16"/>
      <c r="I90" s="31"/>
      <c r="J90" s="1"/>
      <c r="K90" s="1"/>
      <c r="L90" s="1"/>
      <c r="M90" s="1"/>
    </row>
    <row r="91">
      <c r="A91" s="1"/>
      <c r="B91" s="12" t="s">
        <v>86</v>
      </c>
      <c r="C91" s="4"/>
      <c r="D91" s="4"/>
      <c r="E91" s="4"/>
      <c r="F91" s="4"/>
      <c r="G91" s="4">
        <f>G89/G47</f>
        <v>0.028277344191833503</v>
      </c>
      <c r="H91" s="16"/>
      <c r="I91" s="31"/>
      <c r="J91" s="1"/>
      <c r="K91" s="1"/>
      <c r="L91" s="1"/>
      <c r="M91" s="1"/>
    </row>
    <row r="92">
      <c r="A92" s="1"/>
      <c r="B92" s="12" t="s">
        <v>87</v>
      </c>
      <c r="C92" s="4"/>
      <c r="D92" s="4"/>
      <c r="E92" s="4"/>
      <c r="F92" s="4"/>
      <c r="G92" s="40">
        <v>0</v>
      </c>
      <c r="H92" s="16"/>
      <c r="I92" s="31"/>
      <c r="J92" s="1"/>
      <c r="K92" s="1"/>
      <c r="L92" s="1"/>
      <c r="M92" s="1"/>
    </row>
    <row r="93">
      <c r="A93" s="1"/>
      <c r="B93" s="12" t="s">
        <v>89</v>
      </c>
      <c r="C93" s="4"/>
      <c r="D93" s="4"/>
      <c r="E93" s="4"/>
      <c r="F93" s="4"/>
      <c r="G93" s="4" t="s">
        <v>90</v>
      </c>
      <c r="H93" s="16"/>
      <c r="I93" s="31"/>
      <c r="J93" s="1"/>
      <c r="K93" s="1"/>
      <c r="L93" s="1"/>
      <c r="M93" s="1"/>
    </row>
    <row r="94">
      <c r="A94" s="1"/>
      <c r="B94" s="12" t="s">
        <v>92</v>
      </c>
      <c r="C94" s="4"/>
      <c r="D94" s="4"/>
      <c r="E94" s="4"/>
      <c r="F94" s="4"/>
      <c r="G94" s="4" t="str">
        <f>IF(AND(ISNUMBER(G90),ISNUMBER(G92),ISNUMBER(G93)),(1+G90)/((1+G92)*(1+G93))-1,"unavailable")</f>
        <v>unavailable</v>
      </c>
      <c r="H94" s="16"/>
      <c r="I94" s="31"/>
      <c r="J94" s="1"/>
      <c r="K94" s="1"/>
      <c r="L94" s="1"/>
      <c r="M94" s="1"/>
    </row>
    <row r="95">
      <c r="A95" s="1"/>
      <c r="B95" s="12" t="s">
        <v>93</v>
      </c>
      <c r="C95" s="4"/>
      <c r="D95" s="4"/>
      <c r="E95" s="4"/>
      <c r="F95" s="4"/>
      <c r="G95" s="4">
        <f>G90</f>
        <v>0.2</v>
      </c>
      <c r="H95" s="16"/>
      <c r="I95" s="31"/>
      <c r="J95" s="1"/>
      <c r="K95" s="1"/>
      <c r="L95" s="1"/>
      <c r="M95" s="1"/>
    </row>
    <row r="96">
      <c r="A96" s="1"/>
      <c r="B96" s="1" t="s">
        <v>120</v>
      </c>
      <c r="C96" s="15"/>
      <c r="D96" s="15"/>
      <c r="E96" s="15"/>
      <c r="F96" s="15"/>
      <c r="G96" s="15">
        <f>G47-SUM(G61,G68,G75,G82,G89)</f>
        <v>382</v>
      </c>
      <c r="H96" s="41"/>
      <c r="I96" s="31" t="s">
        <v>121</v>
      </c>
      <c r="J96" s="1"/>
      <c r="K96" s="1"/>
      <c r="L96" s="1"/>
      <c r="M96" s="1"/>
    </row>
    <row r="97">
      <c r="A97" s="1"/>
      <c r="B97" s="1"/>
      <c r="C97" s="1"/>
      <c r="D97" s="1"/>
      <c r="E97" s="1"/>
      <c r="F97" s="1"/>
      <c r="G97" s="1"/>
      <c r="H97" s="51"/>
      <c r="I97" s="31"/>
      <c r="J97" s="1"/>
      <c r="K97" s="1"/>
      <c r="L97" s="1"/>
      <c r="M97" s="1"/>
    </row>
    <row r="98">
      <c r="A98" s="1"/>
      <c r="B98" s="1" t="s">
        <v>122</v>
      </c>
      <c r="C98" s="1"/>
      <c r="D98" s="1"/>
      <c r="E98" s="1"/>
      <c r="F98" s="1"/>
      <c r="G98" s="1"/>
      <c r="H98" s="51"/>
      <c r="I98" s="31"/>
      <c r="J98" s="1"/>
      <c r="K98" s="1"/>
      <c r="L98" s="1"/>
      <c r="M98" s="1"/>
    </row>
    <row r="99">
      <c r="A99" s="1"/>
      <c r="B99" s="1"/>
      <c r="C99" s="1"/>
      <c r="D99" s="1"/>
      <c r="E99" s="1"/>
      <c r="F99" s="1"/>
      <c r="G99" s="1"/>
      <c r="H99" s="51"/>
      <c r="I99" s="31"/>
      <c r="J99" s="1"/>
      <c r="K99" s="1"/>
      <c r="L99" s="1"/>
      <c r="M99" s="1"/>
    </row>
    <row r="100">
      <c r="A100" s="1"/>
      <c r="B100" s="25" t="s">
        <v>123</v>
      </c>
      <c r="C100" s="1"/>
      <c r="D100" s="1"/>
      <c r="E100" s="1"/>
      <c r="F100" s="1"/>
      <c r="G100" s="1"/>
      <c r="H100" s="51"/>
      <c r="I100" s="31"/>
      <c r="J100" s="1"/>
      <c r="K100" s="1"/>
      <c r="L100" s="1"/>
      <c r="M100" s="1"/>
    </row>
    <row r="101">
      <c r="A101" s="1"/>
      <c r="B101" s="1" t="s">
        <v>124</v>
      </c>
      <c r="C101" s="32">
        <f>'Income Statement'!C14-'Segment - Analog'!C35-'Segment - Embedded Processing'!C35</f>
        <v>103</v>
      </c>
      <c r="D101" s="32">
        <f>'Income Statement'!D14-'Segment - Analog'!D35-'Segment - Embedded Processing'!D35</f>
        <v>63</v>
      </c>
      <c r="E101" s="32">
        <f>'Income Statement'!E14-'Segment - Analog'!E35-'Segment - Embedded Processing'!E35</f>
        <v>63</v>
      </c>
      <c r="F101" s="32">
        <f>'Income Statement'!F14-'Segment - Analog'!F35-'Segment - Embedded Processing'!F35</f>
        <v>95</v>
      </c>
      <c r="G101" s="32">
        <f>'Income Statement'!G14-'Segment - Analog'!G35-'Segment - Embedded Processing'!G35</f>
        <v>364</v>
      </c>
      <c r="H101" s="41">
        <f>H36-H102</f>
        <v>95</v>
      </c>
      <c r="I101" s="31"/>
      <c r="J101" s="1"/>
      <c r="K101" s="1"/>
      <c r="L101" s="1"/>
      <c r="M101" s="1"/>
    </row>
    <row r="102">
      <c r="A102" s="1"/>
      <c r="B102" s="9" t="s">
        <v>125</v>
      </c>
      <c r="C102" s="17">
        <f>C36-C101</f>
        <v>201</v>
      </c>
      <c r="D102" s="17">
        <f>D36-D101</f>
        <v>83</v>
      </c>
      <c r="E102" s="17">
        <f>E36-E101</f>
        <v>115</v>
      </c>
      <c r="F102" s="17">
        <f>F36-F101</f>
        <v>215</v>
      </c>
      <c r="G102" s="17">
        <f>G36-G101</f>
        <v>615</v>
      </c>
      <c r="H102" s="38">
        <f>F102+(H36-F36)*H106</f>
        <v>215</v>
      </c>
      <c r="I102" s="31"/>
      <c r="J102" s="1"/>
      <c r="K102" s="1"/>
      <c r="L102" s="1"/>
      <c r="M102" s="1"/>
    </row>
    <row r="103">
      <c r="A103" s="1"/>
      <c r="B103" s="12" t="s">
        <v>126</v>
      </c>
      <c r="C103" s="4">
        <f>C102/C36</f>
        <v>0.6611842105263158</v>
      </c>
      <c r="D103" s="4">
        <f>D102/D36</f>
        <v>0.5684931506849316</v>
      </c>
      <c r="E103" s="4">
        <f>E102/E36</f>
        <v>0.6460674157303371</v>
      </c>
      <c r="F103" s="4">
        <f>F102/F36</f>
        <v>0.6935483870967742</v>
      </c>
      <c r="G103" s="4">
        <f>G102/G36</f>
        <v>0.6281920326864147</v>
      </c>
      <c r="H103" s="16">
        <f>H102/H36</f>
        <v>0.6935483870967742</v>
      </c>
      <c r="I103" s="31"/>
      <c r="J103" s="1"/>
      <c r="K103" s="1"/>
      <c r="L103" s="1"/>
      <c r="M103" s="1"/>
    </row>
    <row r="104">
      <c r="A104" s="1"/>
      <c r="B104" s="12" t="s">
        <v>127</v>
      </c>
      <c r="C104" s="22" t="s">
        <v>82</v>
      </c>
      <c r="D104" s="22">
        <f>IF(AND(ISNUMBER(D103),ISNUMBER(C103)),(D103-C103)*10000,"n/a")</f>
        <v>-926.9105984138426</v>
      </c>
      <c r="E104" s="22">
        <f>IF(AND(ISNUMBER(E103),ISNUMBER(D103)),(E103-D103)*10000,"n/a")</f>
        <v>775.7426504540555</v>
      </c>
      <c r="F104" s="22">
        <f>IF(AND(ISNUMBER(F103),ISNUMBER(E103)),(F103-E103)*10000,"n/a")</f>
        <v>474.80971366437143</v>
      </c>
      <c r="G104" s="22" t="s">
        <v>82</v>
      </c>
      <c r="H104" s="28">
        <f>IF(AND(ISNUMBER(H103),ISNUMBER(F103)),(H103-F103)*10000,"n/a")</f>
        <v>0</v>
      </c>
      <c r="I104" s="31"/>
      <c r="J104" s="1"/>
      <c r="K104" s="1"/>
      <c r="L104" s="1"/>
      <c r="M104" s="1"/>
    </row>
    <row r="105">
      <c r="A105" s="1"/>
      <c r="B105" s="12" t="s">
        <v>128</v>
      </c>
      <c r="C105" s="22" t="s">
        <v>82</v>
      </c>
      <c r="D105" s="22" t="s">
        <v>82</v>
      </c>
      <c r="E105" s="22" t="s">
        <v>82</v>
      </c>
      <c r="F105" s="22" t="s">
        <v>82</v>
      </c>
      <c r="G105" s="22" t="s">
        <v>82</v>
      </c>
      <c r="H105" s="28">
        <f>IF(AND(ISNUMBER(H103),ISNUMBER(C103)),(H103-C103)*10000,"n/a")</f>
        <v>323.64176570458426</v>
      </c>
      <c r="I105" s="31"/>
      <c r="J105" s="1"/>
      <c r="K105" s="1"/>
      <c r="L105" s="1"/>
      <c r="M105" s="1"/>
    </row>
    <row r="106">
      <c r="A106" s="1"/>
      <c r="B106" s="12" t="s">
        <v>129</v>
      </c>
      <c r="C106" s="4"/>
      <c r="D106" s="4">
        <f>IFERROR((D102-C102)/(D36-C36),"n/a")</f>
        <v>0.7468354430379747</v>
      </c>
      <c r="E106" s="4">
        <f>IFERROR((E102-D102)/(E36-D36),"n/a")</f>
        <v>1</v>
      </c>
      <c r="F106" s="4">
        <f>IFERROR((F102-E102)/(F36-E36),"n/a")</f>
        <v>0.7575757575757576</v>
      </c>
      <c r="G106" s="4"/>
      <c r="H106" s="45">
        <v>0.65</v>
      </c>
      <c r="I106" s="31" t="s">
        <v>130</v>
      </c>
      <c r="J106" s="1"/>
      <c r="K106" s="1"/>
      <c r="L106" s="1"/>
      <c r="M106" s="1"/>
    </row>
    <row r="107">
      <c r="A107" s="1"/>
      <c r="B107" s="12" t="s">
        <v>127</v>
      </c>
      <c r="C107" s="22" t="s">
        <v>82</v>
      </c>
      <c r="D107" s="22" t="str">
        <f>IF(AND(ISNUMBER(D106),ISNUMBER(C106)),(D106-C106)*10000,"n/a")</f>
        <v>n/a</v>
      </c>
      <c r="E107" s="22" t="s">
        <v>82</v>
      </c>
      <c r="F107" s="22" t="s">
        <v>82</v>
      </c>
      <c r="G107" s="22" t="s">
        <v>82</v>
      </c>
      <c r="H107" s="28" t="s">
        <v>82</v>
      </c>
      <c r="I107" s="31" t="s">
        <v>131</v>
      </c>
      <c r="J107" s="1"/>
      <c r="K107" s="1"/>
      <c r="L107" s="1"/>
      <c r="M107" s="1"/>
    </row>
    <row r="108">
      <c r="A108" s="1"/>
      <c r="B108" s="12" t="s">
        <v>128</v>
      </c>
      <c r="C108" s="22" t="s">
        <v>82</v>
      </c>
      <c r="D108" s="22" t="s">
        <v>82</v>
      </c>
      <c r="E108" s="22" t="s">
        <v>82</v>
      </c>
      <c r="F108" s="22" t="s">
        <v>82</v>
      </c>
      <c r="G108" s="22" t="s">
        <v>82</v>
      </c>
      <c r="H108" s="28" t="str">
        <f>IF(AND(ISNUMBER(H106),ISNUMBER(C106)),(H106-C106)*10000,"n/a")</f>
        <v>n/a</v>
      </c>
      <c r="I108" s="31"/>
      <c r="J108" s="1"/>
      <c r="K108" s="1"/>
      <c r="L108" s="1"/>
      <c r="M108" s="1"/>
    </row>
    <row r="109">
      <c r="A109" s="1"/>
      <c r="B109" s="1" t="s">
        <v>132</v>
      </c>
      <c r="C109" s="32">
        <f>'Income Statement'!C20-'Segment - Analog'!C45-'Segment - Embedded Processing'!C45</f>
        <v>20</v>
      </c>
      <c r="D109" s="32">
        <f>'Income Statement'!D20-'Segment - Analog'!D45-'Segment - Embedded Processing'!D45</f>
        <v>16</v>
      </c>
      <c r="E109" s="32">
        <f>'Income Statement'!E20-'Segment - Analog'!E45-'Segment - Embedded Processing'!E45</f>
        <v>18</v>
      </c>
      <c r="F109" s="32">
        <f>'Income Statement'!F20-'Segment - Analog'!F45-'Segment - Embedded Processing'!F45</f>
        <v>18</v>
      </c>
      <c r="G109" s="32">
        <f>'Income Statement'!G20-'Segment - Analog'!G45-'Segment - Embedded Processing'!G45</f>
        <v>75</v>
      </c>
      <c r="H109" s="41">
        <f>F109</f>
        <v>18</v>
      </c>
      <c r="I109" s="31" t="s">
        <v>133</v>
      </c>
      <c r="J109" s="1"/>
      <c r="K109" s="1"/>
      <c r="L109" s="1"/>
      <c r="M109" s="1"/>
    </row>
    <row r="110">
      <c r="A110" s="1"/>
      <c r="B110" s="1" t="s">
        <v>134</v>
      </c>
      <c r="C110" s="32">
        <f>'Income Statement'!C26-'Segment - Analog'!C51-'Segment - Embedded Processing'!C51</f>
        <v>27</v>
      </c>
      <c r="D110" s="32">
        <f>'Income Statement'!D26-'Segment - Analog'!D51-'Segment - Embedded Processing'!D51</f>
        <v>28</v>
      </c>
      <c r="E110" s="32">
        <f>'Income Statement'!E26-'Segment - Analog'!E51-'Segment - Embedded Processing'!E51</f>
        <v>32</v>
      </c>
      <c r="F110" s="32">
        <f>'Income Statement'!F26-'Segment - Analog'!F51-'Segment - Embedded Processing'!F51</f>
        <v>30</v>
      </c>
      <c r="G110" s="32">
        <f>'Income Statement'!G26-'Segment - Analog'!G51-'Segment - Embedded Processing'!G51</f>
        <v>116</v>
      </c>
      <c r="H110" s="41">
        <f>F110</f>
        <v>30</v>
      </c>
      <c r="I110" s="31"/>
      <c r="J110" s="1"/>
      <c r="K110" s="1"/>
      <c r="L110" s="1"/>
      <c r="M110" s="1"/>
    </row>
    <row r="111">
      <c r="A111" s="1"/>
      <c r="B111" s="1" t="s">
        <v>135</v>
      </c>
      <c r="C111" s="32">
        <f>'Income Statement'!C32+'Income Statement'!C33</f>
        <v>85</v>
      </c>
      <c r="D111" s="32">
        <f>'Income Statement'!D32+'Income Statement'!D33</f>
        <v>32</v>
      </c>
      <c r="E111" s="32">
        <f>'Income Statement'!E32+'Income Statement'!E33</f>
        <v>17</v>
      </c>
      <c r="F111" s="32">
        <f>'Income Statement'!F32+'Income Statement'!F33</f>
        <v>17</v>
      </c>
      <c r="G111" s="32">
        <f>'Income Statement'!G32+'Income Statement'!G33</f>
        <v>117</v>
      </c>
      <c r="H111" s="56">
        <f>'Income Statement'!H32+'Income Statement'!H33</f>
        <v>17</v>
      </c>
      <c r="I111" s="31"/>
      <c r="J111" s="1"/>
      <c r="K111" s="1"/>
      <c r="L111" s="1"/>
      <c r="M111" s="1"/>
    </row>
    <row r="112">
      <c r="A112" s="1"/>
      <c r="B112" s="9" t="s">
        <v>136</v>
      </c>
      <c r="C112" s="17">
        <f>C102-C109-C110-C111</f>
        <v>69</v>
      </c>
      <c r="D112" s="17">
        <f>D102-D109-D110-D111</f>
        <v>7</v>
      </c>
      <c r="E112" s="17">
        <f>E102-E109-E110-E111</f>
        <v>48</v>
      </c>
      <c r="F112" s="17">
        <f>F102-F109-F110-F111</f>
        <v>150</v>
      </c>
      <c r="G112" s="17">
        <f>G102-G109-G110-G111</f>
        <v>307</v>
      </c>
      <c r="H112" s="38">
        <f>H102-H109-H110-H111</f>
        <v>150</v>
      </c>
      <c r="I112" s="31"/>
      <c r="J112" s="1"/>
      <c r="K112" s="1"/>
      <c r="L112" s="1"/>
      <c r="M112" s="1"/>
    </row>
    <row r="113">
      <c r="A113" s="1"/>
      <c r="B113" s="1" t="s">
        <v>137</v>
      </c>
      <c r="C113" s="24">
        <v>69</v>
      </c>
      <c r="D113" s="24">
        <v>7</v>
      </c>
      <c r="E113" s="24">
        <v>48</v>
      </c>
      <c r="F113" s="24">
        <v>150</v>
      </c>
      <c r="G113" s="24">
        <v>307</v>
      </c>
      <c r="H113" s="41"/>
      <c r="I113" s="31"/>
      <c r="J113" s="1"/>
      <c r="K113" s="1"/>
      <c r="L113" s="1"/>
      <c r="M113" s="1"/>
    </row>
    <row r="114">
      <c r="A114" s="1"/>
      <c r="B114" s="1" t="s">
        <v>138</v>
      </c>
      <c r="C114" s="15">
        <f>C112-C113</f>
        <v>0</v>
      </c>
      <c r="D114" s="15">
        <f>D112-D113</f>
        <v>0</v>
      </c>
      <c r="E114" s="15">
        <f>E112-E113</f>
        <v>0</v>
      </c>
      <c r="F114" s="15">
        <f>F112-F113</f>
        <v>0</v>
      </c>
      <c r="G114" s="15">
        <f>G112-G113</f>
        <v>0</v>
      </c>
      <c r="H114" s="41"/>
      <c r="I114" s="31"/>
      <c r="J114" s="1"/>
      <c r="K114" s="1"/>
      <c r="L114" s="1"/>
      <c r="M114" s="1"/>
    </row>
    <row r="115">
      <c r="A115" s="1"/>
      <c r="B115" s="1"/>
      <c r="C115" s="1"/>
      <c r="D115" s="1"/>
      <c r="E115" s="1"/>
      <c r="F115" s="1"/>
      <c r="G115" s="1"/>
      <c r="H115" s="51"/>
      <c r="I115" s="31"/>
      <c r="J115" s="1"/>
      <c r="K115" s="1"/>
      <c r="L115" s="1"/>
      <c r="M115" s="1"/>
    </row>
    <row r="1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</row>
    <row r="117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</row>
    <row r="11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</row>
    <row r="119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</row>
    <row r="12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</row>
  </sheetData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M80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8" width="12" customWidth="1"/>
    <col min="9" max="9" width="6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>
      <c r="A2" s="1"/>
      <c r="B2" s="47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>
      <c r="A3" s="1"/>
      <c r="B3" s="9" t="s">
        <v>139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>
      <c r="A4" s="1"/>
      <c r="B4" s="12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>
      <c r="A5" s="1"/>
      <c r="B5" s="23" t="s">
        <v>3</v>
      </c>
      <c r="C5" s="27" t="s">
        <v>74</v>
      </c>
      <c r="D5" s="27" t="s">
        <v>75</v>
      </c>
      <c r="E5" s="27" t="s">
        <v>76</v>
      </c>
      <c r="F5" s="27" t="s">
        <v>77</v>
      </c>
      <c r="G5" s="27" t="s">
        <v>78</v>
      </c>
      <c r="H5" s="66" t="s">
        <v>4</v>
      </c>
      <c r="I5" s="49" t="s">
        <v>32</v>
      </c>
      <c r="J5" s="1"/>
      <c r="K5" s="1"/>
      <c r="L5" s="1"/>
      <c r="M5" s="1"/>
    </row>
    <row r="6">
      <c r="A6" s="1"/>
      <c r="B6" s="29" t="s">
        <v>5</v>
      </c>
      <c r="C6" s="39">
        <f>DATE(2025,9,30)</f>
        <v>45930</v>
      </c>
      <c r="D6" s="39">
        <f>DATE(2025,12,31)</f>
        <v>46022</v>
      </c>
      <c r="E6" s="39">
        <f>DATE(2026,3,31)</f>
        <v>46112</v>
      </c>
      <c r="F6" s="39">
        <f>DATE(2026,6,30)</f>
        <v>46203</v>
      </c>
      <c r="G6" s="39">
        <f>DATE(2025,12,31)</f>
        <v>46022</v>
      </c>
      <c r="H6" s="64">
        <f>DATE(2026,9,30)</f>
        <v>46295</v>
      </c>
      <c r="I6" s="29"/>
      <c r="J6" s="1"/>
      <c r="K6" s="1"/>
      <c r="L6" s="1"/>
      <c r="M6" s="1"/>
    </row>
    <row r="7">
      <c r="A7" s="1"/>
      <c r="B7" s="18" t="s">
        <v>6</v>
      </c>
      <c r="C7" s="42">
        <f>C6-EOMONTH(C6,-3)</f>
        <v>92</v>
      </c>
      <c r="D7" s="42">
        <f>D6-EOMONTH(D6,-3)</f>
        <v>92</v>
      </c>
      <c r="E7" s="42">
        <f>E6-EOMONTH(E6,-3)</f>
        <v>90</v>
      </c>
      <c r="F7" s="42">
        <f>F6-EOMONTH(F6,-3)</f>
        <v>91</v>
      </c>
      <c r="G7" s="42">
        <f>G6-EOMONTH(G6,-12)</f>
        <v>365</v>
      </c>
      <c r="H7" s="55">
        <f>H6-EOMONTH(H6,-3)</f>
        <v>92</v>
      </c>
      <c r="I7" s="18"/>
      <c r="J7" s="1"/>
      <c r="K7" s="1"/>
      <c r="L7" s="1"/>
      <c r="M7" s="1"/>
    </row>
    <row r="8">
      <c r="A8" s="1"/>
      <c r="B8" s="1"/>
      <c r="C8" s="1"/>
      <c r="D8" s="1"/>
      <c r="E8" s="1"/>
      <c r="F8" s="1"/>
      <c r="G8" s="1"/>
      <c r="H8" s="51"/>
      <c r="I8" s="1"/>
      <c r="J8" s="1"/>
      <c r="K8" s="1"/>
      <c r="L8" s="1"/>
      <c r="M8" s="1"/>
    </row>
    <row r="9">
      <c r="A9" s="1"/>
      <c r="B9" s="25" t="s">
        <v>140</v>
      </c>
      <c r="C9" s="1"/>
      <c r="D9" s="1"/>
      <c r="E9" s="1"/>
      <c r="F9" s="1"/>
      <c r="G9" s="1"/>
      <c r="H9" s="51"/>
      <c r="I9" s="31"/>
      <c r="J9" s="1"/>
      <c r="K9" s="1"/>
      <c r="L9" s="1"/>
      <c r="M9" s="1"/>
    </row>
    <row r="10">
      <c r="A10" s="1"/>
      <c r="B10" s="1" t="s">
        <v>141</v>
      </c>
      <c r="C10" s="32">
        <f>Inputs!F99</f>
        <v>3452</v>
      </c>
      <c r="D10" s="15">
        <f>C19</f>
        <v>3729</v>
      </c>
      <c r="E10" s="15">
        <f>D19</f>
        <v>3615</v>
      </c>
      <c r="F10" s="15">
        <f>E19</f>
        <v>3924</v>
      </c>
      <c r="G10" s="15"/>
      <c r="H10" s="41">
        <f>F19</f>
        <v>4365</v>
      </c>
      <c r="I10" s="31"/>
      <c r="J10" s="1"/>
      <c r="K10" s="1"/>
      <c r="L10" s="1"/>
      <c r="M10" s="1"/>
    </row>
    <row r="11">
      <c r="A11" s="1"/>
      <c r="B11" s="12" t="s">
        <v>142</v>
      </c>
      <c r="C11" s="4" t="s">
        <v>109</v>
      </c>
      <c r="D11" s="4" t="s">
        <v>109</v>
      </c>
      <c r="E11" s="4">
        <f>(1+E21)/(1+E15)-1</f>
        <v>0.08547717842323643</v>
      </c>
      <c r="F11" s="4">
        <f>(1+F21)/(1+F15)-1</f>
        <v>0.11238532110091737</v>
      </c>
      <c r="G11" s="4"/>
      <c r="H11" s="45">
        <v>0.1</v>
      </c>
      <c r="I11" s="31" t="s">
        <v>143</v>
      </c>
      <c r="J11" s="1"/>
      <c r="K11" s="1"/>
      <c r="L11" s="1"/>
      <c r="M11" s="1"/>
    </row>
    <row r="12">
      <c r="A12" s="1"/>
      <c r="B12" s="12" t="s">
        <v>127</v>
      </c>
      <c r="C12" s="22" t="s">
        <v>82</v>
      </c>
      <c r="D12" s="22" t="str">
        <f>IF(AND(ISNUMBER(D11),ISNUMBER(C11)),(D11-C11)*10000,"n/a")</f>
        <v>n/a</v>
      </c>
      <c r="E12" s="22" t="str">
        <f>IF(AND(ISNUMBER(E11),ISNUMBER(D11)),(E11-D11)*10000,"n/a")</f>
        <v>n/a</v>
      </c>
      <c r="F12" s="22">
        <f>IF(AND(ISNUMBER(F11),ISNUMBER(E11)),(F11-E11)*10000,"n/a")</f>
        <v>269.08142677680934</v>
      </c>
      <c r="G12" s="22" t="s">
        <v>82</v>
      </c>
      <c r="H12" s="28">
        <f>IF(AND(ISNUMBER(H11),ISNUMBER(F11)),(H11-F11)*10000,"n/a")</f>
        <v>-123.85321100917362</v>
      </c>
      <c r="I12" s="31"/>
      <c r="J12" s="1"/>
      <c r="K12" s="1"/>
      <c r="L12" s="1"/>
      <c r="M12" s="1"/>
    </row>
    <row r="13">
      <c r="A13" s="1"/>
      <c r="B13" s="12" t="s">
        <v>128</v>
      </c>
      <c r="C13" s="22" t="s">
        <v>82</v>
      </c>
      <c r="D13" s="22" t="s">
        <v>82</v>
      </c>
      <c r="E13" s="22" t="s">
        <v>82</v>
      </c>
      <c r="F13" s="22" t="s">
        <v>82</v>
      </c>
      <c r="G13" s="22" t="s">
        <v>82</v>
      </c>
      <c r="H13" s="28" t="str">
        <f>IF(AND(ISNUMBER(H11),ISNUMBER(C11)),(H11-C11)*10000,"n/a")</f>
        <v>n/a</v>
      </c>
      <c r="I13" s="31"/>
      <c r="J13" s="1"/>
      <c r="K13" s="1"/>
      <c r="L13" s="1"/>
      <c r="M13" s="1"/>
    </row>
    <row r="14">
      <c r="A14" s="1"/>
      <c r="B14" s="1" t="s">
        <v>144</v>
      </c>
      <c r="C14" s="15"/>
      <c r="D14" s="15"/>
      <c r="E14" s="15">
        <f>E10*E11</f>
        <v>308.9999999999997</v>
      </c>
      <c r="F14" s="15">
        <f>F10*F11</f>
        <v>440.9999999999998</v>
      </c>
      <c r="G14" s="15"/>
      <c r="H14" s="41">
        <f>H10*H11</f>
        <v>436.5</v>
      </c>
      <c r="I14" s="31"/>
      <c r="J14" s="1"/>
      <c r="K14" s="1"/>
      <c r="L14" s="1"/>
      <c r="M14" s="1"/>
    </row>
    <row r="15">
      <c r="A15" s="1"/>
      <c r="B15" s="12" t="s">
        <v>145</v>
      </c>
      <c r="C15" s="4" t="s">
        <v>109</v>
      </c>
      <c r="D15" s="4" t="s">
        <v>109</v>
      </c>
      <c r="E15" s="40">
        <v>0</v>
      </c>
      <c r="F15" s="40">
        <v>0</v>
      </c>
      <c r="G15" s="4"/>
      <c r="H15" s="45">
        <v>0.015</v>
      </c>
      <c r="I15" s="31" t="s">
        <v>146</v>
      </c>
      <c r="J15" s="1"/>
      <c r="K15" s="1"/>
      <c r="L15" s="1"/>
      <c r="M15" s="1"/>
    </row>
    <row r="16">
      <c r="A16" s="1"/>
      <c r="B16" s="12" t="s">
        <v>127</v>
      </c>
      <c r="C16" s="22" t="s">
        <v>82</v>
      </c>
      <c r="D16" s="22" t="str">
        <f>IF(AND(ISNUMBER(D15),ISNUMBER(C15)),(D15-C15)*10000,"n/a")</f>
        <v>n/a</v>
      </c>
      <c r="E16" s="22" t="str">
        <f>IF(AND(ISNUMBER(E15),ISNUMBER(D15)),(E15-D15)*10000,"n/a")</f>
        <v>n/a</v>
      </c>
      <c r="F16" s="22">
        <f>IF(AND(ISNUMBER(F15),ISNUMBER(E15)),(F15-E15)*10000,"n/a")</f>
        <v>0</v>
      </c>
      <c r="G16" s="22" t="s">
        <v>82</v>
      </c>
      <c r="H16" s="28">
        <f>IF(AND(ISNUMBER(H15),ISNUMBER(F15)),(H15-F15)*10000,"n/a")</f>
        <v>150</v>
      </c>
      <c r="I16" s="31"/>
      <c r="J16" s="1"/>
      <c r="K16" s="1"/>
      <c r="L16" s="1"/>
      <c r="M16" s="1"/>
    </row>
    <row r="17">
      <c r="A17" s="1"/>
      <c r="B17" s="12" t="s">
        <v>128</v>
      </c>
      <c r="C17" s="22" t="s">
        <v>82</v>
      </c>
      <c r="D17" s="22" t="s">
        <v>82</v>
      </c>
      <c r="E17" s="22" t="s">
        <v>82</v>
      </c>
      <c r="F17" s="22" t="s">
        <v>82</v>
      </c>
      <c r="G17" s="22" t="s">
        <v>82</v>
      </c>
      <c r="H17" s="28" t="str">
        <f>IF(AND(ISNUMBER(H15),ISNUMBER(C15)),(H15-C15)*10000,"n/a")</f>
        <v>n/a</v>
      </c>
      <c r="I17" s="31"/>
      <c r="J17" s="1"/>
      <c r="K17" s="1"/>
      <c r="L17" s="1"/>
      <c r="M17" s="1"/>
    </row>
    <row r="18">
      <c r="A18" s="1"/>
      <c r="B18" s="1" t="s">
        <v>147</v>
      </c>
      <c r="C18" s="15"/>
      <c r="D18" s="15"/>
      <c r="E18" s="15">
        <f>E10*(1+E11)*E15</f>
        <v>0</v>
      </c>
      <c r="F18" s="15">
        <f>F10*(1+F11)*F15</f>
        <v>0</v>
      </c>
      <c r="G18" s="15"/>
      <c r="H18" s="41">
        <f>H10*(1+H11)*H15</f>
        <v>72.0225</v>
      </c>
      <c r="I18" s="31"/>
      <c r="J18" s="1"/>
      <c r="K18" s="1"/>
      <c r="L18" s="1"/>
      <c r="M18" s="1"/>
    </row>
    <row r="19">
      <c r="A19" s="1"/>
      <c r="B19" s="9" t="s">
        <v>148</v>
      </c>
      <c r="C19" s="48">
        <v>3729</v>
      </c>
      <c r="D19" s="48">
        <v>3615</v>
      </c>
      <c r="E19" s="48">
        <v>3924</v>
      </c>
      <c r="F19" s="48">
        <v>4365</v>
      </c>
      <c r="G19" s="48">
        <v>14006</v>
      </c>
      <c r="H19" s="38">
        <f>H10+H14+H18</f>
        <v>4873.5225</v>
      </c>
      <c r="I19" s="31"/>
      <c r="J19" s="1"/>
      <c r="K19" s="1"/>
      <c r="L19" s="1"/>
      <c r="M19" s="1"/>
    </row>
    <row r="20">
      <c r="A20" s="1"/>
      <c r="B20" s="1" t="s">
        <v>81</v>
      </c>
      <c r="C20" s="15">
        <f>C19-C10</f>
        <v>277</v>
      </c>
      <c r="D20" s="15">
        <f>D19-D10</f>
        <v>-114</v>
      </c>
      <c r="E20" s="15">
        <f>E19-E10</f>
        <v>309</v>
      </c>
      <c r="F20" s="15">
        <f>F19-F10</f>
        <v>441</v>
      </c>
      <c r="G20" s="15"/>
      <c r="H20" s="41">
        <f>H19-H10</f>
        <v>508.52250000000004</v>
      </c>
      <c r="I20" s="31"/>
      <c r="J20" s="1"/>
      <c r="K20" s="1"/>
      <c r="L20" s="1"/>
      <c r="M20" s="1"/>
    </row>
    <row r="21">
      <c r="A21" s="1"/>
      <c r="B21" s="12" t="s">
        <v>85</v>
      </c>
      <c r="C21" s="13">
        <f>IFERROR(C19/Inputs!F99-1,"n/a")</f>
        <v>0.08024333719582843</v>
      </c>
      <c r="D21" s="4">
        <f>IFERROR(D19/C19-1,"n/a")</f>
        <v>-0.03057119871279168</v>
      </c>
      <c r="E21" s="4">
        <f>IFERROR(E19/D19-1,"n/a")</f>
        <v>0.08547717842323643</v>
      </c>
      <c r="F21" s="4">
        <f>IFERROR(F19/E19-1,"n/a")</f>
        <v>0.11238532110091737</v>
      </c>
      <c r="G21" s="4" t="s">
        <v>82</v>
      </c>
      <c r="H21" s="16">
        <f>IFERROR(H19/F19-1,"n/a")</f>
        <v>0.11650000000000005</v>
      </c>
      <c r="I21" s="31"/>
      <c r="J21" s="1"/>
      <c r="K21" s="1"/>
      <c r="L21" s="1"/>
      <c r="M21" s="1"/>
    </row>
    <row r="22">
      <c r="A22" s="1"/>
      <c r="B22" s="1" t="s">
        <v>83</v>
      </c>
      <c r="C22" s="32">
        <f>C19-Inputs!C99</f>
        <v>506</v>
      </c>
      <c r="D22" s="32">
        <f>D19-Inputs!D99</f>
        <v>441</v>
      </c>
      <c r="E22" s="32">
        <f>E19-Inputs!E99</f>
        <v>714</v>
      </c>
      <c r="F22" s="32">
        <f>F19-Inputs!F99</f>
        <v>913</v>
      </c>
      <c r="G22" s="32">
        <f>G19-Inputs!G99</f>
        <v>1845</v>
      </c>
      <c r="H22" s="41">
        <f>H19-C19</f>
        <v>1144.5225</v>
      </c>
      <c r="I22" s="31"/>
      <c r="J22" s="1"/>
      <c r="K22" s="1"/>
      <c r="L22" s="1"/>
      <c r="M22" s="1"/>
    </row>
    <row r="23">
      <c r="A23" s="1"/>
      <c r="B23" s="12" t="s">
        <v>84</v>
      </c>
      <c r="C23" s="13">
        <f>IFERROR(C19/Inputs!C99-1,"n/a")</f>
        <v>0.15699658703071662</v>
      </c>
      <c r="D23" s="13">
        <f>IFERROR(D19/Inputs!D99-1,"n/a")</f>
        <v>0.1389413988657846</v>
      </c>
      <c r="E23" s="13">
        <f>IFERROR(E19/Inputs!E99-1,"n/a")</f>
        <v>0.22242990654205608</v>
      </c>
      <c r="F23" s="13">
        <f>IFERROR(F19/Inputs!F99-1,"n/a")</f>
        <v>0.26448435689455385</v>
      </c>
      <c r="G23" s="13">
        <f>IFERROR(G19/Inputs!G99-1,"n/a")</f>
        <v>0.15171449716306218</v>
      </c>
      <c r="H23" s="16">
        <f>IFERROR(H19/C19-1,"n/a")</f>
        <v>0.30692477876106206</v>
      </c>
      <c r="I23" s="31"/>
      <c r="J23" s="1"/>
      <c r="K23" s="1"/>
      <c r="L23" s="1"/>
      <c r="M23" s="1"/>
    </row>
    <row r="24">
      <c r="A24" s="1"/>
      <c r="B24" s="12" t="s">
        <v>87</v>
      </c>
      <c r="C24" s="40">
        <v>0</v>
      </c>
      <c r="D24" s="40">
        <v>0</v>
      </c>
      <c r="E24" s="40">
        <v>0</v>
      </c>
      <c r="F24" s="40">
        <v>0</v>
      </c>
      <c r="G24" s="40">
        <v>0</v>
      </c>
      <c r="H24" s="45">
        <v>0</v>
      </c>
      <c r="I24" s="31" t="s">
        <v>88</v>
      </c>
      <c r="J24" s="1"/>
      <c r="K24" s="1"/>
      <c r="L24" s="1"/>
      <c r="M24" s="1"/>
    </row>
    <row r="25">
      <c r="A25" s="1"/>
      <c r="B25" s="12" t="s">
        <v>89</v>
      </c>
      <c r="C25" s="4" t="s">
        <v>90</v>
      </c>
      <c r="D25" s="4" t="s">
        <v>90</v>
      </c>
      <c r="E25" s="4" t="s">
        <v>90</v>
      </c>
      <c r="F25" s="4" t="s">
        <v>90</v>
      </c>
      <c r="G25" s="4" t="s">
        <v>90</v>
      </c>
      <c r="H25" s="16" t="s">
        <v>90</v>
      </c>
      <c r="I25" s="31" t="s">
        <v>91</v>
      </c>
      <c r="J25" s="1"/>
      <c r="K25" s="1"/>
      <c r="L25" s="1"/>
      <c r="M25" s="1"/>
    </row>
    <row r="26">
      <c r="A26" s="1"/>
      <c r="B26" s="12" t="s">
        <v>92</v>
      </c>
      <c r="C26" s="4" t="str">
        <f>IF(AND(ISNUMBER(C23),ISNUMBER(C24),ISNUMBER(C25)),(1+C23)/((1+C24)*(1+C25))-1,"unavailable")</f>
        <v>unavailable</v>
      </c>
      <c r="D26" s="4" t="str">
        <f>IF(AND(ISNUMBER(D23),ISNUMBER(D24),ISNUMBER(D25)),(1+D23)/((1+D24)*(1+D25))-1,"unavailable")</f>
        <v>unavailable</v>
      </c>
      <c r="E26" s="4" t="str">
        <f>IF(AND(ISNUMBER(E23),ISNUMBER(E24),ISNUMBER(E25)),(1+E23)/((1+E24)*(1+E25))-1,"unavailable")</f>
        <v>unavailable</v>
      </c>
      <c r="F26" s="4" t="str">
        <f>IF(AND(ISNUMBER(F23),ISNUMBER(F24),ISNUMBER(F25)),(1+F23)/((1+F24)*(1+F25))-1,"unavailable")</f>
        <v>unavailable</v>
      </c>
      <c r="G26" s="4" t="str">
        <f>IF(AND(ISNUMBER(G23),ISNUMBER(G24),ISNUMBER(G25)),(1+G23)/((1+G24)*(1+G25))-1,"unavailable")</f>
        <v>unavailable</v>
      </c>
      <c r="H26" s="16" t="str">
        <f>IF(AND(ISNUMBER(H23),ISNUMBER(H24),ISNUMBER(H25)),(1+H23)/((1+H24)*(1+H25))-1,"unavailable")</f>
        <v>unavailable</v>
      </c>
      <c r="I26" s="31"/>
      <c r="J26" s="1"/>
      <c r="K26" s="1"/>
      <c r="L26" s="1"/>
      <c r="M26" s="1"/>
    </row>
    <row r="27">
      <c r="A27" s="1"/>
      <c r="B27" s="12" t="s">
        <v>93</v>
      </c>
      <c r="C27" s="4">
        <f>C23</f>
        <v>0.15699658703071662</v>
      </c>
      <c r="D27" s="4">
        <f>D23</f>
        <v>0.1389413988657846</v>
      </c>
      <c r="E27" s="4">
        <f>E23</f>
        <v>0.22242990654205608</v>
      </c>
      <c r="F27" s="4">
        <f>F23</f>
        <v>0.26448435689455385</v>
      </c>
      <c r="G27" s="4">
        <f>G23</f>
        <v>0.15171449716306218</v>
      </c>
      <c r="H27" s="16">
        <f>H23</f>
        <v>0.30692477876106206</v>
      </c>
      <c r="I27" s="31"/>
      <c r="J27" s="1"/>
      <c r="K27" s="1"/>
      <c r="L27" s="1"/>
      <c r="M27" s="1"/>
    </row>
    <row r="28">
      <c r="A28" s="1"/>
      <c r="B28" s="1" t="s">
        <v>149</v>
      </c>
      <c r="C28" s="15"/>
      <c r="D28" s="15"/>
      <c r="E28" s="15">
        <f>E10+E14+E18-E19</f>
        <v>0</v>
      </c>
      <c r="F28" s="15">
        <f>F10+F14+F18-F19</f>
        <v>0</v>
      </c>
      <c r="G28" s="15"/>
      <c r="H28" s="41">
        <f>H10+H14+H18-H19</f>
        <v>0</v>
      </c>
      <c r="I28" s="31"/>
      <c r="J28" s="1"/>
      <c r="K28" s="1"/>
      <c r="L28" s="1"/>
      <c r="M28" s="1"/>
    </row>
    <row r="29">
      <c r="A29" s="1"/>
      <c r="B29" s="1"/>
      <c r="C29" s="1"/>
      <c r="D29" s="1"/>
      <c r="E29" s="1"/>
      <c r="F29" s="1"/>
      <c r="G29" s="1"/>
      <c r="H29" s="51"/>
      <c r="I29" s="31"/>
      <c r="J29" s="1"/>
      <c r="K29" s="1"/>
      <c r="L29" s="1"/>
      <c r="M29" s="1"/>
    </row>
    <row r="30">
      <c r="A30" s="1"/>
      <c r="B30" s="25" t="s">
        <v>150</v>
      </c>
      <c r="C30" s="1"/>
      <c r="D30" s="1"/>
      <c r="E30" s="1"/>
      <c r="F30" s="1"/>
      <c r="G30" s="1"/>
      <c r="H30" s="51"/>
      <c r="I30" s="31"/>
      <c r="J30" s="1"/>
      <c r="K30" s="1"/>
      <c r="L30" s="1"/>
      <c r="M30" s="1"/>
    </row>
    <row r="31">
      <c r="A31" s="1"/>
      <c r="B31" s="1" t="s">
        <v>151</v>
      </c>
      <c r="C31" s="15" t="s">
        <v>109</v>
      </c>
      <c r="D31" s="15" t="s">
        <v>109</v>
      </c>
      <c r="E31" s="15" t="s">
        <v>109</v>
      </c>
      <c r="F31" s="15" t="s">
        <v>109</v>
      </c>
      <c r="G31" s="15" t="s">
        <v>109</v>
      </c>
      <c r="H31" s="41" t="s">
        <v>109</v>
      </c>
      <c r="I31" s="31" t="s">
        <v>152</v>
      </c>
      <c r="J31" s="1"/>
      <c r="K31" s="1"/>
      <c r="L31" s="1"/>
      <c r="M31" s="1"/>
    </row>
    <row r="32">
      <c r="A32" s="1"/>
      <c r="B32" s="1" t="s">
        <v>153</v>
      </c>
      <c r="C32" s="15" t="s">
        <v>109</v>
      </c>
      <c r="D32" s="15" t="s">
        <v>109</v>
      </c>
      <c r="E32" s="15" t="s">
        <v>109</v>
      </c>
      <c r="F32" s="15" t="s">
        <v>109</v>
      </c>
      <c r="G32" s="15" t="s">
        <v>109</v>
      </c>
      <c r="H32" s="41" t="s">
        <v>109</v>
      </c>
      <c r="I32" s="31" t="s">
        <v>154</v>
      </c>
      <c r="J32" s="1"/>
      <c r="K32" s="1"/>
      <c r="L32" s="1"/>
      <c r="M32" s="1"/>
    </row>
    <row r="33">
      <c r="A33" s="1"/>
      <c r="B33" s="1"/>
      <c r="C33" s="1"/>
      <c r="D33" s="1"/>
      <c r="E33" s="1"/>
      <c r="F33" s="1"/>
      <c r="G33" s="1"/>
      <c r="H33" s="51"/>
      <c r="I33" s="31"/>
      <c r="J33" s="1"/>
      <c r="K33" s="1"/>
      <c r="L33" s="1"/>
      <c r="M33" s="1"/>
    </row>
    <row r="34">
      <c r="A34" s="1"/>
      <c r="B34" s="25" t="s">
        <v>155</v>
      </c>
      <c r="C34" s="1"/>
      <c r="D34" s="1"/>
      <c r="E34" s="1"/>
      <c r="F34" s="1"/>
      <c r="G34" s="1"/>
      <c r="H34" s="51"/>
      <c r="I34" s="31"/>
      <c r="J34" s="1"/>
      <c r="K34" s="1"/>
      <c r="L34" s="1"/>
      <c r="M34" s="1"/>
    </row>
    <row r="35">
      <c r="A35" s="1"/>
      <c r="B35" s="1" t="s">
        <v>156</v>
      </c>
      <c r="C35" s="24">
        <v>1543</v>
      </c>
      <c r="D35" s="32">
        <f>G35-Inputs!I116</f>
        <v>1530</v>
      </c>
      <c r="E35" s="24">
        <v>1589</v>
      </c>
      <c r="F35" s="24">
        <v>1636</v>
      </c>
      <c r="G35" s="24">
        <v>5764</v>
      </c>
      <c r="H35" s="41">
        <f>H19-H36</f>
        <v>1747.87495</v>
      </c>
      <c r="I35" s="31" t="s">
        <v>157</v>
      </c>
      <c r="J35" s="1"/>
      <c r="K35" s="1"/>
      <c r="L35" s="1"/>
      <c r="M35" s="1"/>
    </row>
    <row r="36">
      <c r="A36" s="1"/>
      <c r="B36" s="9" t="s">
        <v>158</v>
      </c>
      <c r="C36" s="17">
        <f>C19-C35</f>
        <v>2186</v>
      </c>
      <c r="D36" s="17">
        <f>D19-D35</f>
        <v>2085</v>
      </c>
      <c r="E36" s="17">
        <f>E19-E35</f>
        <v>2335</v>
      </c>
      <c r="F36" s="17">
        <f>F19-F35</f>
        <v>2729</v>
      </c>
      <c r="G36" s="17">
        <f>G19-G35</f>
        <v>8242</v>
      </c>
      <c r="H36" s="38">
        <f>F36+(H19-F19)*H42</f>
        <v>3125.64755</v>
      </c>
      <c r="I36" s="31"/>
      <c r="J36" s="1"/>
      <c r="K36" s="1"/>
      <c r="L36" s="1"/>
      <c r="M36" s="1"/>
    </row>
    <row r="37">
      <c r="A37" s="1"/>
      <c r="B37" s="1" t="s">
        <v>81</v>
      </c>
      <c r="C37" s="15"/>
      <c r="D37" s="15">
        <f>D36-C36</f>
        <v>-101</v>
      </c>
      <c r="E37" s="15">
        <f>E36-D36</f>
        <v>250</v>
      </c>
      <c r="F37" s="15">
        <f>F36-E36</f>
        <v>394</v>
      </c>
      <c r="G37" s="15"/>
      <c r="H37" s="41">
        <f>H36-F36</f>
        <v>396.64755000000014</v>
      </c>
      <c r="I37" s="31"/>
      <c r="J37" s="1"/>
      <c r="K37" s="1"/>
      <c r="L37" s="1"/>
      <c r="M37" s="1"/>
    </row>
    <row r="38">
      <c r="A38" s="1"/>
      <c r="B38" s="12" t="s">
        <v>84</v>
      </c>
      <c r="C38" s="13">
        <f>IFERROR(C36/Inputs!C119-1,"n/a")</f>
        <v>0.1096446700507614</v>
      </c>
      <c r="D38" s="13">
        <f>IFERROR(D36/Inputs!D119-1,"n/a")</f>
        <v>0.09448818897637801</v>
      </c>
      <c r="E38" s="13">
        <f>IFERROR(E36/Inputs!E119-1,"n/a")</f>
        <v>0.21995820271682343</v>
      </c>
      <c r="F38" s="13">
        <f>IFERROR(F36/Inputs!F119-1,"n/a")</f>
        <v>0.3266893534273214</v>
      </c>
      <c r="G38" s="13">
        <f>IFERROR(G36/Inputs!G119-1,"n/a")</f>
        <v>0.13027975863960495</v>
      </c>
      <c r="H38" s="16">
        <f>IFERROR(H36/C36-1,"n/a")</f>
        <v>0.42984791857273574</v>
      </c>
      <c r="I38" s="31"/>
      <c r="J38" s="1"/>
      <c r="K38" s="1"/>
      <c r="L38" s="1"/>
      <c r="M38" s="1"/>
    </row>
    <row r="39">
      <c r="A39" s="1"/>
      <c r="B39" s="12" t="s">
        <v>159</v>
      </c>
      <c r="C39" s="4">
        <f>C36/C19</f>
        <v>0.5862161437382676</v>
      </c>
      <c r="D39" s="4">
        <f>D36/D19</f>
        <v>0.5767634854771784</v>
      </c>
      <c r="E39" s="4">
        <f>E36/E19</f>
        <v>0.5950560652395515</v>
      </c>
      <c r="F39" s="4">
        <f>F36/F19</f>
        <v>0.6252004581901489</v>
      </c>
      <c r="G39" s="4">
        <f>G36/G19</f>
        <v>0.5884620876767099</v>
      </c>
      <c r="H39" s="16">
        <f>H36/H19</f>
        <v>0.6413528510435728</v>
      </c>
      <c r="I39" s="31"/>
      <c r="J39" s="1"/>
      <c r="K39" s="1"/>
      <c r="L39" s="1"/>
      <c r="M39" s="1"/>
    </row>
    <row r="40">
      <c r="A40" s="1"/>
      <c r="B40" s="12" t="s">
        <v>127</v>
      </c>
      <c r="C40" s="35">
        <f>IF(AND(ISNUMBER(C39),ISNUMBER((Inputs!F119/Inputs!F99))),(C39-(Inputs!F119/Inputs!F99))*10000,"n/a")</f>
        <v>-96.70298903679098</v>
      </c>
      <c r="D40" s="22">
        <f>IF(AND(ISNUMBER(D39),ISNUMBER(C39)),(D39-C39)*10000,"n/a")</f>
        <v>-94.52658261089209</v>
      </c>
      <c r="E40" s="22">
        <f>IF(AND(ISNUMBER(E39),ISNUMBER(D39)),(E39-D39)*10000,"n/a")</f>
        <v>182.92579762373086</v>
      </c>
      <c r="F40" s="22">
        <f>IF(AND(ISNUMBER(F39),ISNUMBER(E39)),(F39-E39)*10000,"n/a")</f>
        <v>301.44392950597455</v>
      </c>
      <c r="G40" s="22" t="s">
        <v>82</v>
      </c>
      <c r="H40" s="28">
        <f>IF(AND(ISNUMBER(H39),ISNUMBER(F39)),(H39-F39)*10000,"n/a")</f>
        <v>161.52392853423848</v>
      </c>
      <c r="I40" s="31"/>
      <c r="J40" s="1"/>
      <c r="K40" s="1"/>
      <c r="L40" s="1"/>
      <c r="M40" s="1"/>
    </row>
    <row r="41">
      <c r="A41" s="1"/>
      <c r="B41" s="12" t="s">
        <v>128</v>
      </c>
      <c r="C41" s="35">
        <f>IF(AND(ISNUMBER(C39),ISNUMBER((Inputs!C119/Inputs!C99))),(C39-(Inputs!C119/Inputs!C99))*10000,"n/a")</f>
        <v>-250.15627903060334</v>
      </c>
      <c r="D41" s="35">
        <f>IF(AND(ISNUMBER(D39),ISNUMBER((Inputs!D119/Inputs!D99))),(D39-(Inputs!D119/Inputs!D99))*10000,"n/a")</f>
        <v>-234.2555043964578</v>
      </c>
      <c r="E41" s="35">
        <f>IF(AND(ISNUMBER(E39),ISNUMBER((Inputs!E119/Inputs!E99))),(E39-(Inputs!E119/Inputs!E99))*10000,"n/a")</f>
        <v>-12.05617003439241</v>
      </c>
      <c r="F41" s="35">
        <f>IF(AND(ISNUMBER(F39),ISNUMBER((Inputs!F119/Inputs!F99))),(F39-(Inputs!F119/Inputs!F99))*10000,"n/a")</f>
        <v>293.14015548202235</v>
      </c>
      <c r="G41" s="35">
        <f>IF(AND(ISNUMBER(G39),ISNUMBER((Inputs!G119/Inputs!G99))),(G39-(Inputs!G119/Inputs!G99))*10000,"n/a")</f>
        <v>-111.59653956379412</v>
      </c>
      <c r="H41" s="28">
        <f>IF(AND(ISNUMBER(H39),ISNUMBER(C39)),(H39-C39)*10000,"n/a")</f>
        <v>551.3670730530517</v>
      </c>
      <c r="I41" s="31"/>
      <c r="J41" s="1"/>
      <c r="K41" s="1"/>
      <c r="L41" s="1"/>
      <c r="M41" s="1"/>
    </row>
    <row r="42">
      <c r="A42" s="1"/>
      <c r="B42" s="12" t="s">
        <v>160</v>
      </c>
      <c r="C42" s="4"/>
      <c r="D42" s="4">
        <f>IFERROR(D37/D20,"n/a")</f>
        <v>0.8859649122807017</v>
      </c>
      <c r="E42" s="4">
        <f>IFERROR(E37/E20,"n/a")</f>
        <v>0.8090614886731392</v>
      </c>
      <c r="F42" s="4">
        <f>IFERROR(F37/F20,"n/a")</f>
        <v>0.8934240362811792</v>
      </c>
      <c r="G42" s="4"/>
      <c r="H42" s="45">
        <v>0.78</v>
      </c>
      <c r="I42" s="31" t="s">
        <v>161</v>
      </c>
      <c r="J42" s="1"/>
      <c r="K42" s="1"/>
      <c r="L42" s="1"/>
      <c r="M42" s="1"/>
    </row>
    <row r="43">
      <c r="A43" s="1"/>
      <c r="B43" s="12" t="s">
        <v>127</v>
      </c>
      <c r="C43" s="22" t="s">
        <v>82</v>
      </c>
      <c r="D43" s="22" t="str">
        <f>IF(AND(ISNUMBER(D42),ISNUMBER(C42)),(D42-C42)*10000,"n/a")</f>
        <v>n/a</v>
      </c>
      <c r="E43" s="22">
        <f>IF(AND(ISNUMBER(E42),ISNUMBER(D42)),(E42-D42)*10000,"n/a")</f>
        <v>-769.0342360756252</v>
      </c>
      <c r="F43" s="22">
        <f>IF(AND(ISNUMBER(F42),ISNUMBER(E42)),(F42-E42)*10000,"n/a")</f>
        <v>843.6254760803996</v>
      </c>
      <c r="G43" s="22" t="s">
        <v>82</v>
      </c>
      <c r="H43" s="28">
        <f>IF(AND(ISNUMBER(H42),ISNUMBER(F42)),(H42-F42)*10000,"n/a")</f>
        <v>-1134.2403628117913</v>
      </c>
      <c r="I43" s="31"/>
      <c r="J43" s="1"/>
      <c r="K43" s="1"/>
      <c r="L43" s="1"/>
      <c r="M43" s="1"/>
    </row>
    <row r="44">
      <c r="A44" s="1"/>
      <c r="B44" s="12" t="s">
        <v>128</v>
      </c>
      <c r="C44" s="22" t="s">
        <v>82</v>
      </c>
      <c r="D44" s="22" t="s">
        <v>82</v>
      </c>
      <c r="E44" s="22" t="s">
        <v>82</v>
      </c>
      <c r="F44" s="22" t="s">
        <v>82</v>
      </c>
      <c r="G44" s="22" t="s">
        <v>82</v>
      </c>
      <c r="H44" s="28" t="str">
        <f>IF(AND(ISNUMBER(H42),ISNUMBER(C42)),(H42-C42)*10000,"n/a")</f>
        <v>n/a</v>
      </c>
      <c r="I44" s="31"/>
      <c r="J44" s="1"/>
      <c r="K44" s="1"/>
      <c r="L44" s="1"/>
      <c r="M44" s="1"/>
    </row>
    <row r="45">
      <c r="A45" s="1"/>
      <c r="B45" s="1" t="s">
        <v>162</v>
      </c>
      <c r="C45" s="24">
        <v>371</v>
      </c>
      <c r="D45" s="32">
        <f>G45-Inputs!I117</f>
        <v>371</v>
      </c>
      <c r="E45" s="24">
        <v>369</v>
      </c>
      <c r="F45" s="24">
        <v>388</v>
      </c>
      <c r="G45" s="24">
        <v>1494</v>
      </c>
      <c r="H45" s="41">
        <f>F45</f>
        <v>388</v>
      </c>
      <c r="I45" s="31" t="s">
        <v>163</v>
      </c>
      <c r="J45" s="1"/>
      <c r="K45" s="1"/>
      <c r="L45" s="1"/>
      <c r="M45" s="1"/>
    </row>
    <row r="46">
      <c r="A46" s="1"/>
      <c r="B46" s="1" t="s">
        <v>81</v>
      </c>
      <c r="C46" s="32">
        <f>IF(AND(ISNUMBER(C45),ISNUMBER(Inputs!F117)),C45-Inputs!F117,"n/a")</f>
        <v>-12</v>
      </c>
      <c r="D46" s="15">
        <f>IF(AND(ISNUMBER(D45),ISNUMBER(C45)),D45-C45,"n/a")</f>
        <v>0</v>
      </c>
      <c r="E46" s="15">
        <f>IF(AND(ISNUMBER(E45),ISNUMBER(D45)),E45-D45,"n/a")</f>
        <v>-2</v>
      </c>
      <c r="F46" s="15">
        <f>IF(AND(ISNUMBER(F45),ISNUMBER(E45)),F45-E45,"n/a")</f>
        <v>19</v>
      </c>
      <c r="G46" s="15" t="s">
        <v>82</v>
      </c>
      <c r="H46" s="41">
        <f>IF(AND(ISNUMBER(H45),ISNUMBER(F45)),H45-F45,"n/a")</f>
        <v>0</v>
      </c>
      <c r="I46" s="31"/>
      <c r="J46" s="1"/>
      <c r="K46" s="1"/>
      <c r="L46" s="1"/>
      <c r="M46" s="1"/>
    </row>
    <row r="47">
      <c r="A47" s="1"/>
      <c r="B47" s="1" t="s">
        <v>83</v>
      </c>
      <c r="C47" s="32">
        <f>IF(AND(ISNUMBER(C45),ISNUMBER(Inputs!C117)),C45-Inputs!C117,"n/a")</f>
        <v>21</v>
      </c>
      <c r="D47" s="32">
        <f>IF(AND(ISNUMBER(D45),ISNUMBER(Inputs!D117)),D45-Inputs!D117,"n/a")</f>
        <v>19</v>
      </c>
      <c r="E47" s="32">
        <f>IF(AND(ISNUMBER(E45),ISNUMBER(Inputs!E117)),E45-Inputs!E117,"n/a")</f>
        <v>0</v>
      </c>
      <c r="F47" s="32">
        <f>IF(AND(ISNUMBER(F45),ISNUMBER(Inputs!F117)),F45-Inputs!F117,"n/a")</f>
        <v>5</v>
      </c>
      <c r="G47" s="32">
        <f>IF(AND(ISNUMBER(G45),ISNUMBER(Inputs!G117)),G45-Inputs!G117,"n/a")</f>
        <v>83</v>
      </c>
      <c r="H47" s="41">
        <f>IF(AND(ISNUMBER(H45),ISNUMBER(C45)),H45-C45,"n/a")</f>
        <v>17</v>
      </c>
      <c r="I47" s="31"/>
      <c r="J47" s="1"/>
      <c r="K47" s="1"/>
      <c r="L47" s="1"/>
      <c r="M47" s="1"/>
    </row>
    <row r="48">
      <c r="A48" s="1"/>
      <c r="B48" s="12" t="s">
        <v>164</v>
      </c>
      <c r="C48" s="4">
        <f>C45/C19</f>
        <v>0.09949048002145347</v>
      </c>
      <c r="D48" s="4">
        <f>D45/D19</f>
        <v>0.10262793914246196</v>
      </c>
      <c r="E48" s="4">
        <f>E45/E19</f>
        <v>0.09403669724770643</v>
      </c>
      <c r="F48" s="4">
        <f>F45/F19</f>
        <v>0.08888888888888889</v>
      </c>
      <c r="G48" s="4">
        <f>G45/G19</f>
        <v>0.1066685706125946</v>
      </c>
      <c r="H48" s="16">
        <f>H45/H19</f>
        <v>0.079613872717321</v>
      </c>
      <c r="I48" s="31"/>
      <c r="J48" s="1"/>
      <c r="K48" s="1"/>
      <c r="L48" s="1"/>
      <c r="M48" s="1"/>
    </row>
    <row r="49">
      <c r="A49" s="1"/>
      <c r="B49" s="12" t="s">
        <v>127</v>
      </c>
      <c r="C49" s="107">
        <f>IF(AND(ISNUMBER(C48),ISNUMBER((Inputs!F117/Inputs!F99))),(C48-(Inputs!F117/Inputs!F99))*10000,"n/a")</f>
        <v>-114.5969379082927</v>
      </c>
      <c r="D49" s="22">
        <f>IF(AND(ISNUMBER(D48),ISNUMBER(C48)),(D48-C48)*10000,"n/a")</f>
        <v>31.3745912100849</v>
      </c>
      <c r="E49" s="22">
        <f>IF(AND(ISNUMBER(E48),ISNUMBER(D48)),(E48-D48)*10000,"n/a")</f>
        <v>-85.91241894755532</v>
      </c>
      <c r="F49" s="22">
        <f>IF(AND(ISNUMBER(F48),ISNUMBER(E48)),(F48-E48)*10000,"n/a")</f>
        <v>-51.47808358817535</v>
      </c>
      <c r="G49" s="22" t="s">
        <v>82</v>
      </c>
      <c r="H49" s="28">
        <f>IF(AND(ISNUMBER(H48),ISNUMBER(F48)),(H48-F48)*10000,"n/a")</f>
        <v>-92.75016171567896</v>
      </c>
      <c r="I49" s="31"/>
      <c r="J49" s="1"/>
      <c r="K49" s="1"/>
      <c r="L49" s="1"/>
      <c r="M49" s="1"/>
    </row>
    <row r="50">
      <c r="A50" s="1"/>
      <c r="B50" s="12" t="s">
        <v>128</v>
      </c>
      <c r="C50" s="35">
        <f>IF(AND(ISNUMBER(C48),ISNUMBER((Inputs!C117/Inputs!C99))),(C48-(Inputs!C117/Inputs!C99))*10000,"n/a")</f>
        <v>-91.03997173706315</v>
      </c>
      <c r="D50" s="35">
        <f>IF(AND(ISNUMBER(D48),ISNUMBER((Inputs!D117/Inputs!D99))),(D48-(Inputs!D117/Inputs!D99))*10000,"n/a")</f>
        <v>-82.7313206106671</v>
      </c>
      <c r="E50" s="35">
        <f>IF(AND(ISNUMBER(E48),ISNUMBER((Inputs!E117/Inputs!E99))),(E48-(Inputs!E117/Inputs!E99))*10000,"n/a")</f>
        <v>-209.1657378033096</v>
      </c>
      <c r="F50" s="35">
        <f>IF(AND(ISNUMBER(F48),ISNUMBER((Inputs!F117/Inputs!F99))),(F48-(Inputs!F117/Inputs!F99))*10000,"n/a")</f>
        <v>-220.61284923393848</v>
      </c>
      <c r="G50" s="35">
        <f>IF(AND(ISNUMBER(G48),ISNUMBER((Inputs!G117/Inputs!G99))),(G48-(Inputs!G117/Inputs!G99))*10000,"n/a")</f>
        <v>-93.58071933248668</v>
      </c>
      <c r="H50" s="28">
        <f>IF(AND(ISNUMBER(H48),ISNUMBER(C48)),(H48-C48)*10000,"n/a")</f>
        <v>-198.76607304132474</v>
      </c>
      <c r="I50" s="31"/>
      <c r="J50" s="1"/>
      <c r="K50" s="1"/>
      <c r="L50" s="1"/>
      <c r="M50" s="1"/>
    </row>
    <row r="51">
      <c r="A51" s="1"/>
      <c r="B51" s="1" t="s">
        <v>165</v>
      </c>
      <c r="C51" s="24">
        <v>329</v>
      </c>
      <c r="D51" s="32">
        <f>G51-Inputs!I118</f>
        <v>319</v>
      </c>
      <c r="E51" s="24">
        <v>328</v>
      </c>
      <c r="F51" s="24">
        <v>349</v>
      </c>
      <c r="G51" s="24">
        <v>1336</v>
      </c>
      <c r="H51" s="41">
        <f>F51</f>
        <v>349</v>
      </c>
      <c r="I51" s="31"/>
      <c r="J51" s="1"/>
      <c r="K51" s="1"/>
      <c r="L51" s="1"/>
      <c r="M51" s="1"/>
    </row>
    <row r="52">
      <c r="A52" s="1"/>
      <c r="B52" s="1" t="s">
        <v>81</v>
      </c>
      <c r="C52" s="32">
        <f>IF(AND(ISNUMBER(C51),ISNUMBER(Inputs!F118)),C51-Inputs!F118,"n/a")</f>
        <v>-20</v>
      </c>
      <c r="D52" s="15">
        <f>IF(AND(ISNUMBER(D51),ISNUMBER(C51)),D51-C51,"n/a")</f>
        <v>-10</v>
      </c>
      <c r="E52" s="15">
        <f>IF(AND(ISNUMBER(E51),ISNUMBER(D51)),E51-D51,"n/a")</f>
        <v>9</v>
      </c>
      <c r="F52" s="15">
        <f>IF(AND(ISNUMBER(F51),ISNUMBER(E51)),F51-E51,"n/a")</f>
        <v>21</v>
      </c>
      <c r="G52" s="15" t="s">
        <v>82</v>
      </c>
      <c r="H52" s="41">
        <f>IF(AND(ISNUMBER(H51),ISNUMBER(F51)),H51-F51,"n/a")</f>
        <v>0</v>
      </c>
      <c r="I52" s="31"/>
      <c r="J52" s="1"/>
      <c r="K52" s="1"/>
      <c r="L52" s="1"/>
      <c r="M52" s="1"/>
    </row>
    <row r="53">
      <c r="A53" s="1"/>
      <c r="B53" s="1" t="s">
        <v>83</v>
      </c>
      <c r="C53" s="32">
        <f>IF(AND(ISNUMBER(C51),ISNUMBER(Inputs!C118)),C51-Inputs!C118,"n/a")</f>
        <v>25</v>
      </c>
      <c r="D53" s="32">
        <f>IF(AND(ISNUMBER(D51),ISNUMBER(Inputs!D118)),D51-Inputs!D118,"n/a")</f>
        <v>3</v>
      </c>
      <c r="E53" s="32">
        <f>IF(AND(ISNUMBER(E51),ISNUMBER(Inputs!E118)),E51-Inputs!E118,"n/a")</f>
        <v>-11</v>
      </c>
      <c r="F53" s="32">
        <f>IF(AND(ISNUMBER(F51),ISNUMBER(Inputs!F118)),F51-Inputs!F118,"n/a")</f>
        <v>0</v>
      </c>
      <c r="G53" s="32">
        <f>IF(AND(ISNUMBER(G51),ISNUMBER(Inputs!G118)),G51-Inputs!G118,"n/a")</f>
        <v>63</v>
      </c>
      <c r="H53" s="41">
        <f>IF(AND(ISNUMBER(H51),ISNUMBER(C51)),H51-C51,"n/a")</f>
        <v>20</v>
      </c>
      <c r="I53" s="31"/>
      <c r="J53" s="1"/>
      <c r="K53" s="1"/>
      <c r="L53" s="1"/>
      <c r="M53" s="1"/>
    </row>
    <row r="54">
      <c r="A54" s="1"/>
      <c r="B54" s="12" t="s">
        <v>164</v>
      </c>
      <c r="C54" s="4">
        <f>C51/C19</f>
        <v>0.0882274068114776</v>
      </c>
      <c r="D54" s="4">
        <f>D51/D19</f>
        <v>0.08824343015214385</v>
      </c>
      <c r="E54" s="4">
        <f>E51/E19</f>
        <v>0.0835881753312946</v>
      </c>
      <c r="F54" s="4">
        <f>F51/F19</f>
        <v>0.07995418098510881</v>
      </c>
      <c r="G54" s="4">
        <f>G51/G19</f>
        <v>0.09538769098957589</v>
      </c>
      <c r="H54" s="16">
        <f>H51/H19</f>
        <v>0.07161144736686863</v>
      </c>
      <c r="I54" s="31"/>
      <c r="J54" s="1"/>
      <c r="K54" s="1"/>
      <c r="L54" s="1"/>
      <c r="M54" s="1"/>
    </row>
    <row r="55">
      <c r="A55" s="1"/>
      <c r="B55" s="12" t="s">
        <v>127</v>
      </c>
      <c r="C55" s="107">
        <f>IF(AND(ISNUMBER(C54),ISNUMBER((Inputs!F118/Inputs!F99))),(C54-(Inputs!F118/Inputs!F99))*10000,"n/a")</f>
        <v>-128.73404312508495</v>
      </c>
      <c r="D55" s="22">
        <f>IF(AND(ISNUMBER(D54),ISNUMBER(C54)),(D54-C54)*10000,"n/a")</f>
        <v>0.16023340666249108</v>
      </c>
      <c r="E55" s="22">
        <f>IF(AND(ISNUMBER(E54),ISNUMBER(D54)),(E54-D54)*10000,"n/a")</f>
        <v>-46.552548208492475</v>
      </c>
      <c r="F55" s="22">
        <f>IF(AND(ISNUMBER(F54),ISNUMBER(E54)),(F54-E54)*10000,"n/a")</f>
        <v>-36.3399434618579</v>
      </c>
      <c r="G55" s="22" t="s">
        <v>82</v>
      </c>
      <c r="H55" s="28">
        <f>IF(AND(ISNUMBER(H54),ISNUMBER(F54)),(H54-F54)*10000,"n/a")</f>
        <v>-83.42733618240186</v>
      </c>
      <c r="I55" s="31"/>
      <c r="J55" s="1"/>
      <c r="K55" s="1"/>
      <c r="L55" s="1"/>
      <c r="M55" s="1"/>
    </row>
    <row r="56">
      <c r="A56" s="1"/>
      <c r="B56" s="12" t="s">
        <v>128</v>
      </c>
      <c r="C56" s="35">
        <f>IF(AND(ISNUMBER(C54),ISNUMBER((Inputs!C118/Inputs!C99))),(C54-(Inputs!C118/Inputs!C99))*10000,"n/a")</f>
        <v>-60.946533808897556</v>
      </c>
      <c r="D56" s="35">
        <f>IF(AND(ISNUMBER(D54),ISNUMBER((Inputs!D118/Inputs!D99))),(D54-(Inputs!D118/Inputs!D99))*10000,"n/a")</f>
        <v>-113.15486041933026</v>
      </c>
      <c r="E56" s="35">
        <f>IF(AND(ISNUMBER(E54),ISNUMBER((Inputs!E118/Inputs!E99))),(E54-(Inputs!E118/Inputs!E99))*10000,"n/a")</f>
        <v>-220.1930130421942</v>
      </c>
      <c r="F56" s="35">
        <f>IF(AND(ISNUMBER(F54),ISNUMBER((Inputs!F118/Inputs!F99))),(F54-(Inputs!F118/Inputs!F99))*10000,"n/a")</f>
        <v>-211.46630138877285</v>
      </c>
      <c r="G56" s="35">
        <f>IF(AND(ISNUMBER(G54),ISNUMBER((Inputs!G118/Inputs!G99))),(G54-(Inputs!G118/Inputs!G99))*10000,"n/a")</f>
        <v>-92.91200548948899</v>
      </c>
      <c r="H56" s="28">
        <f>IF(AND(ISNUMBER(H54),ISNUMBER(C54)),(H54-C54)*10000,"n/a")</f>
        <v>-166.15959444608976</v>
      </c>
      <c r="I56" s="31"/>
      <c r="J56" s="1"/>
      <c r="K56" s="1"/>
      <c r="L56" s="1"/>
      <c r="M56" s="1"/>
    </row>
    <row r="57">
      <c r="A57" s="1"/>
      <c r="B57" s="9" t="s">
        <v>166</v>
      </c>
      <c r="C57" s="17">
        <f>C36-C45-C51</f>
        <v>1486</v>
      </c>
      <c r="D57" s="17">
        <f>D36-D45-D51</f>
        <v>1395</v>
      </c>
      <c r="E57" s="17">
        <f>E36-E45-E51</f>
        <v>1638</v>
      </c>
      <c r="F57" s="17">
        <f>F36-F45-F51</f>
        <v>1992</v>
      </c>
      <c r="G57" s="17">
        <f>G36-G45-G51</f>
        <v>5412</v>
      </c>
      <c r="H57" s="38">
        <f>H36-H45-H51</f>
        <v>2388.64755</v>
      </c>
      <c r="I57" s="31"/>
      <c r="J57" s="1"/>
      <c r="K57" s="1"/>
      <c r="L57" s="1"/>
      <c r="M57" s="1"/>
    </row>
    <row r="58">
      <c r="A58" s="1"/>
      <c r="B58" s="1" t="s">
        <v>81</v>
      </c>
      <c r="C58" s="15"/>
      <c r="D58" s="15">
        <f>D57-C57</f>
        <v>-91</v>
      </c>
      <c r="E58" s="15">
        <f>E57-D57</f>
        <v>243</v>
      </c>
      <c r="F58" s="15">
        <f>F57-E57</f>
        <v>354</v>
      </c>
      <c r="G58" s="15"/>
      <c r="H58" s="41">
        <f>H57-F57</f>
        <v>396.64755000000014</v>
      </c>
      <c r="I58" s="31"/>
      <c r="J58" s="1"/>
      <c r="K58" s="1"/>
      <c r="L58" s="1"/>
      <c r="M58" s="1"/>
    </row>
    <row r="59">
      <c r="A59" s="1"/>
      <c r="B59" s="12" t="s">
        <v>84</v>
      </c>
      <c r="C59" s="13">
        <f>IFERROR(C57/Inputs!C120-1,"n/a")</f>
        <v>0.12917933130699089</v>
      </c>
      <c r="D59" s="13">
        <f>IFERROR(D57/Inputs!D120-1,"n/a")</f>
        <v>0.12772837510105095</v>
      </c>
      <c r="E59" s="13">
        <f>IFERROR(E57/Inputs!E120-1,"n/a")</f>
        <v>0.3582089552238805</v>
      </c>
      <c r="F59" s="13">
        <f>IFERROR(F57/Inputs!F120-1,"n/a")</f>
        <v>0.5033962264150944</v>
      </c>
      <c r="G59" s="13">
        <f>IFERROR(G57/Inputs!G120-1,"n/a")</f>
        <v>0.17447916666666674</v>
      </c>
      <c r="H59" s="16">
        <f>IFERROR(H57/C57-1,"n/a")</f>
        <v>0.6074344212651415</v>
      </c>
      <c r="I59" s="31"/>
      <c r="J59" s="1"/>
      <c r="K59" s="1"/>
      <c r="L59" s="1"/>
      <c r="M59" s="1"/>
    </row>
    <row r="60">
      <c r="A60" s="1"/>
      <c r="B60" s="12" t="s">
        <v>167</v>
      </c>
      <c r="C60" s="4">
        <f>C57/C19</f>
        <v>0.3984982569053366</v>
      </c>
      <c r="D60" s="4">
        <f>D57/D19</f>
        <v>0.38589211618257263</v>
      </c>
      <c r="E60" s="4">
        <f>E57/E19</f>
        <v>0.41743119266055045</v>
      </c>
      <c r="F60" s="4">
        <f>F57/F19</f>
        <v>0.4563573883161512</v>
      </c>
      <c r="G60" s="4">
        <f>G57/G19</f>
        <v>0.3864058260745395</v>
      </c>
      <c r="H60" s="16">
        <f>H57/H19</f>
        <v>0.4901275309593831</v>
      </c>
      <c r="I60" s="31"/>
      <c r="J60" s="1"/>
      <c r="K60" s="1"/>
      <c r="L60" s="1"/>
      <c r="M60" s="1"/>
    </row>
    <row r="61">
      <c r="A61" s="1"/>
      <c r="B61" s="12" t="s">
        <v>127</v>
      </c>
      <c r="C61" s="35">
        <f>IF(AND(ISNUMBER(C60),ISNUMBER((Inputs!F120/Inputs!F99))),(C60-(Inputs!F120/Inputs!F99))*10000,"n/a")</f>
        <v>146.62799199658738</v>
      </c>
      <c r="D61" s="22">
        <f>IF(AND(ISNUMBER(D60),ISNUMBER(C60)),(D60-C60)*10000,"n/a")</f>
        <v>-126.06140722763948</v>
      </c>
      <c r="E61" s="22">
        <f>IF(AND(ISNUMBER(E60),ISNUMBER(D60)),(E60-D60)*10000,"n/a")</f>
        <v>315.39076477977824</v>
      </c>
      <c r="F61" s="22">
        <f>IF(AND(ISNUMBER(F60),ISNUMBER(E60)),(F60-E60)*10000,"n/a")</f>
        <v>389.26195655600736</v>
      </c>
      <c r="G61" s="22" t="s">
        <v>82</v>
      </c>
      <c r="H61" s="28">
        <f>IF(AND(ISNUMBER(H60),ISNUMBER(F60)),(H60-F60)*10000,"n/a")</f>
        <v>337.7014264323191</v>
      </c>
      <c r="I61" s="31"/>
      <c r="J61" s="1"/>
      <c r="K61" s="1"/>
      <c r="L61" s="1"/>
      <c r="M61" s="1"/>
    </row>
    <row r="62">
      <c r="A62" s="1"/>
      <c r="B62" s="12" t="s">
        <v>128</v>
      </c>
      <c r="C62" s="35">
        <f>IF(AND(ISNUMBER(C60),ISNUMBER((Inputs!C120/Inputs!C99))),(C60-(Inputs!C120/Inputs!C99))*10000,"n/a")</f>
        <v>-98.16977348464206</v>
      </c>
      <c r="D62" s="35">
        <f>IF(AND(ISNUMBER(D60),ISNUMBER((Inputs!D120/Inputs!D99))),(D60-(Inputs!D120/Inputs!D99))*10000,"n/a")</f>
        <v>-38.36932336646004</v>
      </c>
      <c r="E62" s="35">
        <f>IF(AND(ISNUMBER(E60),ISNUMBER((Inputs!E120/Inputs!E99))),(E60-(Inputs!E120/Inputs!E99))*10000,"n/a")</f>
        <v>417.3025808111119</v>
      </c>
      <c r="F62" s="35">
        <f>IF(AND(ISNUMBER(F60),ISNUMBER((Inputs!F120/Inputs!F99))),(F60-(Inputs!F120/Inputs!F99))*10000,"n/a")</f>
        <v>725.2193061047335</v>
      </c>
      <c r="G62" s="35">
        <f>IF(AND(ISNUMBER(G60),ISNUMBER((Inputs!G120/Inputs!G99))),(G60-(Inputs!G120/Inputs!G99))*10000,"n/a")</f>
        <v>74.89618525818199</v>
      </c>
      <c r="H62" s="28">
        <f>IF(AND(ISNUMBER(H60),ISNUMBER(C60)),(H60-C60)*10000,"n/a")</f>
        <v>916.2927405404653</v>
      </c>
      <c r="I62" s="31"/>
      <c r="J62" s="1"/>
      <c r="K62" s="1"/>
      <c r="L62" s="1"/>
      <c r="M62" s="1"/>
    </row>
    <row r="63">
      <c r="A63" s="1"/>
      <c r="B63" s="1" t="s">
        <v>168</v>
      </c>
      <c r="C63" s="24">
        <v>1486</v>
      </c>
      <c r="D63" s="24">
        <v>1395</v>
      </c>
      <c r="E63" s="24">
        <v>1638</v>
      </c>
      <c r="F63" s="24">
        <v>1992</v>
      </c>
      <c r="G63" s="24">
        <v>5412</v>
      </c>
      <c r="H63" s="41"/>
      <c r="I63" s="31"/>
      <c r="J63" s="1"/>
      <c r="K63" s="1"/>
      <c r="L63" s="1"/>
      <c r="M63" s="1"/>
    </row>
    <row r="64">
      <c r="A64" s="1"/>
      <c r="B64" s="1" t="s">
        <v>138</v>
      </c>
      <c r="C64" s="15">
        <f>C57-C63</f>
        <v>0</v>
      </c>
      <c r="D64" s="15">
        <f>D57-D63</f>
        <v>0</v>
      </c>
      <c r="E64" s="15">
        <f>E57-E63</f>
        <v>0</v>
      </c>
      <c r="F64" s="15">
        <f>F57-F63</f>
        <v>0</v>
      </c>
      <c r="G64" s="15">
        <f>G57-G63</f>
        <v>0</v>
      </c>
      <c r="H64" s="41"/>
      <c r="I64" s="31"/>
      <c r="J64" s="1"/>
      <c r="K64" s="1"/>
      <c r="L64" s="1"/>
      <c r="M64" s="1"/>
    </row>
    <row r="65">
      <c r="A65" s="1"/>
      <c r="B65" s="1"/>
      <c r="C65" s="1"/>
      <c r="D65" s="1"/>
      <c r="E65" s="1"/>
      <c r="F65" s="1"/>
      <c r="G65" s="1"/>
      <c r="H65" s="51"/>
      <c r="I65" s="31"/>
      <c r="J65" s="1"/>
      <c r="K65" s="1"/>
      <c r="L65" s="1"/>
      <c r="M65" s="1"/>
    </row>
    <row r="6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</row>
    <row r="7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</row>
    <row r="77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</sheetData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M80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8" width="12" customWidth="1"/>
    <col min="9" max="9" width="6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>
      <c r="A2" s="1"/>
      <c r="B2" s="47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>
      <c r="A3" s="1"/>
      <c r="B3" s="9" t="s">
        <v>169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>
      <c r="A4" s="1"/>
      <c r="B4" s="12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>
      <c r="A5" s="1"/>
      <c r="B5" s="23" t="s">
        <v>3</v>
      </c>
      <c r="C5" s="27" t="s">
        <v>74</v>
      </c>
      <c r="D5" s="27" t="s">
        <v>75</v>
      </c>
      <c r="E5" s="27" t="s">
        <v>76</v>
      </c>
      <c r="F5" s="27" t="s">
        <v>77</v>
      </c>
      <c r="G5" s="27" t="s">
        <v>78</v>
      </c>
      <c r="H5" s="66" t="s">
        <v>4</v>
      </c>
      <c r="I5" s="49" t="s">
        <v>32</v>
      </c>
      <c r="J5" s="1"/>
      <c r="K5" s="1"/>
      <c r="L5" s="1"/>
      <c r="M5" s="1"/>
    </row>
    <row r="6">
      <c r="A6" s="1"/>
      <c r="B6" s="29" t="s">
        <v>5</v>
      </c>
      <c r="C6" s="39">
        <f>DATE(2025,9,30)</f>
        <v>45930</v>
      </c>
      <c r="D6" s="39">
        <f>DATE(2025,12,31)</f>
        <v>46022</v>
      </c>
      <c r="E6" s="39">
        <f>DATE(2026,3,31)</f>
        <v>46112</v>
      </c>
      <c r="F6" s="39">
        <f>DATE(2026,6,30)</f>
        <v>46203</v>
      </c>
      <c r="G6" s="39">
        <f>DATE(2025,12,31)</f>
        <v>46022</v>
      </c>
      <c r="H6" s="64">
        <f>DATE(2026,9,30)</f>
        <v>46295</v>
      </c>
      <c r="I6" s="29"/>
      <c r="J6" s="1"/>
      <c r="K6" s="1"/>
      <c r="L6" s="1"/>
      <c r="M6" s="1"/>
    </row>
    <row r="7">
      <c r="A7" s="1"/>
      <c r="B7" s="18" t="s">
        <v>6</v>
      </c>
      <c r="C7" s="42">
        <f>C6-EOMONTH(C6,-3)</f>
        <v>92</v>
      </c>
      <c r="D7" s="42">
        <f>D6-EOMONTH(D6,-3)</f>
        <v>92</v>
      </c>
      <c r="E7" s="42">
        <f>E6-EOMONTH(E6,-3)</f>
        <v>90</v>
      </c>
      <c r="F7" s="42">
        <f>F6-EOMONTH(F6,-3)</f>
        <v>91</v>
      </c>
      <c r="G7" s="42">
        <f>G6-EOMONTH(G6,-12)</f>
        <v>365</v>
      </c>
      <c r="H7" s="55">
        <f>H6-EOMONTH(H6,-3)</f>
        <v>92</v>
      </c>
      <c r="I7" s="18"/>
      <c r="J7" s="1"/>
      <c r="K7" s="1"/>
      <c r="L7" s="1"/>
      <c r="M7" s="1"/>
    </row>
    <row r="8">
      <c r="A8" s="1"/>
      <c r="B8" s="1"/>
      <c r="C8" s="1"/>
      <c r="D8" s="1"/>
      <c r="E8" s="1"/>
      <c r="F8" s="1"/>
      <c r="G8" s="1"/>
      <c r="H8" s="51"/>
      <c r="I8" s="1"/>
      <c r="J8" s="1"/>
      <c r="K8" s="1"/>
      <c r="L8" s="1"/>
      <c r="M8" s="1"/>
    </row>
    <row r="9">
      <c r="A9" s="1"/>
      <c r="B9" s="25" t="s">
        <v>170</v>
      </c>
      <c r="C9" s="1"/>
      <c r="D9" s="1"/>
      <c r="E9" s="1"/>
      <c r="F9" s="1"/>
      <c r="G9" s="1"/>
      <c r="H9" s="51"/>
      <c r="I9" s="31"/>
      <c r="J9" s="1"/>
      <c r="K9" s="1"/>
      <c r="L9" s="1"/>
      <c r="M9" s="1"/>
    </row>
    <row r="10">
      <c r="A10" s="1"/>
      <c r="B10" s="1" t="s">
        <v>141</v>
      </c>
      <c r="C10" s="32">
        <f>Inputs!F100</f>
        <v>679</v>
      </c>
      <c r="D10" s="15">
        <f>C19</f>
        <v>709</v>
      </c>
      <c r="E10" s="15">
        <f>D19</f>
        <v>662</v>
      </c>
      <c r="F10" s="15">
        <f>E19</f>
        <v>723</v>
      </c>
      <c r="G10" s="15"/>
      <c r="H10" s="41">
        <f>F19</f>
        <v>788</v>
      </c>
      <c r="I10" s="31"/>
      <c r="J10" s="1"/>
      <c r="K10" s="1"/>
      <c r="L10" s="1"/>
      <c r="M10" s="1"/>
    </row>
    <row r="11">
      <c r="A11" s="1"/>
      <c r="B11" s="12" t="s">
        <v>142</v>
      </c>
      <c r="C11" s="4" t="s">
        <v>109</v>
      </c>
      <c r="D11" s="4" t="s">
        <v>109</v>
      </c>
      <c r="E11" s="4">
        <f>(1+E21)/(1+E15)-1</f>
        <v>0.09214501510574014</v>
      </c>
      <c r="F11" s="4">
        <f>(1+F21)/(1+F15)-1</f>
        <v>0.08990318118948815</v>
      </c>
      <c r="G11" s="4"/>
      <c r="H11" s="45">
        <v>0.065</v>
      </c>
      <c r="I11" s="31" t="s">
        <v>143</v>
      </c>
      <c r="J11" s="1"/>
      <c r="K11" s="1"/>
      <c r="L11" s="1"/>
      <c r="M11" s="1"/>
    </row>
    <row r="12">
      <c r="A12" s="1"/>
      <c r="B12" s="12" t="s">
        <v>127</v>
      </c>
      <c r="C12" s="22" t="s">
        <v>82</v>
      </c>
      <c r="D12" s="22" t="str">
        <f>IF(AND(ISNUMBER(D11),ISNUMBER(C11)),(D11-C11)*10000,"n/a")</f>
        <v>n/a</v>
      </c>
      <c r="E12" s="22" t="str">
        <f>IF(AND(ISNUMBER(E11),ISNUMBER(D11)),(E11-D11)*10000,"n/a")</f>
        <v>n/a</v>
      </c>
      <c r="F12" s="22">
        <f>IF(AND(ISNUMBER(F11),ISNUMBER(E11)),(F11-E11)*10000,"n/a")</f>
        <v>-22.418339162519896</v>
      </c>
      <c r="G12" s="22" t="s">
        <v>82</v>
      </c>
      <c r="H12" s="28">
        <f>IF(AND(ISNUMBER(H11),ISNUMBER(F11)),(H11-F11)*10000,"n/a")</f>
        <v>-249.03181189488143</v>
      </c>
      <c r="I12" s="31"/>
      <c r="J12" s="1"/>
      <c r="K12" s="1"/>
      <c r="L12" s="1"/>
      <c r="M12" s="1"/>
    </row>
    <row r="13">
      <c r="A13" s="1"/>
      <c r="B13" s="12" t="s">
        <v>128</v>
      </c>
      <c r="C13" s="22" t="s">
        <v>82</v>
      </c>
      <c r="D13" s="22" t="s">
        <v>82</v>
      </c>
      <c r="E13" s="22" t="s">
        <v>82</v>
      </c>
      <c r="F13" s="22" t="s">
        <v>82</v>
      </c>
      <c r="G13" s="22" t="s">
        <v>82</v>
      </c>
      <c r="H13" s="28" t="str">
        <f>IF(AND(ISNUMBER(H11),ISNUMBER(C11)),(H11-C11)*10000,"n/a")</f>
        <v>n/a</v>
      </c>
      <c r="I13" s="31"/>
      <c r="J13" s="1"/>
      <c r="K13" s="1"/>
      <c r="L13" s="1"/>
      <c r="M13" s="1"/>
    </row>
    <row r="14">
      <c r="A14" s="1"/>
      <c r="B14" s="1" t="s">
        <v>144</v>
      </c>
      <c r="C14" s="15"/>
      <c r="D14" s="15"/>
      <c r="E14" s="15">
        <f>E10*E11</f>
        <v>60.99999999999997</v>
      </c>
      <c r="F14" s="15">
        <f>F10*F11</f>
        <v>64.99999999999993</v>
      </c>
      <c r="G14" s="15"/>
      <c r="H14" s="41">
        <f>H10*H11</f>
        <v>51.22</v>
      </c>
      <c r="I14" s="31"/>
      <c r="J14" s="1"/>
      <c r="K14" s="1"/>
      <c r="L14" s="1"/>
      <c r="M14" s="1"/>
    </row>
    <row r="15">
      <c r="A15" s="1"/>
      <c r="B15" s="12" t="s">
        <v>145</v>
      </c>
      <c r="C15" s="4" t="s">
        <v>109</v>
      </c>
      <c r="D15" s="4" t="s">
        <v>109</v>
      </c>
      <c r="E15" s="40">
        <v>0</v>
      </c>
      <c r="F15" s="40">
        <v>0</v>
      </c>
      <c r="G15" s="4"/>
      <c r="H15" s="45">
        <v>0.005</v>
      </c>
      <c r="I15" s="31" t="s">
        <v>171</v>
      </c>
      <c r="J15" s="1"/>
      <c r="K15" s="1"/>
      <c r="L15" s="1"/>
      <c r="M15" s="1"/>
    </row>
    <row r="16">
      <c r="A16" s="1"/>
      <c r="B16" s="12" t="s">
        <v>127</v>
      </c>
      <c r="C16" s="22" t="s">
        <v>82</v>
      </c>
      <c r="D16" s="22" t="str">
        <f>IF(AND(ISNUMBER(D15),ISNUMBER(C15)),(D15-C15)*10000,"n/a")</f>
        <v>n/a</v>
      </c>
      <c r="E16" s="22" t="str">
        <f>IF(AND(ISNUMBER(E15),ISNUMBER(D15)),(E15-D15)*10000,"n/a")</f>
        <v>n/a</v>
      </c>
      <c r="F16" s="22">
        <f>IF(AND(ISNUMBER(F15),ISNUMBER(E15)),(F15-E15)*10000,"n/a")</f>
        <v>0</v>
      </c>
      <c r="G16" s="22" t="s">
        <v>82</v>
      </c>
      <c r="H16" s="28">
        <f>IF(AND(ISNUMBER(H15),ISNUMBER(F15)),(H15-F15)*10000,"n/a")</f>
        <v>50</v>
      </c>
      <c r="I16" s="31"/>
      <c r="J16" s="1"/>
      <c r="K16" s="1"/>
      <c r="L16" s="1"/>
      <c r="M16" s="1"/>
    </row>
    <row r="17">
      <c r="A17" s="1"/>
      <c r="B17" s="12" t="s">
        <v>128</v>
      </c>
      <c r="C17" s="22" t="s">
        <v>82</v>
      </c>
      <c r="D17" s="22" t="s">
        <v>82</v>
      </c>
      <c r="E17" s="22" t="s">
        <v>82</v>
      </c>
      <c r="F17" s="22" t="s">
        <v>82</v>
      </c>
      <c r="G17" s="22" t="s">
        <v>82</v>
      </c>
      <c r="H17" s="28" t="str">
        <f>IF(AND(ISNUMBER(H15),ISNUMBER(C15)),(H15-C15)*10000,"n/a")</f>
        <v>n/a</v>
      </c>
      <c r="I17" s="31"/>
      <c r="J17" s="1"/>
      <c r="K17" s="1"/>
      <c r="L17" s="1"/>
      <c r="M17" s="1"/>
    </row>
    <row r="18">
      <c r="A18" s="1"/>
      <c r="B18" s="1" t="s">
        <v>147</v>
      </c>
      <c r="C18" s="15"/>
      <c r="D18" s="15"/>
      <c r="E18" s="15">
        <f>E10*(1+E11)*E15</f>
        <v>0</v>
      </c>
      <c r="F18" s="15">
        <f>F10*(1+F11)*F15</f>
        <v>0</v>
      </c>
      <c r="G18" s="15"/>
      <c r="H18" s="41">
        <f>H10*(1+H11)*H15</f>
        <v>4.1960999999999995</v>
      </c>
      <c r="I18" s="31"/>
      <c r="J18" s="1"/>
      <c r="K18" s="1"/>
      <c r="L18" s="1"/>
      <c r="M18" s="1"/>
    </row>
    <row r="19">
      <c r="A19" s="1"/>
      <c r="B19" s="9" t="s">
        <v>172</v>
      </c>
      <c r="C19" s="48">
        <v>709</v>
      </c>
      <c r="D19" s="48">
        <v>662</v>
      </c>
      <c r="E19" s="48">
        <v>723</v>
      </c>
      <c r="F19" s="48">
        <v>788</v>
      </c>
      <c r="G19" s="48">
        <v>2697</v>
      </c>
      <c r="H19" s="38">
        <f>H10+H14+H18</f>
        <v>843.4161</v>
      </c>
      <c r="I19" s="31"/>
      <c r="J19" s="1"/>
      <c r="K19" s="1"/>
      <c r="L19" s="1"/>
      <c r="M19" s="1"/>
    </row>
    <row r="20">
      <c r="A20" s="1"/>
      <c r="B20" s="1" t="s">
        <v>81</v>
      </c>
      <c r="C20" s="15">
        <f>C19-C10</f>
        <v>30</v>
      </c>
      <c r="D20" s="15">
        <f>D19-D10</f>
        <v>-47</v>
      </c>
      <c r="E20" s="15">
        <f>E19-E10</f>
        <v>61</v>
      </c>
      <c r="F20" s="15">
        <f>F19-F10</f>
        <v>65</v>
      </c>
      <c r="G20" s="15"/>
      <c r="H20" s="41">
        <f>H19-H10</f>
        <v>55.41610000000003</v>
      </c>
      <c r="I20" s="31"/>
      <c r="J20" s="1"/>
      <c r="K20" s="1"/>
      <c r="L20" s="1"/>
      <c r="M20" s="1"/>
    </row>
    <row r="21">
      <c r="A21" s="1"/>
      <c r="B21" s="12" t="s">
        <v>85</v>
      </c>
      <c r="C21" s="13">
        <f>IFERROR(C19/Inputs!F100-1,"n/a")</f>
        <v>0.044182621502209196</v>
      </c>
      <c r="D21" s="4">
        <f>IFERROR(D19/C19-1,"n/a")</f>
        <v>-0.06629055007052187</v>
      </c>
      <c r="E21" s="4">
        <f>IFERROR(E19/D19-1,"n/a")</f>
        <v>0.09214501510574014</v>
      </c>
      <c r="F21" s="4">
        <f>IFERROR(F19/E19-1,"n/a")</f>
        <v>0.08990318118948815</v>
      </c>
      <c r="G21" s="4" t="s">
        <v>82</v>
      </c>
      <c r="H21" s="16">
        <f>IFERROR(H19/F19-1,"n/a")</f>
        <v>0.07032499999999997</v>
      </c>
      <c r="I21" s="31"/>
      <c r="J21" s="1"/>
      <c r="K21" s="1"/>
      <c r="L21" s="1"/>
      <c r="M21" s="1"/>
    </row>
    <row r="22">
      <c r="A22" s="1"/>
      <c r="B22" s="1" t="s">
        <v>83</v>
      </c>
      <c r="C22" s="32">
        <f>C19-Inputs!C100</f>
        <v>56</v>
      </c>
      <c r="D22" s="32">
        <f>D19-Inputs!D100</f>
        <v>49</v>
      </c>
      <c r="E22" s="32">
        <f>E19-Inputs!E100</f>
        <v>76</v>
      </c>
      <c r="F22" s="32">
        <f>F19-Inputs!F100</f>
        <v>109</v>
      </c>
      <c r="G22" s="32">
        <f>G19-Inputs!G100</f>
        <v>164</v>
      </c>
      <c r="H22" s="41">
        <f>H19-C19</f>
        <v>134.41610000000003</v>
      </c>
      <c r="I22" s="31"/>
      <c r="J22" s="1"/>
      <c r="K22" s="1"/>
      <c r="L22" s="1"/>
      <c r="M22" s="1"/>
    </row>
    <row r="23">
      <c r="A23" s="1"/>
      <c r="B23" s="12" t="s">
        <v>84</v>
      </c>
      <c r="C23" s="13">
        <f>IFERROR(C19/Inputs!C100-1,"n/a")</f>
        <v>0.08575803981623276</v>
      </c>
      <c r="D23" s="13">
        <f>IFERROR(D19/Inputs!D100-1,"n/a")</f>
        <v>0.07993474714518767</v>
      </c>
      <c r="E23" s="13">
        <f>IFERROR(E19/Inputs!E100-1,"n/a")</f>
        <v>0.1174652241112828</v>
      </c>
      <c r="F23" s="13">
        <f>IFERROR(F19/Inputs!F100-1,"n/a")</f>
        <v>0.1605301914580266</v>
      </c>
      <c r="G23" s="13">
        <f>IFERROR(G19/Inputs!G100-1,"n/a")</f>
        <v>0.06474536123174102</v>
      </c>
      <c r="H23" s="16">
        <f>IFERROR(H19/C19-1,"n/a")</f>
        <v>0.18958547249647384</v>
      </c>
      <c r="I23" s="31"/>
      <c r="J23" s="1"/>
      <c r="K23" s="1"/>
      <c r="L23" s="1"/>
      <c r="M23" s="1"/>
    </row>
    <row r="24">
      <c r="A24" s="1"/>
      <c r="B24" s="12" t="s">
        <v>87</v>
      </c>
      <c r="C24" s="40">
        <v>0</v>
      </c>
      <c r="D24" s="40">
        <v>0</v>
      </c>
      <c r="E24" s="40">
        <v>0</v>
      </c>
      <c r="F24" s="40">
        <v>0</v>
      </c>
      <c r="G24" s="40">
        <v>0</v>
      </c>
      <c r="H24" s="45">
        <v>0</v>
      </c>
      <c r="I24" s="31" t="s">
        <v>88</v>
      </c>
      <c r="J24" s="1"/>
      <c r="K24" s="1"/>
      <c r="L24" s="1"/>
      <c r="M24" s="1"/>
    </row>
    <row r="25">
      <c r="A25" s="1"/>
      <c r="B25" s="12" t="s">
        <v>89</v>
      </c>
      <c r="C25" s="4" t="s">
        <v>90</v>
      </c>
      <c r="D25" s="4" t="s">
        <v>90</v>
      </c>
      <c r="E25" s="4" t="s">
        <v>90</v>
      </c>
      <c r="F25" s="4" t="s">
        <v>90</v>
      </c>
      <c r="G25" s="4" t="s">
        <v>90</v>
      </c>
      <c r="H25" s="16" t="s">
        <v>90</v>
      </c>
      <c r="I25" s="31" t="s">
        <v>91</v>
      </c>
      <c r="J25" s="1"/>
      <c r="K25" s="1"/>
      <c r="L25" s="1"/>
      <c r="M25" s="1"/>
    </row>
    <row r="26">
      <c r="A26" s="1"/>
      <c r="B26" s="12" t="s">
        <v>92</v>
      </c>
      <c r="C26" s="4" t="str">
        <f>IF(AND(ISNUMBER(C23),ISNUMBER(C24),ISNUMBER(C25)),(1+C23)/((1+C24)*(1+C25))-1,"unavailable")</f>
        <v>unavailable</v>
      </c>
      <c r="D26" s="4" t="str">
        <f>IF(AND(ISNUMBER(D23),ISNUMBER(D24),ISNUMBER(D25)),(1+D23)/((1+D24)*(1+D25))-1,"unavailable")</f>
        <v>unavailable</v>
      </c>
      <c r="E26" s="4" t="str">
        <f>IF(AND(ISNUMBER(E23),ISNUMBER(E24),ISNUMBER(E25)),(1+E23)/((1+E24)*(1+E25))-1,"unavailable")</f>
        <v>unavailable</v>
      </c>
      <c r="F26" s="4" t="str">
        <f>IF(AND(ISNUMBER(F23),ISNUMBER(F24),ISNUMBER(F25)),(1+F23)/((1+F24)*(1+F25))-1,"unavailable")</f>
        <v>unavailable</v>
      </c>
      <c r="G26" s="4" t="str">
        <f>IF(AND(ISNUMBER(G23),ISNUMBER(G24),ISNUMBER(G25)),(1+G23)/((1+G24)*(1+G25))-1,"unavailable")</f>
        <v>unavailable</v>
      </c>
      <c r="H26" s="16" t="str">
        <f>IF(AND(ISNUMBER(H23),ISNUMBER(H24),ISNUMBER(H25)),(1+H23)/((1+H24)*(1+H25))-1,"unavailable")</f>
        <v>unavailable</v>
      </c>
      <c r="I26" s="31"/>
      <c r="J26" s="1"/>
      <c r="K26" s="1"/>
      <c r="L26" s="1"/>
      <c r="M26" s="1"/>
    </row>
    <row r="27">
      <c r="A27" s="1"/>
      <c r="B27" s="12" t="s">
        <v>93</v>
      </c>
      <c r="C27" s="4">
        <f>C23</f>
        <v>0.08575803981623276</v>
      </c>
      <c r="D27" s="4">
        <f>D23</f>
        <v>0.07993474714518767</v>
      </c>
      <c r="E27" s="4">
        <f>E23</f>
        <v>0.1174652241112828</v>
      </c>
      <c r="F27" s="4">
        <f>F23</f>
        <v>0.1605301914580266</v>
      </c>
      <c r="G27" s="4">
        <f>G23</f>
        <v>0.06474536123174102</v>
      </c>
      <c r="H27" s="16">
        <f>H23</f>
        <v>0.18958547249647384</v>
      </c>
      <c r="I27" s="31"/>
      <c r="J27" s="1"/>
      <c r="K27" s="1"/>
      <c r="L27" s="1"/>
      <c r="M27" s="1"/>
    </row>
    <row r="28">
      <c r="A28" s="1"/>
      <c r="B28" s="1" t="s">
        <v>149</v>
      </c>
      <c r="C28" s="15"/>
      <c r="D28" s="15"/>
      <c r="E28" s="15">
        <f>E10+E14+E18-E19</f>
        <v>0</v>
      </c>
      <c r="F28" s="15">
        <f>F10+F14+F18-F19</f>
        <v>0</v>
      </c>
      <c r="G28" s="15"/>
      <c r="H28" s="41">
        <f>H10+H14+H18-H19</f>
        <v>0</v>
      </c>
      <c r="I28" s="31"/>
      <c r="J28" s="1"/>
      <c r="K28" s="1"/>
      <c r="L28" s="1"/>
      <c r="M28" s="1"/>
    </row>
    <row r="29">
      <c r="A29" s="1"/>
      <c r="B29" s="1"/>
      <c r="C29" s="1"/>
      <c r="D29" s="1"/>
      <c r="E29" s="1"/>
      <c r="F29" s="1"/>
      <c r="G29" s="1"/>
      <c r="H29" s="51"/>
      <c r="I29" s="31"/>
      <c r="J29" s="1"/>
      <c r="K29" s="1"/>
      <c r="L29" s="1"/>
      <c r="M29" s="1"/>
    </row>
    <row r="30">
      <c r="A30" s="1"/>
      <c r="B30" s="25" t="s">
        <v>150</v>
      </c>
      <c r="C30" s="1"/>
      <c r="D30" s="1"/>
      <c r="E30" s="1"/>
      <c r="F30" s="1"/>
      <c r="G30" s="1"/>
      <c r="H30" s="51"/>
      <c r="I30" s="31"/>
      <c r="J30" s="1"/>
      <c r="K30" s="1"/>
      <c r="L30" s="1"/>
      <c r="M30" s="1"/>
    </row>
    <row r="31">
      <c r="A31" s="1"/>
      <c r="B31" s="1" t="s">
        <v>173</v>
      </c>
      <c r="C31" s="15" t="s">
        <v>109</v>
      </c>
      <c r="D31" s="15" t="s">
        <v>109</v>
      </c>
      <c r="E31" s="15" t="s">
        <v>109</v>
      </c>
      <c r="F31" s="15" t="s">
        <v>109</v>
      </c>
      <c r="G31" s="15" t="s">
        <v>109</v>
      </c>
      <c r="H31" s="41" t="s">
        <v>109</v>
      </c>
      <c r="I31" s="31" t="s">
        <v>174</v>
      </c>
      <c r="J31" s="1"/>
      <c r="K31" s="1"/>
      <c r="L31" s="1"/>
      <c r="M31" s="1"/>
    </row>
    <row r="32">
      <c r="A32" s="1"/>
      <c r="B32" s="1" t="s">
        <v>175</v>
      </c>
      <c r="C32" s="15" t="s">
        <v>109</v>
      </c>
      <c r="D32" s="15" t="s">
        <v>109</v>
      </c>
      <c r="E32" s="15" t="s">
        <v>109</v>
      </c>
      <c r="F32" s="15" t="s">
        <v>109</v>
      </c>
      <c r="G32" s="15" t="s">
        <v>109</v>
      </c>
      <c r="H32" s="41" t="s">
        <v>109</v>
      </c>
      <c r="I32" s="31" t="s">
        <v>154</v>
      </c>
      <c r="J32" s="1"/>
      <c r="K32" s="1"/>
      <c r="L32" s="1"/>
      <c r="M32" s="1"/>
    </row>
    <row r="33">
      <c r="A33" s="1"/>
      <c r="B33" s="1"/>
      <c r="C33" s="1"/>
      <c r="D33" s="1"/>
      <c r="E33" s="1"/>
      <c r="F33" s="1"/>
      <c r="G33" s="1"/>
      <c r="H33" s="51"/>
      <c r="I33" s="31"/>
      <c r="J33" s="1"/>
      <c r="K33" s="1"/>
      <c r="L33" s="1"/>
      <c r="M33" s="1"/>
    </row>
    <row r="34">
      <c r="A34" s="1"/>
      <c r="B34" s="25" t="s">
        <v>176</v>
      </c>
      <c r="C34" s="1"/>
      <c r="D34" s="1"/>
      <c r="E34" s="1"/>
      <c r="F34" s="1"/>
      <c r="G34" s="1"/>
      <c r="H34" s="51"/>
      <c r="I34" s="31"/>
      <c r="J34" s="1"/>
      <c r="K34" s="1"/>
      <c r="L34" s="1"/>
      <c r="M34" s="1"/>
    </row>
    <row r="35">
      <c r="A35" s="1"/>
      <c r="B35" s="1" t="s">
        <v>156</v>
      </c>
      <c r="C35" s="24">
        <v>373</v>
      </c>
      <c r="D35" s="32">
        <f>G35-Inputs!I121</f>
        <v>358</v>
      </c>
      <c r="E35" s="24">
        <v>374</v>
      </c>
      <c r="F35" s="24">
        <v>380</v>
      </c>
      <c r="G35" s="24">
        <v>1471</v>
      </c>
      <c r="H35" s="41">
        <f>H19-H36</f>
        <v>399.395635</v>
      </c>
      <c r="I35" s="31" t="s">
        <v>157</v>
      </c>
      <c r="J35" s="1"/>
      <c r="K35" s="1"/>
      <c r="L35" s="1"/>
      <c r="M35" s="1"/>
    </row>
    <row r="36">
      <c r="A36" s="1"/>
      <c r="B36" s="9" t="s">
        <v>158</v>
      </c>
      <c r="C36" s="17">
        <f>C19-C35</f>
        <v>336</v>
      </c>
      <c r="D36" s="17">
        <f>D19-D35</f>
        <v>304</v>
      </c>
      <c r="E36" s="17">
        <f>E19-E35</f>
        <v>349</v>
      </c>
      <c r="F36" s="17">
        <f>F19-F35</f>
        <v>408</v>
      </c>
      <c r="G36" s="17">
        <f>G19-G35</f>
        <v>1226</v>
      </c>
      <c r="H36" s="38">
        <f>F36+(H19-F19)*H42</f>
        <v>444.020465</v>
      </c>
      <c r="I36" s="31"/>
      <c r="J36" s="1"/>
      <c r="K36" s="1"/>
      <c r="L36" s="1"/>
      <c r="M36" s="1"/>
    </row>
    <row r="37">
      <c r="A37" s="1"/>
      <c r="B37" s="1" t="s">
        <v>81</v>
      </c>
      <c r="C37" s="15"/>
      <c r="D37" s="15">
        <f>D36-C36</f>
        <v>-32</v>
      </c>
      <c r="E37" s="15">
        <f>E36-D36</f>
        <v>45</v>
      </c>
      <c r="F37" s="15">
        <f>F36-E36</f>
        <v>59</v>
      </c>
      <c r="G37" s="15"/>
      <c r="H37" s="41">
        <f>H36-F36</f>
        <v>36.020465</v>
      </c>
      <c r="I37" s="31"/>
      <c r="J37" s="1"/>
      <c r="K37" s="1"/>
      <c r="L37" s="1"/>
      <c r="M37" s="1"/>
    </row>
    <row r="38">
      <c r="A38" s="1"/>
      <c r="B38" s="12" t="s">
        <v>84</v>
      </c>
      <c r="C38" s="13">
        <f>IFERROR(C36/Inputs!C124-1,"n/a")</f>
        <v>0.03384615384615386</v>
      </c>
      <c r="D38" s="13">
        <f>IFERROR(D36/Inputs!D124-1,"n/a")</f>
        <v>0.08960573476702516</v>
      </c>
      <c r="E38" s="13">
        <f>IFERROR(E36/Inputs!E124-1,"n/a")</f>
        <v>0.28308823529411775</v>
      </c>
      <c r="F38" s="13">
        <f>IFERROR(F36/Inputs!F124-1,"n/a")</f>
        <v>0.2993630573248407</v>
      </c>
      <c r="G38" s="13">
        <f>IFERROR(G36/Inputs!G124-1,"n/a")</f>
        <v>0.006568144499178974</v>
      </c>
      <c r="H38" s="16">
        <f>IFERROR(H36/C36-1,"n/a")</f>
        <v>0.3214894791666667</v>
      </c>
      <c r="I38" s="31"/>
      <c r="J38" s="1"/>
      <c r="K38" s="1"/>
      <c r="L38" s="1"/>
      <c r="M38" s="1"/>
    </row>
    <row r="39">
      <c r="A39" s="1"/>
      <c r="B39" s="12" t="s">
        <v>159</v>
      </c>
      <c r="C39" s="4">
        <f>C36/C19</f>
        <v>0.47390691114245415</v>
      </c>
      <c r="D39" s="4">
        <f>D36/D19</f>
        <v>0.459214501510574</v>
      </c>
      <c r="E39" s="4">
        <f>E36/E19</f>
        <v>0.4827109266943292</v>
      </c>
      <c r="F39" s="4">
        <f>F36/F19</f>
        <v>0.5177664974619289</v>
      </c>
      <c r="G39" s="4">
        <f>G36/G19</f>
        <v>0.4545791620318873</v>
      </c>
      <c r="H39" s="16">
        <f>H36/H19</f>
        <v>0.5264548127549379</v>
      </c>
      <c r="I39" s="31"/>
      <c r="J39" s="1"/>
      <c r="K39" s="1"/>
      <c r="L39" s="1"/>
      <c r="M39" s="1"/>
    </row>
    <row r="40">
      <c r="A40" s="1"/>
      <c r="B40" s="12" t="s">
        <v>127</v>
      </c>
      <c r="C40" s="35">
        <f>IF(AND(ISNUMBER(C39),ISNUMBER((Inputs!F124/Inputs!F100))),(C39-(Inputs!F124/Inputs!F100))*10000,"n/a")</f>
        <v>114.62139419331885</v>
      </c>
      <c r="D40" s="22">
        <f>IF(AND(ISNUMBER(D39),ISNUMBER(C39)),(D39-C39)*10000,"n/a")</f>
        <v>-146.92409631880122</v>
      </c>
      <c r="E40" s="22">
        <f>IF(AND(ISNUMBER(E39),ISNUMBER(D39)),(E39-D39)*10000,"n/a")</f>
        <v>234.96425183755164</v>
      </c>
      <c r="F40" s="22">
        <f>IF(AND(ISNUMBER(F39),ISNUMBER(E39)),(F39-E39)*10000,"n/a")</f>
        <v>350.55570767599744</v>
      </c>
      <c r="G40" s="22" t="s">
        <v>82</v>
      </c>
      <c r="H40" s="28">
        <f>IF(AND(ISNUMBER(H39),ISNUMBER(F39)),(H39-F39)*10000,"n/a")</f>
        <v>86.88315293008952</v>
      </c>
      <c r="I40" s="31"/>
      <c r="J40" s="1"/>
      <c r="K40" s="1"/>
      <c r="L40" s="1"/>
      <c r="M40" s="1"/>
    </row>
    <row r="41">
      <c r="A41" s="1"/>
      <c r="B41" s="12" t="s">
        <v>128</v>
      </c>
      <c r="C41" s="35">
        <f>IF(AND(ISNUMBER(C39),ISNUMBER((Inputs!C124/Inputs!C100))),(C39-(Inputs!C124/Inputs!C100))*10000,"n/a")</f>
        <v>-237.9599850532532</v>
      </c>
      <c r="D41" s="35">
        <f>IF(AND(ISNUMBER(D39),ISNUMBER((Inputs!D124/Inputs!D100))),(D39-(Inputs!D124/Inputs!D100))*10000,"n/a")</f>
        <v>40.75839194097652</v>
      </c>
      <c r="E41" s="35">
        <f>IF(AND(ISNUMBER(E39),ISNUMBER((Inputs!E124/Inputs!E100))),(E39-(Inputs!E124/Inputs!E100))*10000,"n/a")</f>
        <v>623.0907198026425</v>
      </c>
      <c r="F41" s="35">
        <f>IF(AND(ISNUMBER(F39),ISNUMBER((Inputs!F124/Inputs!F100))),(F39-(Inputs!F124/Inputs!F100))*10000,"n/a")</f>
        <v>553.2172573880667</v>
      </c>
      <c r="G41" s="35">
        <f>IF(AND(ISNUMBER(G39),ISNUMBER((Inputs!G124/Inputs!G100))),(G39-(Inputs!G124/Inputs!G100))*10000,"n/a")</f>
        <v>-262.7358175018929</v>
      </c>
      <c r="H41" s="28">
        <f>IF(AND(ISNUMBER(H39),ISNUMBER(C39)),(H39-C39)*10000,"n/a")</f>
        <v>525.4790161248374</v>
      </c>
      <c r="I41" s="31"/>
      <c r="J41" s="1"/>
      <c r="K41" s="1"/>
      <c r="L41" s="1"/>
      <c r="M41" s="1"/>
    </row>
    <row r="42">
      <c r="A42" s="1"/>
      <c r="B42" s="12" t="s">
        <v>160</v>
      </c>
      <c r="C42" s="4"/>
      <c r="D42" s="4">
        <f>IFERROR(D37/D20,"n/a")</f>
        <v>0.6808510638297872</v>
      </c>
      <c r="E42" s="4">
        <f>IFERROR(E37/E20,"n/a")</f>
        <v>0.7377049180327869</v>
      </c>
      <c r="F42" s="4">
        <f>IFERROR(F37/F20,"n/a")</f>
        <v>0.9076923076923077</v>
      </c>
      <c r="G42" s="4"/>
      <c r="H42" s="45">
        <v>0.65</v>
      </c>
      <c r="I42" s="31" t="s">
        <v>177</v>
      </c>
      <c r="J42" s="1"/>
      <c r="K42" s="1"/>
      <c r="L42" s="1"/>
      <c r="M42" s="1"/>
    </row>
    <row r="43">
      <c r="A43" s="1"/>
      <c r="B43" s="12" t="s">
        <v>127</v>
      </c>
      <c r="C43" s="22" t="s">
        <v>82</v>
      </c>
      <c r="D43" s="22" t="str">
        <f>IF(AND(ISNUMBER(D42),ISNUMBER(C42)),(D42-C42)*10000,"n/a")</f>
        <v>n/a</v>
      </c>
      <c r="E43" s="22">
        <f>IF(AND(ISNUMBER(E42),ISNUMBER(D42)),(E42-D42)*10000,"n/a")</f>
        <v>568.5385420299971</v>
      </c>
      <c r="F43" s="22">
        <f>IF(AND(ISNUMBER(F42),ISNUMBER(E42)),(F42-E42)*10000,"n/a")</f>
        <v>1699.8738965952075</v>
      </c>
      <c r="G43" s="22" t="s">
        <v>82</v>
      </c>
      <c r="H43" s="28">
        <f>IF(AND(ISNUMBER(H42),ISNUMBER(F42)),(H42-F42)*10000,"n/a")</f>
        <v>-2576.9230769230767</v>
      </c>
      <c r="I43" s="31"/>
      <c r="J43" s="1"/>
      <c r="K43" s="1"/>
      <c r="L43" s="1"/>
      <c r="M43" s="1"/>
    </row>
    <row r="44">
      <c r="A44" s="1"/>
      <c r="B44" s="12" t="s">
        <v>128</v>
      </c>
      <c r="C44" s="22" t="s">
        <v>82</v>
      </c>
      <c r="D44" s="22" t="s">
        <v>82</v>
      </c>
      <c r="E44" s="22" t="s">
        <v>82</v>
      </c>
      <c r="F44" s="22" t="s">
        <v>82</v>
      </c>
      <c r="G44" s="22" t="s">
        <v>82</v>
      </c>
      <c r="H44" s="28" t="str">
        <f>IF(AND(ISNUMBER(H42),ISNUMBER(C42)),(H42-C42)*10000,"n/a")</f>
        <v>n/a</v>
      </c>
      <c r="I44" s="31"/>
      <c r="J44" s="1"/>
      <c r="K44" s="1"/>
      <c r="L44" s="1"/>
      <c r="M44" s="1"/>
    </row>
    <row r="45">
      <c r="A45" s="1"/>
      <c r="B45" s="1" t="s">
        <v>162</v>
      </c>
      <c r="C45" s="24">
        <v>127</v>
      </c>
      <c r="D45" s="32">
        <f>G45-Inputs!I122</f>
        <v>134</v>
      </c>
      <c r="E45" s="24">
        <v>123</v>
      </c>
      <c r="F45" s="24">
        <v>129</v>
      </c>
      <c r="G45" s="24">
        <v>514</v>
      </c>
      <c r="H45" s="41">
        <f>F45</f>
        <v>129</v>
      </c>
      <c r="I45" s="31" t="s">
        <v>163</v>
      </c>
      <c r="J45" s="1"/>
      <c r="K45" s="1"/>
      <c r="L45" s="1"/>
      <c r="M45" s="1"/>
    </row>
    <row r="46">
      <c r="A46" s="1"/>
      <c r="B46" s="1" t="s">
        <v>81</v>
      </c>
      <c r="C46" s="32">
        <f>IF(AND(ISNUMBER(C45),ISNUMBER(Inputs!F122)),C45-Inputs!F122,"n/a")</f>
        <v>2</v>
      </c>
      <c r="D46" s="15">
        <f>IF(AND(ISNUMBER(D45),ISNUMBER(C45)),D45-C45,"n/a")</f>
        <v>7</v>
      </c>
      <c r="E46" s="15">
        <f>IF(AND(ISNUMBER(E45),ISNUMBER(D45)),E45-D45,"n/a")</f>
        <v>-11</v>
      </c>
      <c r="F46" s="15">
        <f>IF(AND(ISNUMBER(F45),ISNUMBER(E45)),F45-E45,"n/a")</f>
        <v>6</v>
      </c>
      <c r="G46" s="15" t="s">
        <v>82</v>
      </c>
      <c r="H46" s="41">
        <f>IF(AND(ISNUMBER(H45),ISNUMBER(F45)),H45-F45,"n/a")</f>
        <v>0</v>
      </c>
      <c r="I46" s="31"/>
      <c r="J46" s="1"/>
      <c r="K46" s="1"/>
      <c r="L46" s="1"/>
      <c r="M46" s="1"/>
    </row>
    <row r="47">
      <c r="A47" s="1"/>
      <c r="B47" s="1" t="s">
        <v>83</v>
      </c>
      <c r="C47" s="32">
        <f>IF(AND(ISNUMBER(C45),ISNUMBER(Inputs!C122)),C45-Inputs!C122,"n/a")</f>
        <v>3</v>
      </c>
      <c r="D47" s="32">
        <f>IF(AND(ISNUMBER(D45),ISNUMBER(Inputs!D122)),D45-Inputs!D122,"n/a")</f>
        <v>14</v>
      </c>
      <c r="E47" s="32">
        <f>IF(AND(ISNUMBER(E45),ISNUMBER(Inputs!E122)),E45-Inputs!E122,"n/a")</f>
        <v>-5</v>
      </c>
      <c r="F47" s="32">
        <f>IF(AND(ISNUMBER(F45),ISNUMBER(Inputs!F122)),F45-Inputs!F122,"n/a")</f>
        <v>4</v>
      </c>
      <c r="G47" s="32">
        <f>IF(AND(ISNUMBER(G45),ISNUMBER(Inputs!G122)),G45-Inputs!G122,"n/a")</f>
        <v>39</v>
      </c>
      <c r="H47" s="41">
        <f>IF(AND(ISNUMBER(H45),ISNUMBER(C45)),H45-C45,"n/a")</f>
        <v>2</v>
      </c>
      <c r="I47" s="31"/>
      <c r="J47" s="1"/>
      <c r="K47" s="1"/>
      <c r="L47" s="1"/>
      <c r="M47" s="1"/>
    </row>
    <row r="48">
      <c r="A48" s="1"/>
      <c r="B48" s="12" t="s">
        <v>164</v>
      </c>
      <c r="C48" s="4">
        <f>C45/C19</f>
        <v>0.17912552891396333</v>
      </c>
      <c r="D48" s="4">
        <f>D45/D19</f>
        <v>0.20241691842900303</v>
      </c>
      <c r="E48" s="4">
        <f>E45/E19</f>
        <v>0.17012448132780084</v>
      </c>
      <c r="F48" s="4">
        <f>F45/F19</f>
        <v>0.16370558375634517</v>
      </c>
      <c r="G48" s="4">
        <f>G45/G19</f>
        <v>0.19058212829069338</v>
      </c>
      <c r="H48" s="16">
        <f>H45/H19</f>
        <v>0.1529494160711421</v>
      </c>
      <c r="I48" s="31"/>
      <c r="J48" s="1"/>
      <c r="K48" s="1"/>
      <c r="L48" s="1"/>
      <c r="M48" s="1"/>
    </row>
    <row r="49">
      <c r="A49" s="1"/>
      <c r="B49" s="12" t="s">
        <v>127</v>
      </c>
      <c r="C49" s="107">
        <f>IF(AND(ISNUMBER(C48),ISNUMBER((Inputs!F122/Inputs!F100))),(C48-(Inputs!F122/Inputs!F100))*10000,"n/a")</f>
        <v>-49.68727345241397</v>
      </c>
      <c r="D49" s="22">
        <f>IF(AND(ISNUMBER(D48),ISNUMBER(C48)),(D48-C48)*10000,"n/a")</f>
        <v>232.913895150397</v>
      </c>
      <c r="E49" s="22">
        <f>IF(AND(ISNUMBER(E48),ISNUMBER(D48)),(E48-D48)*10000,"n/a")</f>
        <v>-322.92437101202194</v>
      </c>
      <c r="F49" s="22">
        <f>IF(AND(ISNUMBER(F48),ISNUMBER(E48)),(F48-E48)*10000,"n/a")</f>
        <v>-64.18897571455668</v>
      </c>
      <c r="G49" s="22" t="s">
        <v>82</v>
      </c>
      <c r="H49" s="28">
        <f>IF(AND(ISNUMBER(H48),ISNUMBER(F48)),(H48-F48)*10000,"n/a")</f>
        <v>-107.56167685203071</v>
      </c>
      <c r="I49" s="31"/>
      <c r="J49" s="1"/>
      <c r="K49" s="1"/>
      <c r="L49" s="1"/>
      <c r="M49" s="1"/>
    </row>
    <row r="50">
      <c r="A50" s="1"/>
      <c r="B50" s="12" t="s">
        <v>128</v>
      </c>
      <c r="C50" s="35">
        <f>IF(AND(ISNUMBER(C48),ISNUMBER((Inputs!C122/Inputs!C100))),(C48-(Inputs!C122/Inputs!C100))*10000,"n/a")</f>
        <v>-107.67273536266386</v>
      </c>
      <c r="D50" s="35">
        <f>IF(AND(ISNUMBER(D48),ISNUMBER((Inputs!D122/Inputs!D100))),(D48-(Inputs!D122/Inputs!D100))*10000,"n/a")</f>
        <v>66.5835399180889</v>
      </c>
      <c r="E50" s="35">
        <f>IF(AND(ISNUMBER(E48),ISNUMBER((Inputs!E122/Inputs!E100))),(E48-(Inputs!E122/Inputs!E100))*10000,"n/a")</f>
        <v>-277.11685596465003</v>
      </c>
      <c r="F50" s="35">
        <f>IF(AND(ISNUMBER(F48),ISNUMBER((Inputs!F122/Inputs!F100))),(F48-(Inputs!F122/Inputs!F100))*10000,"n/a")</f>
        <v>-203.88672502859555</v>
      </c>
      <c r="G50" s="35">
        <f>IF(AND(ISNUMBER(G48),ISNUMBER((Inputs!G122/Inputs!G100))),(G48-(Inputs!G122/Inputs!G100))*10000,"n/a")</f>
        <v>30.574539914434705</v>
      </c>
      <c r="H50" s="28">
        <f>IF(AND(ISNUMBER(H48),ISNUMBER(C48)),(H48-C48)*10000,"n/a")</f>
        <v>-261.7611284282123</v>
      </c>
      <c r="I50" s="31"/>
      <c r="J50" s="1"/>
      <c r="K50" s="1"/>
      <c r="L50" s="1"/>
      <c r="M50" s="1"/>
    </row>
    <row r="51">
      <c r="A51" s="1"/>
      <c r="B51" s="1" t="s">
        <v>165</v>
      </c>
      <c r="C51" s="24">
        <v>101</v>
      </c>
      <c r="D51" s="32">
        <f>G51-Inputs!I123</f>
        <v>99</v>
      </c>
      <c r="E51" s="24">
        <v>104</v>
      </c>
      <c r="F51" s="24">
        <v>111</v>
      </c>
      <c r="G51" s="24">
        <v>408</v>
      </c>
      <c r="H51" s="41">
        <f>F51</f>
        <v>111</v>
      </c>
      <c r="I51" s="31"/>
      <c r="J51" s="1"/>
      <c r="K51" s="1"/>
      <c r="L51" s="1"/>
      <c r="M51" s="1"/>
    </row>
    <row r="52">
      <c r="A52" s="1"/>
      <c r="B52" s="1" t="s">
        <v>81</v>
      </c>
      <c r="C52" s="32">
        <f>IF(AND(ISNUMBER(C51),ISNUMBER(Inputs!F123)),C51-Inputs!F123,"n/a")</f>
        <v>-3</v>
      </c>
      <c r="D52" s="15">
        <f>IF(AND(ISNUMBER(D51),ISNUMBER(C51)),D51-C51,"n/a")</f>
        <v>-2</v>
      </c>
      <c r="E52" s="15">
        <f>IF(AND(ISNUMBER(E51),ISNUMBER(D51)),E51-D51,"n/a")</f>
        <v>5</v>
      </c>
      <c r="F52" s="15">
        <f>IF(AND(ISNUMBER(F51),ISNUMBER(E51)),F51-E51,"n/a")</f>
        <v>7</v>
      </c>
      <c r="G52" s="15" t="s">
        <v>82</v>
      </c>
      <c r="H52" s="41">
        <f>IF(AND(ISNUMBER(H51),ISNUMBER(F51)),H51-F51,"n/a")</f>
        <v>0</v>
      </c>
      <c r="I52" s="31"/>
      <c r="J52" s="1"/>
      <c r="K52" s="1"/>
      <c r="L52" s="1"/>
      <c r="M52" s="1"/>
    </row>
    <row r="53">
      <c r="A53" s="1"/>
      <c r="B53" s="1" t="s">
        <v>83</v>
      </c>
      <c r="C53" s="32">
        <f>IF(AND(ISNUMBER(C51),ISNUMBER(Inputs!C123)),C51-Inputs!C123,"n/a")</f>
        <v>9</v>
      </c>
      <c r="D53" s="32">
        <f>IF(AND(ISNUMBER(D51),ISNUMBER(Inputs!D123)),D51-Inputs!D123,"n/a")</f>
        <v>-2</v>
      </c>
      <c r="E53" s="32">
        <f>IF(AND(ISNUMBER(E51),ISNUMBER(Inputs!E123)),E51-Inputs!E123,"n/a")</f>
        <v>0</v>
      </c>
      <c r="F53" s="32">
        <f>IF(AND(ISNUMBER(F51),ISNUMBER(Inputs!F123)),F51-Inputs!F123,"n/a")</f>
        <v>7</v>
      </c>
      <c r="G53" s="32">
        <f>IF(AND(ISNUMBER(G51),ISNUMBER(Inputs!G123)),G51-Inputs!G123,"n/a")</f>
        <v>17</v>
      </c>
      <c r="H53" s="41">
        <f>IF(AND(ISNUMBER(H51),ISNUMBER(C51)),H51-C51,"n/a")</f>
        <v>10</v>
      </c>
      <c r="I53" s="31"/>
      <c r="J53" s="1"/>
      <c r="K53" s="1"/>
      <c r="L53" s="1"/>
      <c r="M53" s="1"/>
    </row>
    <row r="54">
      <c r="A54" s="1"/>
      <c r="B54" s="12" t="s">
        <v>164</v>
      </c>
      <c r="C54" s="4">
        <f>C51/C19</f>
        <v>0.14245416078984485</v>
      </c>
      <c r="D54" s="4">
        <f>D51/D19</f>
        <v>0.14954682779456194</v>
      </c>
      <c r="E54" s="4">
        <f>E51/E19</f>
        <v>0.14384508990318118</v>
      </c>
      <c r="F54" s="4">
        <f>F51/F19</f>
        <v>0.14086294416243655</v>
      </c>
      <c r="G54" s="4">
        <f>G51/G19</f>
        <v>0.15127919911012236</v>
      </c>
      <c r="H54" s="16">
        <f>H51/H19</f>
        <v>0.13160763708447112</v>
      </c>
      <c r="I54" s="31"/>
      <c r="J54" s="1"/>
      <c r="K54" s="1"/>
      <c r="L54" s="1"/>
      <c r="M54" s="1"/>
    </row>
    <row r="55">
      <c r="A55" s="1"/>
      <c r="B55" s="12" t="s">
        <v>127</v>
      </c>
      <c r="C55" s="107">
        <f>IF(AND(ISNUMBER(C54),ISNUMBER((Inputs!F123/Inputs!F100))),(C54-(Inputs!F123/Inputs!F100))*10000,"n/a")</f>
        <v>-107.1226041781348</v>
      </c>
      <c r="D55" s="22">
        <f>IF(AND(ISNUMBER(D54),ISNUMBER(C54)),(D54-C54)*10000,"n/a")</f>
        <v>70.92667004717084</v>
      </c>
      <c r="E55" s="22">
        <f>IF(AND(ISNUMBER(E54),ISNUMBER(D54)),(E54-D54)*10000,"n/a")</f>
        <v>-57.01737891380759</v>
      </c>
      <c r="F55" s="22">
        <f>IF(AND(ISNUMBER(F54),ISNUMBER(E54)),(F54-E54)*10000,"n/a")</f>
        <v>-29.82145740744624</v>
      </c>
      <c r="G55" s="22" t="s">
        <v>82</v>
      </c>
      <c r="H55" s="28">
        <f>IF(AND(ISNUMBER(H54),ISNUMBER(F54)),(H54-F54)*10000,"n/a")</f>
        <v>-92.5530707796543</v>
      </c>
      <c r="I55" s="31"/>
      <c r="J55" s="1"/>
      <c r="K55" s="1"/>
      <c r="L55" s="1"/>
      <c r="M55" s="1"/>
    </row>
    <row r="56">
      <c r="A56" s="1"/>
      <c r="B56" s="12" t="s">
        <v>128</v>
      </c>
      <c r="C56" s="35">
        <f>IF(AND(ISNUMBER(C54),ISNUMBER((Inputs!C123/Inputs!C100))),(C54-(Inputs!C123/Inputs!C100))*10000,"n/a")</f>
        <v>15.659525203195745</v>
      </c>
      <c r="D56" s="35">
        <f>IF(AND(ISNUMBER(D54),ISNUMBER((Inputs!D123/Inputs!D100))),(D54-(Inputs!D123/Inputs!D100))*10000,"n/a")</f>
        <v>-152.1663060674311</v>
      </c>
      <c r="E56" s="35">
        <f>IF(AND(ISNUMBER(E54),ISNUMBER((Inputs!E123/Inputs!E100))),(E54-(Inputs!E123/Inputs!E100))*10000,"n/a")</f>
        <v>-168.96795722784825</v>
      </c>
      <c r="F56" s="35">
        <f>IF(AND(ISNUMBER(F54),ISNUMBER((Inputs!F123/Inputs!F100))),(F54-(Inputs!F123/Inputs!F100))*10000,"n/a")</f>
        <v>-123.03477045221778</v>
      </c>
      <c r="G56" s="35">
        <f>IF(AND(ISNUMBER(G54),ISNUMBER((Inputs!G123/Inputs!G100))),(G54-(Inputs!G123/Inputs!G100))*10000,"n/a")</f>
        <v>-30.832169972601907</v>
      </c>
      <c r="H56" s="28">
        <f>IF(AND(ISNUMBER(H54),ISNUMBER(C54)),(H54-C54)*10000,"n/a")</f>
        <v>-108.46523705373728</v>
      </c>
      <c r="I56" s="31"/>
      <c r="J56" s="1"/>
      <c r="K56" s="1"/>
      <c r="L56" s="1"/>
      <c r="M56" s="1"/>
    </row>
    <row r="57">
      <c r="A57" s="1"/>
      <c r="B57" s="9" t="s">
        <v>166</v>
      </c>
      <c r="C57" s="17">
        <f>C36-C45-C51</f>
        <v>108</v>
      </c>
      <c r="D57" s="17">
        <f>D36-D45-D51</f>
        <v>71</v>
      </c>
      <c r="E57" s="17">
        <f>E36-E45-E51</f>
        <v>122</v>
      </c>
      <c r="F57" s="17">
        <f>F36-F45-F51</f>
        <v>168</v>
      </c>
      <c r="G57" s="17">
        <f>G36-G45-G51</f>
        <v>304</v>
      </c>
      <c r="H57" s="38">
        <f>H36-H45-H51</f>
        <v>204.020465</v>
      </c>
      <c r="I57" s="31"/>
      <c r="J57" s="1"/>
      <c r="K57" s="1"/>
      <c r="L57" s="1"/>
      <c r="M57" s="1"/>
    </row>
    <row r="58">
      <c r="A58" s="1"/>
      <c r="B58" s="1" t="s">
        <v>81</v>
      </c>
      <c r="C58" s="15"/>
      <c r="D58" s="15">
        <f>D57-C57</f>
        <v>-37</v>
      </c>
      <c r="E58" s="15">
        <f>E57-D57</f>
        <v>51</v>
      </c>
      <c r="F58" s="15">
        <f>F57-E57</f>
        <v>46</v>
      </c>
      <c r="G58" s="15"/>
      <c r="H58" s="41">
        <f>H57-F57</f>
        <v>36.020465</v>
      </c>
      <c r="I58" s="31"/>
      <c r="J58" s="1"/>
      <c r="K58" s="1"/>
      <c r="L58" s="1"/>
      <c r="M58" s="1"/>
    </row>
    <row r="59">
      <c r="A59" s="1"/>
      <c r="B59" s="12" t="s">
        <v>84</v>
      </c>
      <c r="C59" s="13">
        <f>IFERROR(C57/Inputs!C125-1,"n/a")</f>
        <v>-0.00917431192660545</v>
      </c>
      <c r="D59" s="13">
        <f>IFERROR(D57/Inputs!D125-1,"n/a")</f>
        <v>0.22413793103448265</v>
      </c>
      <c r="E59" s="13">
        <f>IFERROR(E57/Inputs!E125-1,"n/a")</f>
        <v>2.05</v>
      </c>
      <c r="F59" s="13">
        <f>IFERROR(F57/Inputs!F125-1,"n/a")</f>
        <v>0.9764705882352942</v>
      </c>
      <c r="G59" s="13">
        <f>IFERROR(G57/Inputs!G125-1,"n/a")</f>
        <v>-0.13636363636363635</v>
      </c>
      <c r="H59" s="16">
        <f>IFERROR(H57/C57-1,"n/a")</f>
        <v>0.8890783796296295</v>
      </c>
      <c r="I59" s="31"/>
      <c r="J59" s="1"/>
      <c r="K59" s="1"/>
      <c r="L59" s="1"/>
      <c r="M59" s="1"/>
    </row>
    <row r="60">
      <c r="A60" s="1"/>
      <c r="B60" s="12" t="s">
        <v>167</v>
      </c>
      <c r="C60" s="4">
        <f>C57/C19</f>
        <v>0.152327221438646</v>
      </c>
      <c r="D60" s="4">
        <f>D57/D19</f>
        <v>0.10725075528700906</v>
      </c>
      <c r="E60" s="4">
        <f>E57/E19</f>
        <v>0.16874135546334718</v>
      </c>
      <c r="F60" s="4">
        <f>F57/F19</f>
        <v>0.2131979695431472</v>
      </c>
      <c r="G60" s="4">
        <f>G57/G19</f>
        <v>0.11271783463107156</v>
      </c>
      <c r="H60" s="16">
        <f>H57/H19</f>
        <v>0.2418977595993247</v>
      </c>
      <c r="I60" s="31"/>
      <c r="J60" s="1"/>
      <c r="K60" s="1"/>
      <c r="L60" s="1"/>
      <c r="M60" s="1"/>
    </row>
    <row r="61">
      <c r="A61" s="1"/>
      <c r="B61" s="12" t="s">
        <v>127</v>
      </c>
      <c r="C61" s="35">
        <f>IF(AND(ISNUMBER(C60),ISNUMBER((Inputs!F125/Inputs!F100))),(C60-(Inputs!F125/Inputs!F100))*10000,"n/a")</f>
        <v>271.4312718238679</v>
      </c>
      <c r="D61" s="22">
        <f>IF(AND(ISNUMBER(D60),ISNUMBER(C60)),(D60-C60)*10000,"n/a")</f>
        <v>-450.76466151636936</v>
      </c>
      <c r="E61" s="22">
        <f>IF(AND(ISNUMBER(E60),ISNUMBER(D60)),(E60-D60)*10000,"n/a")</f>
        <v>614.9060017633811</v>
      </c>
      <c r="F61" s="22">
        <f>IF(AND(ISNUMBER(F60),ISNUMBER(E60)),(F60-E60)*10000,"n/a")</f>
        <v>444.56614079800033</v>
      </c>
      <c r="G61" s="22" t="s">
        <v>82</v>
      </c>
      <c r="H61" s="28">
        <f>IF(AND(ISNUMBER(H60),ISNUMBER(F60)),(H60-F60)*10000,"n/a")</f>
        <v>286.9979005617748</v>
      </c>
      <c r="I61" s="31"/>
      <c r="J61" s="1"/>
      <c r="K61" s="1"/>
      <c r="L61" s="1"/>
      <c r="M61" s="1"/>
    </row>
    <row r="62">
      <c r="A62" s="1"/>
      <c r="B62" s="12" t="s">
        <v>128</v>
      </c>
      <c r="C62" s="35">
        <f>IF(AND(ISNUMBER(C60),ISNUMBER((Inputs!C125/Inputs!C100))),(C60-(Inputs!C125/Inputs!C100))*10000,"n/a")</f>
        <v>-145.9467748937851</v>
      </c>
      <c r="D62" s="35">
        <f>IF(AND(ISNUMBER(D60),ISNUMBER((Inputs!D125/Inputs!D100))),(D60-(Inputs!D125/Inputs!D100))*10000,"n/a")</f>
        <v>126.34115809031898</v>
      </c>
      <c r="E62" s="35">
        <f>IF(AND(ISNUMBER(E60),ISNUMBER((Inputs!E125/Inputs!E100))),(E60-(Inputs!E125/Inputs!E100))*10000,"n/a")</f>
        <v>1069.175532995141</v>
      </c>
      <c r="F62" s="35">
        <f>IF(AND(ISNUMBER(F60),ISNUMBER((Inputs!F125/Inputs!F100))),(F60-(Inputs!F125/Inputs!F100))*10000,"n/a")</f>
        <v>880.13875286888</v>
      </c>
      <c r="G62" s="35">
        <f>IF(AND(ISNUMBER(G60),ISNUMBER((Inputs!G125/Inputs!G100))),(G60-(Inputs!G125/Inputs!G100))*10000,"n/a")</f>
        <v>-262.47818744372586</v>
      </c>
      <c r="H62" s="28">
        <f>IF(AND(ISNUMBER(H60),ISNUMBER(C60)),(H60-C60)*10000,"n/a")</f>
        <v>895.705381606787</v>
      </c>
      <c r="I62" s="31"/>
      <c r="J62" s="1"/>
      <c r="K62" s="1"/>
      <c r="L62" s="1"/>
      <c r="M62" s="1"/>
    </row>
    <row r="63">
      <c r="A63" s="1"/>
      <c r="B63" s="1" t="s">
        <v>168</v>
      </c>
      <c r="C63" s="24">
        <v>108</v>
      </c>
      <c r="D63" s="24">
        <v>71</v>
      </c>
      <c r="E63" s="24">
        <v>122</v>
      </c>
      <c r="F63" s="24">
        <v>168</v>
      </c>
      <c r="G63" s="24">
        <v>304</v>
      </c>
      <c r="H63" s="41"/>
      <c r="I63" s="31"/>
      <c r="J63" s="1"/>
      <c r="K63" s="1"/>
      <c r="L63" s="1"/>
      <c r="M63" s="1"/>
    </row>
    <row r="64">
      <c r="A64" s="1"/>
      <c r="B64" s="1" t="s">
        <v>138</v>
      </c>
      <c r="C64" s="15">
        <f>C57-C63</f>
        <v>0</v>
      </c>
      <c r="D64" s="15">
        <f>D57-D63</f>
        <v>0</v>
      </c>
      <c r="E64" s="15">
        <f>E57-E63</f>
        <v>0</v>
      </c>
      <c r="F64" s="15">
        <f>F57-F63</f>
        <v>0</v>
      </c>
      <c r="G64" s="15">
        <f>G57-G63</f>
        <v>0</v>
      </c>
      <c r="H64" s="41"/>
      <c r="I64" s="31"/>
      <c r="J64" s="1"/>
      <c r="K64" s="1"/>
      <c r="L64" s="1"/>
      <c r="M64" s="1"/>
    </row>
    <row r="65">
      <c r="A65" s="1"/>
      <c r="B65" s="1"/>
      <c r="C65" s="1"/>
      <c r="D65" s="1"/>
      <c r="E65" s="1"/>
      <c r="F65" s="1"/>
      <c r="G65" s="1"/>
      <c r="H65" s="51"/>
      <c r="I65" s="31"/>
      <c r="J65" s="1"/>
      <c r="K65" s="1"/>
      <c r="L65" s="1"/>
      <c r="M65" s="1"/>
    </row>
    <row r="6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</row>
    <row r="7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</row>
    <row r="77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</sheetData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M101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8" width="12" customWidth="1"/>
    <col min="9" max="9" width="6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>
      <c r="A2" s="1"/>
      <c r="B2" s="47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>
      <c r="A3" s="1"/>
      <c r="B3" s="9" t="s">
        <v>178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>
      <c r="A4" s="1"/>
      <c r="B4" s="12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>
      <c r="A5" s="1"/>
      <c r="B5" s="23" t="s">
        <v>3</v>
      </c>
      <c r="C5" s="27" t="s">
        <v>74</v>
      </c>
      <c r="D5" s="27" t="s">
        <v>75</v>
      </c>
      <c r="E5" s="27" t="s">
        <v>76</v>
      </c>
      <c r="F5" s="27" t="s">
        <v>77</v>
      </c>
      <c r="G5" s="27" t="s">
        <v>78</v>
      </c>
      <c r="H5" s="66" t="s">
        <v>4</v>
      </c>
      <c r="I5" s="49" t="s">
        <v>32</v>
      </c>
      <c r="J5" s="1"/>
      <c r="K5" s="1"/>
      <c r="L5" s="1"/>
      <c r="M5" s="1"/>
    </row>
    <row r="6">
      <c r="A6" s="1"/>
      <c r="B6" s="29" t="s">
        <v>5</v>
      </c>
      <c r="C6" s="39">
        <f>DATE(2025,9,30)</f>
        <v>45930</v>
      </c>
      <c r="D6" s="39">
        <f>DATE(2025,12,31)</f>
        <v>46022</v>
      </c>
      <c r="E6" s="39">
        <f>DATE(2026,3,31)</f>
        <v>46112</v>
      </c>
      <c r="F6" s="39">
        <f>DATE(2026,6,30)</f>
        <v>46203</v>
      </c>
      <c r="G6" s="39">
        <f>DATE(2025,12,31)</f>
        <v>46022</v>
      </c>
      <c r="H6" s="64">
        <f>DATE(2026,9,30)</f>
        <v>46295</v>
      </c>
      <c r="I6" s="29"/>
      <c r="J6" s="1"/>
      <c r="K6" s="1"/>
      <c r="L6" s="1"/>
      <c r="M6" s="1"/>
    </row>
    <row r="7">
      <c r="A7" s="1"/>
      <c r="B7" s="18" t="s">
        <v>6</v>
      </c>
      <c r="C7" s="42">
        <f>C6-EOMONTH(C6,-3)</f>
        <v>92</v>
      </c>
      <c r="D7" s="42">
        <f>D6-EOMONTH(D6,-3)</f>
        <v>92</v>
      </c>
      <c r="E7" s="42">
        <f>E6-EOMONTH(E6,-3)</f>
        <v>90</v>
      </c>
      <c r="F7" s="42">
        <f>F6-EOMONTH(F6,-3)</f>
        <v>91</v>
      </c>
      <c r="G7" s="42">
        <f>G6-EOMONTH(G6,-12)</f>
        <v>365</v>
      </c>
      <c r="H7" s="55">
        <f>H6-EOMONTH(H6,-3)</f>
        <v>92</v>
      </c>
      <c r="I7" s="18"/>
      <c r="J7" s="1"/>
      <c r="K7" s="1"/>
      <c r="L7" s="1"/>
      <c r="M7" s="1"/>
    </row>
    <row r="8">
      <c r="A8" s="1"/>
      <c r="B8" s="1"/>
      <c r="C8" s="1"/>
      <c r="D8" s="1"/>
      <c r="E8" s="1"/>
      <c r="F8" s="1"/>
      <c r="G8" s="1"/>
      <c r="H8" s="51"/>
      <c r="I8" s="1"/>
      <c r="J8" s="1"/>
      <c r="K8" s="1"/>
      <c r="L8" s="1"/>
      <c r="M8" s="1"/>
    </row>
    <row r="9">
      <c r="A9" s="1"/>
      <c r="B9" s="9" t="s">
        <v>179</v>
      </c>
      <c r="C9" s="69">
        <f>'Revenue summary'!C47</f>
        <v>4742</v>
      </c>
      <c r="D9" s="69">
        <f>'Revenue summary'!D47</f>
        <v>4423</v>
      </c>
      <c r="E9" s="69">
        <f>'Revenue summary'!E47</f>
        <v>4825</v>
      </c>
      <c r="F9" s="69">
        <f>'Revenue summary'!F47</f>
        <v>5463</v>
      </c>
      <c r="G9" s="69">
        <f>'Revenue summary'!G47</f>
        <v>17682</v>
      </c>
      <c r="H9" s="67">
        <f>'Revenue summary'!H47</f>
        <v>6026.9386</v>
      </c>
      <c r="I9" s="31"/>
      <c r="J9" s="1"/>
      <c r="K9" s="1"/>
      <c r="L9" s="1"/>
      <c r="M9" s="1"/>
    </row>
    <row r="10">
      <c r="A10" s="1"/>
      <c r="B10" s="1" t="s">
        <v>81</v>
      </c>
      <c r="C10" s="32">
        <f>IF(AND(ISNUMBER(C9),ISNUMBER(Inputs!F98)),C9-Inputs!F98,"n/a")</f>
        <v>294</v>
      </c>
      <c r="D10" s="15">
        <f>IF(AND(ISNUMBER(D9),ISNUMBER(C9)),D9-C9,"n/a")</f>
        <v>-319</v>
      </c>
      <c r="E10" s="15">
        <f>IF(AND(ISNUMBER(E9),ISNUMBER(D9)),E9-D9,"n/a")</f>
        <v>402</v>
      </c>
      <c r="F10" s="15">
        <f>IF(AND(ISNUMBER(F9),ISNUMBER(E9)),F9-E9,"n/a")</f>
        <v>638</v>
      </c>
      <c r="G10" s="15" t="s">
        <v>82</v>
      </c>
      <c r="H10" s="41">
        <f>IF(AND(ISNUMBER(H9),ISNUMBER(F9)),H9-F9,"n/a")</f>
        <v>563.9386000000004</v>
      </c>
      <c r="I10" s="31"/>
      <c r="J10" s="1"/>
      <c r="K10" s="1"/>
      <c r="L10" s="1"/>
      <c r="M10" s="1"/>
    </row>
    <row r="11">
      <c r="A11" s="1"/>
      <c r="B11" s="1" t="s">
        <v>83</v>
      </c>
      <c r="C11" s="32">
        <f>IF(AND(ISNUMBER(C9),ISNUMBER(Inputs!C98)),C9-Inputs!C98,"n/a")</f>
        <v>591</v>
      </c>
      <c r="D11" s="32">
        <f>IF(AND(ISNUMBER(D9),ISNUMBER(Inputs!D98)),D9-Inputs!D98,"n/a")</f>
        <v>416</v>
      </c>
      <c r="E11" s="32">
        <f>IF(AND(ISNUMBER(E9),ISNUMBER(Inputs!E98)),E9-Inputs!E98,"n/a")</f>
        <v>756</v>
      </c>
      <c r="F11" s="32">
        <f>IF(AND(ISNUMBER(F9),ISNUMBER(Inputs!F98)),F9-Inputs!F98,"n/a")</f>
        <v>1015</v>
      </c>
      <c r="G11" s="32">
        <f>IF(AND(ISNUMBER(G9),ISNUMBER(Inputs!G98)),G9-Inputs!G98,"n/a")</f>
        <v>2041</v>
      </c>
      <c r="H11" s="41">
        <f>IF(AND(ISNUMBER(H9),ISNUMBER(C9)),H9-C9,"n/a")</f>
        <v>1284.9386000000004</v>
      </c>
      <c r="I11" s="31"/>
      <c r="J11" s="1"/>
      <c r="K11" s="1"/>
      <c r="L11" s="1"/>
      <c r="M11" s="1"/>
    </row>
    <row r="12">
      <c r="A12" s="1"/>
      <c r="B12" s="12" t="s">
        <v>84</v>
      </c>
      <c r="C12" s="13">
        <f>IFERROR(C9/Inputs!C98-1,"n/a")</f>
        <v>0.14237533124548296</v>
      </c>
      <c r="D12" s="13">
        <f>IFERROR(D9/Inputs!D98-1,"n/a")</f>
        <v>0.10381831794359875</v>
      </c>
      <c r="E12" s="13">
        <f>IFERROR(E9/Inputs!E98-1,"n/a")</f>
        <v>0.18579503563529132</v>
      </c>
      <c r="F12" s="13">
        <f>IFERROR(F9/Inputs!F98-1,"n/a")</f>
        <v>0.22819244604316546</v>
      </c>
      <c r="G12" s="13">
        <f>IFERROR(G9/Inputs!G98-1,"n/a")</f>
        <v>0.13049037785307838</v>
      </c>
      <c r="H12" s="16">
        <f>IFERROR(H9/C9-1,"n/a")</f>
        <v>0.2709697595951077</v>
      </c>
      <c r="I12" s="31"/>
      <c r="J12" s="1"/>
      <c r="K12" s="1"/>
      <c r="L12" s="1"/>
      <c r="M12" s="1"/>
    </row>
    <row r="13">
      <c r="A13" s="1"/>
      <c r="B13" s="12" t="s">
        <v>85</v>
      </c>
      <c r="C13" s="13">
        <f>IFERROR(C9/Inputs!F98-1,"n/a")</f>
        <v>0.06609712230215825</v>
      </c>
      <c r="D13" s="4">
        <f>IFERROR(D9/C9-1,"n/a")</f>
        <v>-0.06727119358920286</v>
      </c>
      <c r="E13" s="4">
        <f>IFERROR(E9/D9-1,"n/a")</f>
        <v>0.09088853719195122</v>
      </c>
      <c r="F13" s="4">
        <f>IFERROR(F9/E9-1,"n/a")</f>
        <v>0.1322279792746115</v>
      </c>
      <c r="G13" s="4" t="s">
        <v>82</v>
      </c>
      <c r="H13" s="16">
        <f>IFERROR(H9/F9-1,"n/a")</f>
        <v>0.1032287387882116</v>
      </c>
      <c r="I13" s="31"/>
      <c r="J13" s="1"/>
      <c r="K13" s="1"/>
      <c r="L13" s="1"/>
      <c r="M13" s="1"/>
    </row>
    <row r="14">
      <c r="A14" s="1"/>
      <c r="B14" s="1" t="s">
        <v>156</v>
      </c>
      <c r="C14" s="24">
        <v>2019</v>
      </c>
      <c r="D14" s="24">
        <v>1951</v>
      </c>
      <c r="E14" s="24">
        <v>2026</v>
      </c>
      <c r="F14" s="24">
        <v>2111</v>
      </c>
      <c r="G14" s="24">
        <v>7599</v>
      </c>
      <c r="H14" s="41">
        <f>H9-H15</f>
        <v>2242.270585</v>
      </c>
      <c r="I14" s="31"/>
      <c r="J14" s="1"/>
      <c r="K14" s="1"/>
      <c r="L14" s="1"/>
      <c r="M14" s="1"/>
    </row>
    <row r="15">
      <c r="A15" s="1"/>
      <c r="B15" s="9" t="s">
        <v>158</v>
      </c>
      <c r="C15" s="17">
        <f>C9-C14</f>
        <v>2723</v>
      </c>
      <c r="D15" s="17">
        <f>D9-D14</f>
        <v>2472</v>
      </c>
      <c r="E15" s="17">
        <f>E9-E14</f>
        <v>2799</v>
      </c>
      <c r="F15" s="17">
        <f>F9-F14</f>
        <v>3352</v>
      </c>
      <c r="G15" s="17">
        <f>G9-G14</f>
        <v>10083</v>
      </c>
      <c r="H15" s="77">
        <f>'Segment - Analog'!H36+'Segment - Embedded Processing'!H36+'Revenue summary'!H102</f>
        <v>3784.668015</v>
      </c>
      <c r="I15" s="31" t="s">
        <v>180</v>
      </c>
      <c r="J15" s="1"/>
      <c r="K15" s="1"/>
      <c r="L15" s="1"/>
      <c r="M15" s="1"/>
    </row>
    <row r="16">
      <c r="A16" s="1"/>
      <c r="B16" s="12" t="s">
        <v>84</v>
      </c>
      <c r="C16" s="13">
        <f>IFERROR(C15/Inputs!C103-1,"n/a")</f>
        <v>0.10064672594987867</v>
      </c>
      <c r="D16" s="13">
        <f>IFERROR(D15/Inputs!D103-1,"n/a")</f>
        <v>0.06828003457216947</v>
      </c>
      <c r="E16" s="13">
        <f>IFERROR(E15/Inputs!E103-1,"n/a")</f>
        <v>0.21011673151750965</v>
      </c>
      <c r="F16" s="13">
        <f>IFERROR(F15/Inputs!F103-1,"n/a")</f>
        <v>0.3017475728155339</v>
      </c>
      <c r="G16" s="13">
        <f>IFERROR(G15/Inputs!G103-1,"n/a")</f>
        <v>0.1087530239718495</v>
      </c>
      <c r="H16" s="16">
        <f>IFERROR(H15/C15-1,"n/a")</f>
        <v>0.3898890984208594</v>
      </c>
      <c r="I16" s="31"/>
      <c r="J16" s="1"/>
      <c r="K16" s="1"/>
      <c r="L16" s="1"/>
      <c r="M16" s="1"/>
    </row>
    <row r="17">
      <c r="A17" s="1"/>
      <c r="B17" s="12" t="s">
        <v>159</v>
      </c>
      <c r="C17" s="4">
        <f>C15/C9</f>
        <v>0.5742302825811894</v>
      </c>
      <c r="D17" s="4">
        <f>D15/D9</f>
        <v>0.5588966764639385</v>
      </c>
      <c r="E17" s="4">
        <f>E15/E9</f>
        <v>0.5801036269430052</v>
      </c>
      <c r="F17" s="4">
        <f>F15/F9</f>
        <v>0.6135822807980963</v>
      </c>
      <c r="G17" s="4">
        <f>G15/G9</f>
        <v>0.5702409229725144</v>
      </c>
      <c r="H17" s="16">
        <f>H15/H9</f>
        <v>0.6279586148430316</v>
      </c>
      <c r="I17" s="31"/>
      <c r="J17" s="1"/>
      <c r="K17" s="1"/>
      <c r="L17" s="1"/>
      <c r="M17" s="1"/>
    </row>
    <row r="18">
      <c r="A18" s="1"/>
      <c r="B18" s="12" t="s">
        <v>127</v>
      </c>
      <c r="C18" s="35">
        <f>IF(AND(ISNUMBER(C17),ISNUMBER((Inputs!F103/Inputs!F98))),(C17-(Inputs!F103/Inputs!F98))*10000,"n/a")</f>
        <v>-46.81587922407804</v>
      </c>
      <c r="D18" s="22">
        <f>IF(AND(ISNUMBER(D17),ISNUMBER(C17)),(D17-C17)*10000,"n/a")</f>
        <v>-153.33606117250875</v>
      </c>
      <c r="E18" s="22">
        <f>IF(AND(ISNUMBER(E17),ISNUMBER(D17)),(E17-D17)*10000,"n/a")</f>
        <v>212.06950479066734</v>
      </c>
      <c r="F18" s="22">
        <f>IF(AND(ISNUMBER(F17),ISNUMBER(E17)),(F17-E17)*10000,"n/a")</f>
        <v>334.7865385509108</v>
      </c>
      <c r="G18" s="22" t="s">
        <v>82</v>
      </c>
      <c r="H18" s="28">
        <f>IF(AND(ISNUMBER(H17),ISNUMBER(F17)),(H17-F17)*10000,"n/a")</f>
        <v>143.76334044935325</v>
      </c>
      <c r="I18" s="31"/>
      <c r="J18" s="1"/>
      <c r="K18" s="1"/>
      <c r="L18" s="1"/>
      <c r="M18" s="1"/>
    </row>
    <row r="19">
      <c r="A19" s="1"/>
      <c r="B19" s="12" t="s">
        <v>128</v>
      </c>
      <c r="C19" s="35">
        <f>IF(AND(ISNUMBER(C17),ISNUMBER((Inputs!C103/Inputs!C98))),(C17-(Inputs!C103/Inputs!C98))*10000,"n/a")</f>
        <v>-217.70681042033945</v>
      </c>
      <c r="D19" s="35">
        <f>IF(AND(ISNUMBER(D17),ISNUMBER((Inputs!D103/Inputs!D98))),(D17-(Inputs!D103/Inputs!D98))*10000,"n/a")</f>
        <v>-185.92717097329347</v>
      </c>
      <c r="E19" s="35">
        <f>IF(AND(ISNUMBER(E17),ISNUMBER((Inputs!E103/Inputs!E98))),(E17-(Inputs!E103/Inputs!E98))*10000,"n/a")</f>
        <v>116.59291725507059</v>
      </c>
      <c r="F19" s="35">
        <f>IF(AND(ISNUMBER(F17),ISNUMBER((Inputs!F103/Inputs!F98))),(F17-(Inputs!F103/Inputs!F98))*10000,"n/a")</f>
        <v>346.70410294499135</v>
      </c>
      <c r="G19" s="35">
        <f>IF(AND(ISNUMBER(G17),ISNUMBER((Inputs!G103/Inputs!G98))),(G17-(Inputs!G103/Inputs!G98))*10000,"n/a")</f>
        <v>-111.79702307199224</v>
      </c>
      <c r="H19" s="28">
        <f>IF(AND(ISNUMBER(H17),ISNUMBER(C17)),(H17-C17)*10000,"n/a")</f>
        <v>537.2833226184226</v>
      </c>
      <c r="I19" s="31"/>
      <c r="J19" s="1"/>
      <c r="K19" s="1"/>
      <c r="L19" s="1"/>
      <c r="M19" s="1"/>
    </row>
    <row r="20">
      <c r="A20" s="1"/>
      <c r="B20" s="1" t="s">
        <v>181</v>
      </c>
      <c r="C20" s="24">
        <v>518</v>
      </c>
      <c r="D20" s="24">
        <v>521</v>
      </c>
      <c r="E20" s="24">
        <v>510</v>
      </c>
      <c r="F20" s="24">
        <v>535</v>
      </c>
      <c r="G20" s="24">
        <v>2083</v>
      </c>
      <c r="H20" s="56">
        <f>'Segment - Analog'!H45+'Segment - Embedded Processing'!H45+'Revenue summary'!H109</f>
        <v>535</v>
      </c>
      <c r="I20" s="31"/>
      <c r="J20" s="1"/>
      <c r="K20" s="1"/>
      <c r="L20" s="1"/>
      <c r="M20" s="1"/>
    </row>
    <row r="21">
      <c r="A21" s="1"/>
      <c r="B21" s="1" t="s">
        <v>81</v>
      </c>
      <c r="C21" s="32">
        <f>IF(AND(ISNUMBER(C20),ISNUMBER(Inputs!F104)),C20-Inputs!F104,"n/a")</f>
        <v>-9</v>
      </c>
      <c r="D21" s="15">
        <f>IF(AND(ISNUMBER(D20),ISNUMBER(C20)),D20-C20,"n/a")</f>
        <v>3</v>
      </c>
      <c r="E21" s="15">
        <f>IF(AND(ISNUMBER(E20),ISNUMBER(D20)),E20-D20,"n/a")</f>
        <v>-11</v>
      </c>
      <c r="F21" s="15">
        <f>IF(AND(ISNUMBER(F20),ISNUMBER(E20)),F20-E20,"n/a")</f>
        <v>25</v>
      </c>
      <c r="G21" s="15" t="s">
        <v>82</v>
      </c>
      <c r="H21" s="41">
        <f>IF(AND(ISNUMBER(H20),ISNUMBER(F20)),H20-F20,"n/a")</f>
        <v>0</v>
      </c>
      <c r="I21" s="31"/>
      <c r="J21" s="1"/>
      <c r="K21" s="1"/>
      <c r="L21" s="1"/>
      <c r="M21" s="1"/>
    </row>
    <row r="22">
      <c r="A22" s="1"/>
      <c r="B22" s="1" t="s">
        <v>83</v>
      </c>
      <c r="C22" s="32">
        <f>IF(AND(ISNUMBER(C20),ISNUMBER(Inputs!C104)),C20-Inputs!C104,"n/a")</f>
        <v>26</v>
      </c>
      <c r="D22" s="32">
        <f>IF(AND(ISNUMBER(D20),ISNUMBER(Inputs!D104)),D20-Inputs!D104,"n/a")</f>
        <v>30</v>
      </c>
      <c r="E22" s="32">
        <f>IF(AND(ISNUMBER(E20),ISNUMBER(Inputs!E104)),E20-Inputs!E104,"n/a")</f>
        <v>-7</v>
      </c>
      <c r="F22" s="32">
        <f>IF(AND(ISNUMBER(F20),ISNUMBER(Inputs!F104)),F20-Inputs!F104,"n/a")</f>
        <v>8</v>
      </c>
      <c r="G22" s="32">
        <f>IF(AND(ISNUMBER(G20),ISNUMBER(Inputs!G104)),G20-Inputs!G104,"n/a")</f>
        <v>124</v>
      </c>
      <c r="H22" s="41">
        <f>IF(AND(ISNUMBER(H20),ISNUMBER(C20)),H20-C20,"n/a")</f>
        <v>17</v>
      </c>
      <c r="I22" s="31"/>
      <c r="J22" s="1"/>
      <c r="K22" s="1"/>
      <c r="L22" s="1"/>
      <c r="M22" s="1"/>
    </row>
    <row r="23">
      <c r="A23" s="1"/>
      <c r="B23" s="12" t="s">
        <v>164</v>
      </c>
      <c r="C23" s="4">
        <f>C20/C9</f>
        <v>0.10923660902572754</v>
      </c>
      <c r="D23" s="4">
        <f>D20/D9</f>
        <v>0.117793352927877</v>
      </c>
      <c r="E23" s="4">
        <f>E20/E9</f>
        <v>0.10569948186528498</v>
      </c>
      <c r="F23" s="4">
        <f>F20/F9</f>
        <v>0.09793153944719019</v>
      </c>
      <c r="G23" s="4">
        <f>G20/G9</f>
        <v>0.11780341590317837</v>
      </c>
      <c r="H23" s="16">
        <f>H20/H9</f>
        <v>0.08876811852704124</v>
      </c>
      <c r="I23" s="31"/>
      <c r="J23" s="1"/>
      <c r="K23" s="1"/>
      <c r="L23" s="1"/>
      <c r="M23" s="1"/>
    </row>
    <row r="24">
      <c r="A24" s="1"/>
      <c r="B24" s="12" t="s">
        <v>127</v>
      </c>
      <c r="C24" s="107">
        <f>IF(AND(ISNUMBER(C23),ISNUMBER((Inputs!F104/Inputs!F98))),(C23-(Inputs!F104/Inputs!F98))*10000,"n/a")</f>
        <v>-92.43606801610585</v>
      </c>
      <c r="D24" s="22">
        <f>IF(AND(ISNUMBER(D23),ISNUMBER(C23)),(D23-C23)*10000,"n/a")</f>
        <v>85.56743902149458</v>
      </c>
      <c r="E24" s="22">
        <f>IF(AND(ISNUMBER(E23),ISNUMBER(D23)),(E23-D23)*10000,"n/a")</f>
        <v>-120.93871062592021</v>
      </c>
      <c r="F24" s="22">
        <f>IF(AND(ISNUMBER(F23),ISNUMBER(E23)),(F23-E23)*10000,"n/a")</f>
        <v>-77.67942418094795</v>
      </c>
      <c r="G24" s="22" t="s">
        <v>82</v>
      </c>
      <c r="H24" s="28">
        <f>IF(AND(ISNUMBER(H23),ISNUMBER(F23)),(H23-F23)*10000,"n/a")</f>
        <v>-91.63420920148948</v>
      </c>
      <c r="I24" s="31"/>
      <c r="J24" s="1"/>
      <c r="K24" s="1"/>
      <c r="L24" s="1"/>
      <c r="M24" s="1"/>
    </row>
    <row r="25">
      <c r="A25" s="1"/>
      <c r="B25" s="12" t="s">
        <v>128</v>
      </c>
      <c r="C25" s="35">
        <f>IF(AND(ISNUMBER(C23),ISNUMBER((Inputs!C104/Inputs!C98))),(C23-(Inputs!C104/Inputs!C98))*10000,"n/a")</f>
        <v>-92.89047442593346</v>
      </c>
      <c r="D25" s="35">
        <f>IF(AND(ISNUMBER(D23),ISNUMBER((Inputs!D104/Inputs!D98))),(D23-(Inputs!D104/Inputs!D98))*10000,"n/a")</f>
        <v>-47.42209837283961</v>
      </c>
      <c r="E25" s="35">
        <f>IF(AND(ISNUMBER(E23),ISNUMBER((Inputs!E104/Inputs!E98))),(E23-(Inputs!E104/Inputs!E98))*10000,"n/a")</f>
        <v>-213.58763403822908</v>
      </c>
      <c r="F25" s="35">
        <f>IF(AND(ISNUMBER(F23),ISNUMBER((Inputs!F104/Inputs!F98))),(F23-(Inputs!F104/Inputs!F98))*10000,"n/a")</f>
        <v>-205.48676380147944</v>
      </c>
      <c r="G25" s="35">
        <f>IF(AND(ISNUMBER(G23),ISNUMBER((Inputs!G104/Inputs!G98))),(G23-(Inputs!G104/Inputs!G98))*10000,"n/a")</f>
        <v>-74.44330404602448</v>
      </c>
      <c r="H25" s="28">
        <f>IF(AND(ISNUMBER(H23),ISNUMBER(C23)),(H23-C23)*10000,"n/a")</f>
        <v>-204.68490498686307</v>
      </c>
      <c r="I25" s="31"/>
      <c r="J25" s="1"/>
      <c r="K25" s="1"/>
      <c r="L25" s="1"/>
      <c r="M25" s="1"/>
    </row>
    <row r="26">
      <c r="A26" s="1"/>
      <c r="B26" s="1" t="s">
        <v>165</v>
      </c>
      <c r="C26" s="24">
        <v>457</v>
      </c>
      <c r="D26" s="24">
        <v>446</v>
      </c>
      <c r="E26" s="24">
        <v>464</v>
      </c>
      <c r="F26" s="24">
        <v>490</v>
      </c>
      <c r="G26" s="24">
        <v>1860</v>
      </c>
      <c r="H26" s="56">
        <f>'Segment - Analog'!H51+'Segment - Embedded Processing'!H51+'Revenue summary'!H110</f>
        <v>490</v>
      </c>
      <c r="I26" s="31"/>
      <c r="J26" s="1"/>
      <c r="K26" s="1"/>
      <c r="L26" s="1"/>
      <c r="M26" s="1"/>
    </row>
    <row r="27">
      <c r="A27" s="1"/>
      <c r="B27" s="1" t="s">
        <v>81</v>
      </c>
      <c r="C27" s="32">
        <f>IF(AND(ISNUMBER(C26),ISNUMBER(Inputs!F105)),C26-Inputs!F105,"n/a")</f>
        <v>-28</v>
      </c>
      <c r="D27" s="15">
        <f>IF(AND(ISNUMBER(D26),ISNUMBER(C26)),D26-C26,"n/a")</f>
        <v>-11</v>
      </c>
      <c r="E27" s="15">
        <f>IF(AND(ISNUMBER(E26),ISNUMBER(D26)),E26-D26,"n/a")</f>
        <v>18</v>
      </c>
      <c r="F27" s="15">
        <f>IF(AND(ISNUMBER(F26),ISNUMBER(E26)),F26-E26,"n/a")</f>
        <v>26</v>
      </c>
      <c r="G27" s="15" t="s">
        <v>82</v>
      </c>
      <c r="H27" s="41">
        <f>IF(AND(ISNUMBER(H26),ISNUMBER(F26)),H26-F26,"n/a")</f>
        <v>0</v>
      </c>
      <c r="I27" s="31"/>
      <c r="J27" s="1"/>
      <c r="K27" s="1"/>
      <c r="L27" s="1"/>
      <c r="M27" s="1"/>
    </row>
    <row r="28">
      <c r="A28" s="1"/>
      <c r="B28" s="1" t="s">
        <v>83</v>
      </c>
      <c r="C28" s="32">
        <f>IF(AND(ISNUMBER(C26),ISNUMBER(Inputs!C105)),C26-Inputs!C105,"n/a")</f>
        <v>29</v>
      </c>
      <c r="D28" s="32">
        <f>IF(AND(ISNUMBER(D26),ISNUMBER(Inputs!D105)),D26-Inputs!D105,"n/a")</f>
        <v>0</v>
      </c>
      <c r="E28" s="32">
        <f>IF(AND(ISNUMBER(E26),ISNUMBER(Inputs!E105)),E26-Inputs!E105,"n/a")</f>
        <v>-8</v>
      </c>
      <c r="F28" s="32">
        <f>IF(AND(ISNUMBER(F26),ISNUMBER(Inputs!F105)),F26-Inputs!F105,"n/a")</f>
        <v>5</v>
      </c>
      <c r="G28" s="32">
        <f>IF(AND(ISNUMBER(G26),ISNUMBER(Inputs!G105)),G26-Inputs!G105,"n/a")</f>
        <v>66</v>
      </c>
      <c r="H28" s="41">
        <f>IF(AND(ISNUMBER(H26),ISNUMBER(C26)),H26-C26,"n/a")</f>
        <v>33</v>
      </c>
      <c r="I28" s="31"/>
      <c r="J28" s="1"/>
      <c r="K28" s="1"/>
      <c r="L28" s="1"/>
      <c r="M28" s="1"/>
    </row>
    <row r="29">
      <c r="A29" s="1"/>
      <c r="B29" s="12" t="s">
        <v>164</v>
      </c>
      <c r="C29" s="4">
        <f>C26/C9</f>
        <v>0.0963728384647828</v>
      </c>
      <c r="D29" s="4">
        <f>D26/D9</f>
        <v>0.10083653628758761</v>
      </c>
      <c r="E29" s="4">
        <f>E26/E9</f>
        <v>0.09616580310880829</v>
      </c>
      <c r="F29" s="4">
        <f>F26/F9</f>
        <v>0.08969430715723961</v>
      </c>
      <c r="G29" s="4">
        <f>G26/G9</f>
        <v>0.10519172039362062</v>
      </c>
      <c r="H29" s="16">
        <f>H26/H9</f>
        <v>0.0813016412677574</v>
      </c>
      <c r="I29" s="31"/>
      <c r="J29" s="1"/>
      <c r="K29" s="1"/>
      <c r="L29" s="1"/>
      <c r="M29" s="1"/>
    </row>
    <row r="30">
      <c r="A30" s="1"/>
      <c r="B30" s="12" t="s">
        <v>127</v>
      </c>
      <c r="C30" s="107">
        <f>IF(AND(ISNUMBER(C29),ISNUMBER((Inputs!F105/Inputs!F98))),(C29-(Inputs!F105/Inputs!F98))*10000,"n/a")</f>
        <v>-126.64931319389866</v>
      </c>
      <c r="D30" s="22">
        <f>IF(AND(ISNUMBER(D29),ISNUMBER(C29)),(D29-C29)*10000,"n/a")</f>
        <v>44.63697822804813</v>
      </c>
      <c r="E30" s="22">
        <f>IF(AND(ISNUMBER(E29),ISNUMBER(D29)),(E29-D29)*10000,"n/a")</f>
        <v>-46.70733178779321</v>
      </c>
      <c r="F30" s="22">
        <f>IF(AND(ISNUMBER(F29),ISNUMBER(E29)),(F29-E29)*10000,"n/a")</f>
        <v>-64.71495951568679</v>
      </c>
      <c r="G30" s="22" t="s">
        <v>82</v>
      </c>
      <c r="H30" s="28">
        <f>IF(AND(ISNUMBER(H29),ISNUMBER(F29)),(H29-F29)*10000,"n/a")</f>
        <v>-83.92665889482218</v>
      </c>
      <c r="I30" s="31"/>
      <c r="J30" s="1"/>
      <c r="K30" s="1"/>
      <c r="L30" s="1"/>
      <c r="M30" s="1"/>
    </row>
    <row r="31">
      <c r="A31" s="1"/>
      <c r="B31" s="12" t="s">
        <v>128</v>
      </c>
      <c r="C31" s="35">
        <f>IF(AND(ISNUMBER(C29),ISNUMBER((Inputs!C105/Inputs!C98))),(C29-(Inputs!C105/Inputs!C98))*10000,"n/a")</f>
        <v>-67.34846430423173</v>
      </c>
      <c r="D31" s="35">
        <f>IF(AND(ISNUMBER(D29),ISNUMBER((Inputs!D105/Inputs!D98))),(D29-(Inputs!D105/Inputs!D98))*10000,"n/a")</f>
        <v>-104.68679584636001</v>
      </c>
      <c r="E31" s="35">
        <f>IF(AND(ISNUMBER(E29),ISNUMBER((Inputs!E105/Inputs!E98))),(E29-(Inputs!E105/Inputs!E98))*10000,"n/a")</f>
        <v>-198.33213848675118</v>
      </c>
      <c r="F31" s="35">
        <f>IF(AND(ISNUMBER(F29),ISNUMBER((Inputs!F105/Inputs!F98))),(F29-(Inputs!F105/Inputs!F98))*10000,"n/a")</f>
        <v>-193.43462626933052</v>
      </c>
      <c r="G31" s="35">
        <f>IF(AND(ISNUMBER(G29),ISNUMBER((Inputs!G105/Inputs!G98))),(G29-(Inputs!G105/Inputs!G98))*10000,"n/a")</f>
        <v>-95.06828292524763</v>
      </c>
      <c r="H31" s="28">
        <f>IF(AND(ISNUMBER(H29),ISNUMBER(C29)),(H29-C29)*10000,"n/a")</f>
        <v>-150.71197197025404</v>
      </c>
      <c r="I31" s="31"/>
      <c r="J31" s="1"/>
      <c r="K31" s="1"/>
      <c r="L31" s="1"/>
      <c r="M31" s="1"/>
    </row>
    <row r="32">
      <c r="A32" s="1"/>
      <c r="B32" s="1" t="s">
        <v>182</v>
      </c>
      <c r="C32" s="24">
        <v>85</v>
      </c>
      <c r="D32" s="24">
        <v>32</v>
      </c>
      <c r="E32" s="24">
        <v>0</v>
      </c>
      <c r="F32" s="24">
        <v>0</v>
      </c>
      <c r="G32" s="24">
        <v>117</v>
      </c>
      <c r="H32" s="61">
        <v>0</v>
      </c>
      <c r="I32" s="31" t="s">
        <v>183</v>
      </c>
      <c r="J32" s="1"/>
      <c r="K32" s="1"/>
      <c r="L32" s="1"/>
      <c r="M32" s="1"/>
    </row>
    <row r="33">
      <c r="A33" s="1"/>
      <c r="B33" s="1" t="s">
        <v>184</v>
      </c>
      <c r="C33" s="24">
        <v>0</v>
      </c>
      <c r="D33" s="24">
        <v>0</v>
      </c>
      <c r="E33" s="24">
        <v>17</v>
      </c>
      <c r="F33" s="24">
        <v>17</v>
      </c>
      <c r="G33" s="24">
        <v>0</v>
      </c>
      <c r="H33" s="61">
        <v>17</v>
      </c>
      <c r="I33" s="31" t="s">
        <v>185</v>
      </c>
      <c r="J33" s="1"/>
      <c r="K33" s="1"/>
      <c r="L33" s="1"/>
      <c r="M33" s="1"/>
    </row>
    <row r="34">
      <c r="A34" s="1"/>
      <c r="B34" s="9" t="s">
        <v>186</v>
      </c>
      <c r="C34" s="17">
        <f>C15-C20-C26-C32-C33</f>
        <v>1663</v>
      </c>
      <c r="D34" s="17">
        <f>D15-D20-D26-D32-D33</f>
        <v>1473</v>
      </c>
      <c r="E34" s="17">
        <f>E15-E20-E26-E32-E33</f>
        <v>1808</v>
      </c>
      <c r="F34" s="17">
        <f>F15-F20-F26-F32-F33</f>
        <v>2310</v>
      </c>
      <c r="G34" s="17">
        <f>G15-G20-G26-G32-G33</f>
        <v>6023</v>
      </c>
      <c r="H34" s="38">
        <f>H15-H20-H26-H32-H33</f>
        <v>2742.668015</v>
      </c>
      <c r="I34" s="31"/>
      <c r="J34" s="1"/>
      <c r="K34" s="1"/>
      <c r="L34" s="1"/>
      <c r="M34" s="1"/>
    </row>
    <row r="35">
      <c r="A35" s="1"/>
      <c r="B35" s="12" t="s">
        <v>84</v>
      </c>
      <c r="C35" s="13">
        <f>IFERROR(C34/Inputs!C107-1,"n/a")</f>
        <v>0.07014157014157019</v>
      </c>
      <c r="D35" s="13">
        <f>IFERROR(D34/Inputs!D107-1,"n/a")</f>
        <v>0.06971677559912859</v>
      </c>
      <c r="E35" s="13">
        <f>IFERROR(E34/Inputs!E107-1,"n/a")</f>
        <v>0.3655589123867069</v>
      </c>
      <c r="F35" s="13">
        <f>IFERROR(F34/Inputs!F107-1,"n/a")</f>
        <v>0.47792706333973123</v>
      </c>
      <c r="G35" s="13">
        <f>IFERROR(G34/Inputs!G107-1,"n/a")</f>
        <v>0.1021043000914914</v>
      </c>
      <c r="H35" s="16">
        <f>IFERROR(H34/C34-1,"n/a")</f>
        <v>0.6492291130487073</v>
      </c>
      <c r="I35" s="31"/>
      <c r="J35" s="1"/>
      <c r="K35" s="1"/>
      <c r="L35" s="1"/>
      <c r="M35" s="1"/>
    </row>
    <row r="36">
      <c r="A36" s="1"/>
      <c r="B36" s="12" t="s">
        <v>187</v>
      </c>
      <c r="C36" s="4">
        <f>C34/C9</f>
        <v>0.35069590889919866</v>
      </c>
      <c r="D36" s="4">
        <f>D34/D9</f>
        <v>0.33303187881528373</v>
      </c>
      <c r="E36" s="4">
        <f>E34/E9</f>
        <v>0.3747150259067358</v>
      </c>
      <c r="F36" s="4">
        <f>F34/F9</f>
        <v>0.4228445908841296</v>
      </c>
      <c r="G36" s="4">
        <f>G34/G9</f>
        <v>0.3406288881348264</v>
      </c>
      <c r="H36" s="16">
        <f>H34/H9</f>
        <v>0.45506818586139236</v>
      </c>
      <c r="I36" s="31"/>
      <c r="J36" s="1"/>
      <c r="K36" s="1"/>
      <c r="L36" s="1"/>
      <c r="M36" s="1"/>
    </row>
    <row r="37">
      <c r="A37" s="1"/>
      <c r="B37" s="12" t="s">
        <v>127</v>
      </c>
      <c r="C37" s="35">
        <f>IF(AND(ISNUMBER(C36),ISNUMBER((Inputs!F107/Inputs!F98))),(C36-(Inputs!F107/Inputs!F98))*10000,"n/a")</f>
        <v>-6.979759928876783</v>
      </c>
      <c r="D37" s="22">
        <f>IF(AND(ISNUMBER(D36),ISNUMBER(C36)),(D36-C36)*10000,"n/a")</f>
        <v>-176.6403008391493</v>
      </c>
      <c r="E37" s="22">
        <f>IF(AND(ISNUMBER(E36),ISNUMBER(D36)),(E36-D36)*10000,"n/a")</f>
        <v>416.8314709145204</v>
      </c>
      <c r="F37" s="22">
        <f>IF(AND(ISNUMBER(F36),ISNUMBER(E36)),(F36-E36)*10000,"n/a")</f>
        <v>481.29564977393846</v>
      </c>
      <c r="G37" s="22" t="s">
        <v>82</v>
      </c>
      <c r="H37" s="28">
        <f>IF(AND(ISNUMBER(H36),ISNUMBER(F36)),(H36-F36)*10000,"n/a")</f>
        <v>322.23594977262735</v>
      </c>
      <c r="I37" s="31"/>
      <c r="J37" s="1"/>
      <c r="K37" s="1"/>
      <c r="L37" s="1"/>
      <c r="M37" s="1"/>
    </row>
    <row r="38">
      <c r="A38" s="1"/>
      <c r="B38" s="12" t="s">
        <v>128</v>
      </c>
      <c r="C38" s="35">
        <f>IF(AND(ISNUMBER(C36),ISNUMBER((Inputs!C107/Inputs!C98))),(C36-(Inputs!C107/Inputs!C98))*10000,"n/a")</f>
        <v>-236.71713360497782</v>
      </c>
      <c r="D38" s="35">
        <f>IF(AND(ISNUMBER(D36),ISNUMBER((Inputs!D107/Inputs!D98))),(D36-(Inputs!D107/Inputs!D98))*10000,"n/a")</f>
        <v>-106.16736108599478</v>
      </c>
      <c r="E38" s="35">
        <f>IF(AND(ISNUMBER(E36),ISNUMBER((Inputs!E107/Inputs!E98))),(E36-(Inputs!E107/Inputs!E98))*10000,"n/a")</f>
        <v>493.2795291582892</v>
      </c>
      <c r="F38" s="35">
        <f>IF(AND(ISNUMBER(F36),ISNUMBER((Inputs!F107/Inputs!F98))),(F36-(Inputs!F107/Inputs!F98))*10000,"n/a")</f>
        <v>714.5070599204329</v>
      </c>
      <c r="G38" s="35">
        <f>IF(AND(ISNUMBER(G36),ISNUMBER((Inputs!G107/Inputs!G98))),(G36-(Inputs!G107/Inputs!G98))*10000,"n/a")</f>
        <v>-87.73323999947624</v>
      </c>
      <c r="H38" s="28">
        <f>IF(AND(ISNUMBER(H36),ISNUMBER(C36)),(H36-C36)*10000,"n/a")</f>
        <v>1043.722769621937</v>
      </c>
      <c r="I38" s="31"/>
      <c r="J38" s="1"/>
      <c r="K38" s="1"/>
      <c r="L38" s="1"/>
      <c r="M38" s="1"/>
    </row>
    <row r="39">
      <c r="A39" s="1"/>
      <c r="B39" s="1" t="s">
        <v>188</v>
      </c>
      <c r="C39" s="32">
        <f>C34-'Segment - Analog'!C57-'Segment - Embedded Processing'!C57-'Revenue summary'!C112</f>
        <v>0</v>
      </c>
      <c r="D39" s="32">
        <f>D34-'Segment - Analog'!D57-'Segment - Embedded Processing'!D57-'Revenue summary'!D112</f>
        <v>0</v>
      </c>
      <c r="E39" s="32">
        <f>E34-'Segment - Analog'!E57-'Segment - Embedded Processing'!E57-'Revenue summary'!E112</f>
        <v>0</v>
      </c>
      <c r="F39" s="32">
        <f>F34-'Segment - Analog'!F57-'Segment - Embedded Processing'!F57-'Revenue summary'!F112</f>
        <v>0</v>
      </c>
      <c r="G39" s="32">
        <f>G34-'Segment - Analog'!G57-'Segment - Embedded Processing'!G57-'Revenue summary'!G112</f>
        <v>0</v>
      </c>
      <c r="H39" s="56">
        <f>H34-'Segment - Analog'!H57-'Segment - Embedded Processing'!H57-'Revenue summary'!H112</f>
        <v>0</v>
      </c>
      <c r="I39" s="31"/>
      <c r="J39" s="1"/>
      <c r="K39" s="1"/>
      <c r="L39" s="1"/>
      <c r="M39" s="1"/>
    </row>
    <row r="40">
      <c r="A40" s="1"/>
      <c r="B40" s="1" t="s">
        <v>189</v>
      </c>
      <c r="C40" s="24">
        <v>62</v>
      </c>
      <c r="D40" s="24">
        <v>40</v>
      </c>
      <c r="E40" s="24">
        <v>47</v>
      </c>
      <c r="F40" s="24">
        <v>69</v>
      </c>
      <c r="G40" s="24">
        <v>230</v>
      </c>
      <c r="H40" s="41">
        <f>F40</f>
        <v>69</v>
      </c>
      <c r="I40" s="31" t="s">
        <v>190</v>
      </c>
      <c r="J40" s="1"/>
      <c r="K40" s="1"/>
      <c r="L40" s="1"/>
      <c r="M40" s="1"/>
    </row>
    <row r="41">
      <c r="A41" s="1"/>
      <c r="B41" s="1" t="s">
        <v>191</v>
      </c>
      <c r="C41" s="24">
        <v>141</v>
      </c>
      <c r="D41" s="24">
        <v>141</v>
      </c>
      <c r="E41" s="24">
        <v>141</v>
      </c>
      <c r="F41" s="24">
        <v>141</v>
      </c>
      <c r="G41" s="24">
        <v>543</v>
      </c>
      <c r="H41" s="41">
        <f>F41</f>
        <v>141</v>
      </c>
      <c r="I41" s="31" t="s">
        <v>192</v>
      </c>
      <c r="J41" s="1"/>
      <c r="K41" s="1"/>
      <c r="L41" s="1"/>
      <c r="M41" s="1"/>
    </row>
    <row r="42">
      <c r="A42" s="1"/>
      <c r="B42" s="9" t="s">
        <v>193</v>
      </c>
      <c r="C42" s="17">
        <f>C34+C40-C41</f>
        <v>1584</v>
      </c>
      <c r="D42" s="17">
        <f>D34+D40-D41</f>
        <v>1372</v>
      </c>
      <c r="E42" s="17">
        <f>E34+E40-E41</f>
        <v>1714</v>
      </c>
      <c r="F42" s="17">
        <f>F34+F40-F41</f>
        <v>2238</v>
      </c>
      <c r="G42" s="17">
        <f>G34+G40-G41</f>
        <v>5710</v>
      </c>
      <c r="H42" s="38">
        <f>H34+H40-H41</f>
        <v>2670.668015</v>
      </c>
      <c r="I42" s="31"/>
      <c r="J42" s="1"/>
      <c r="K42" s="1"/>
      <c r="L42" s="1"/>
      <c r="M42" s="1"/>
    </row>
    <row r="43">
      <c r="A43" s="1"/>
      <c r="B43" s="12" t="s">
        <v>194</v>
      </c>
      <c r="C43" s="4">
        <f>C42/C9</f>
        <v>0.33403627161535215</v>
      </c>
      <c r="D43" s="4">
        <f>D42/D9</f>
        <v>0.3101966990730274</v>
      </c>
      <c r="E43" s="4">
        <f>E42/E9</f>
        <v>0.35523316062176163</v>
      </c>
      <c r="F43" s="4">
        <f>F42/F9</f>
        <v>0.4096650192202087</v>
      </c>
      <c r="G43" s="4">
        <f>G42/G9</f>
        <v>0.3229272706707386</v>
      </c>
      <c r="H43" s="16">
        <f>H42/H9</f>
        <v>0.44312182224653823</v>
      </c>
      <c r="I43" s="31"/>
      <c r="J43" s="1"/>
      <c r="K43" s="1"/>
      <c r="L43" s="1"/>
      <c r="M43" s="1"/>
    </row>
    <row r="44">
      <c r="A44" s="1"/>
      <c r="B44" s="12" t="s">
        <v>127</v>
      </c>
      <c r="C44" s="107">
        <f>IF(AND(ISNUMBER(C43),ISNUMBER((Inputs!F110/Inputs!F98))),(C43-(Inputs!F110/Inputs!F98))*10000,"n/a")</f>
        <v>17.52098953481662</v>
      </c>
      <c r="D44" s="22">
        <f>IF(AND(ISNUMBER(D43),ISNUMBER(C43)),(D43-C43)*10000,"n/a")</f>
        <v>-238.3957254232477</v>
      </c>
      <c r="E44" s="22">
        <f>IF(AND(ISNUMBER(E43),ISNUMBER(D43)),(E43-D43)*10000,"n/a")</f>
        <v>450.3646154873425</v>
      </c>
      <c r="F44" s="22">
        <f>IF(AND(ISNUMBER(F43),ISNUMBER(E43)),(F43-E43)*10000,"n/a")</f>
        <v>544.3185859844707</v>
      </c>
      <c r="G44" s="22" t="s">
        <v>82</v>
      </c>
      <c r="H44" s="28">
        <f>IF(AND(ISNUMBER(H43),ISNUMBER(F43)),(H43-F43)*10000,"n/a")</f>
        <v>334.56803026329527</v>
      </c>
      <c r="I44" s="31"/>
      <c r="J44" s="1"/>
      <c r="K44" s="1"/>
      <c r="L44" s="1"/>
      <c r="M44" s="1"/>
    </row>
    <row r="45">
      <c r="A45" s="1"/>
      <c r="B45" s="12" t="s">
        <v>128</v>
      </c>
      <c r="C45" s="35">
        <f>IF(AND(ISNUMBER(C43),ISNUMBER((Inputs!C110/Inputs!C98))),(C43-(Inputs!C110/Inputs!C98))*10000,"n/a")</f>
        <v>-403.31350644344286</v>
      </c>
      <c r="D45" s="35">
        <f>IF(AND(ISNUMBER(D43),ISNUMBER((Inputs!D110/Inputs!D98))),(D43-(Inputs!D110/Inputs!D98))*10000,"n/a")</f>
        <v>-289.5977709368086</v>
      </c>
      <c r="E45" s="35">
        <f>IF(AND(ISNUMBER(E43),ISNUMBER((Inputs!E110/Inputs!E98))),(E43-(Inputs!E110/Inputs!E98))*10000,"n/a")</f>
        <v>416.42597829920913</v>
      </c>
      <c r="F45" s="35">
        <f>IF(AND(ISNUMBER(F43),ISNUMBER((Inputs!F110/Inputs!F98))),(F43-(Inputs!F110/Inputs!F98))*10000,"n/a")</f>
        <v>773.8084655833821</v>
      </c>
      <c r="G45" s="35">
        <f>IF(AND(ISNUMBER(G43),ISNUMBER((Inputs!G110/Inputs!G98))),(G43-(Inputs!G110/Inputs!G98))*10000,"n/a")</f>
        <v>-257.0772709155278</v>
      </c>
      <c r="H45" s="28">
        <f>IF(AND(ISNUMBER(H43),ISNUMBER(C43)),(H43-C43)*10000,"n/a")</f>
        <v>1090.8555063118608</v>
      </c>
      <c r="I45" s="31"/>
      <c r="J45" s="1"/>
      <c r="K45" s="1"/>
      <c r="L45" s="1"/>
      <c r="M45" s="1"/>
    </row>
    <row r="46">
      <c r="A46" s="1"/>
      <c r="B46" s="12" t="s">
        <v>195</v>
      </c>
      <c r="C46" s="4">
        <f>C49/C42</f>
        <v>0.1571969696969697</v>
      </c>
      <c r="D46" s="4">
        <f>D49/D42</f>
        <v>0.16107871720116618</v>
      </c>
      <c r="E46" s="4">
        <f>E49/E42</f>
        <v>0.13360560093348892</v>
      </c>
      <c r="F46" s="4">
        <f>F49/F42</f>
        <v>0.1380697050938338</v>
      </c>
      <c r="G46" s="4">
        <f>G49/G42</f>
        <v>0.14623467600700527</v>
      </c>
      <c r="H46" s="45">
        <v>0.13</v>
      </c>
      <c r="I46" s="31" t="s">
        <v>196</v>
      </c>
      <c r="J46" s="1"/>
      <c r="K46" s="1"/>
      <c r="L46" s="1"/>
      <c r="M46" s="1"/>
    </row>
    <row r="47">
      <c r="A47" s="1"/>
      <c r="B47" s="12" t="s">
        <v>127</v>
      </c>
      <c r="C47" s="107">
        <f>IF(AND(ISNUMBER(C46),ISNUMBER((Inputs!F112/Inputs!F110))),(C46-(Inputs!F112/Inputs!F110))*10000,"n/a")</f>
        <v>225.55562389797834</v>
      </c>
      <c r="D47" s="22">
        <f>IF(AND(ISNUMBER(D46),ISNUMBER(C46)),(D46-C46)*10000,"n/a")</f>
        <v>38.81747504196481</v>
      </c>
      <c r="E47" s="22">
        <f>IF(AND(ISNUMBER(E46),ISNUMBER(D46)),(E46-D46)*10000,"n/a")</f>
        <v>-274.7311626767726</v>
      </c>
      <c r="F47" s="22">
        <f>IF(AND(ISNUMBER(F46),ISNUMBER(E46)),(F46-E46)*10000,"n/a")</f>
        <v>44.64104160344873</v>
      </c>
      <c r="G47" s="22" t="s">
        <v>82</v>
      </c>
      <c r="H47" s="28">
        <f>IF(AND(ISNUMBER(H46),ISNUMBER(F46)),(H46-F46)*10000,"n/a")</f>
        <v>-80.69705093833784</v>
      </c>
      <c r="I47" s="31"/>
      <c r="J47" s="1"/>
      <c r="K47" s="1"/>
      <c r="L47" s="1"/>
      <c r="M47" s="1"/>
    </row>
    <row r="48">
      <c r="A48" s="1"/>
      <c r="B48" s="12" t="s">
        <v>128</v>
      </c>
      <c r="C48" s="35">
        <f>IF(AND(ISNUMBER(C46),ISNUMBER((Inputs!C112/Inputs!C110))),(C46-(Inputs!C112/Inputs!C110))*10000,"n/a")</f>
        <v>111.22323622323627</v>
      </c>
      <c r="D48" s="35">
        <f>IF(AND(ISNUMBER(D46),ISNUMBER((Inputs!D112/Inputs!D110))),(D46-(Inputs!D112/Inputs!D110))*10000,"n/a")</f>
        <v>359.8673780455103</v>
      </c>
      <c r="E48" s="35">
        <f>IF(AND(ISNUMBER(E46),ISNUMBER((Inputs!E112/Inputs!E110))),(E46-(Inputs!E112/Inputs!E110))*10000,"n/a")</f>
        <v>35.11557046341568</v>
      </c>
      <c r="F48" s="35">
        <f>IF(AND(ISNUMBER(F46),ISNUMBER((Inputs!F112/Inputs!F110))),(F46-(Inputs!F112/Inputs!F110))*10000,"n/a")</f>
        <v>34.28297786661927</v>
      </c>
      <c r="G48" s="35">
        <f>IF(AND(ISNUMBER(G46),ISNUMBER((Inputs!G112/Inputs!G110))),(G46-(Inputs!G112/Inputs!G110))*10000,"n/a")</f>
        <v>99.79403679845899</v>
      </c>
      <c r="H48" s="28">
        <f>IF(AND(ISNUMBER(H46),ISNUMBER(C46)),(H46-C46)*10000,"n/a")</f>
        <v>-271.96969696969694</v>
      </c>
      <c r="I48" s="31"/>
      <c r="J48" s="1"/>
      <c r="K48" s="1"/>
      <c r="L48" s="1"/>
      <c r="M48" s="1"/>
    </row>
    <row r="49">
      <c r="A49" s="1"/>
      <c r="B49" s="1" t="s">
        <v>197</v>
      </c>
      <c r="C49" s="24">
        <v>249</v>
      </c>
      <c r="D49" s="24">
        <v>221</v>
      </c>
      <c r="E49" s="24">
        <v>229</v>
      </c>
      <c r="F49" s="24">
        <v>309</v>
      </c>
      <c r="G49" s="24">
        <v>835</v>
      </c>
      <c r="H49" s="41">
        <f>H42*H46</f>
        <v>347.18684195000003</v>
      </c>
      <c r="I49" s="31"/>
      <c r="J49" s="1"/>
      <c r="K49" s="1"/>
      <c r="L49" s="1"/>
      <c r="M49" s="1"/>
    </row>
    <row r="50">
      <c r="A50" s="1"/>
      <c r="B50" s="1" t="s">
        <v>198</v>
      </c>
      <c r="C50" s="24">
        <v>-29</v>
      </c>
      <c r="D50" s="24">
        <v>-12</v>
      </c>
      <c r="E50" s="24">
        <v>-60</v>
      </c>
      <c r="F50" s="24">
        <v>-51</v>
      </c>
      <c r="G50" s="24">
        <v>-126</v>
      </c>
      <c r="H50" s="61">
        <v>0</v>
      </c>
      <c r="I50" s="31" t="s">
        <v>199</v>
      </c>
      <c r="J50" s="1"/>
      <c r="K50" s="1"/>
      <c r="L50" s="1"/>
      <c r="M50" s="1"/>
    </row>
    <row r="51">
      <c r="A51" s="1"/>
      <c r="B51" s="9" t="s">
        <v>200</v>
      </c>
      <c r="C51" s="17">
        <f>C49+C50</f>
        <v>220</v>
      </c>
      <c r="D51" s="17">
        <f>D49+D50</f>
        <v>209</v>
      </c>
      <c r="E51" s="17">
        <f>E49+E50</f>
        <v>169</v>
      </c>
      <c r="F51" s="17">
        <f>F49+F50</f>
        <v>258</v>
      </c>
      <c r="G51" s="17">
        <f>G49+G50</f>
        <v>709</v>
      </c>
      <c r="H51" s="38">
        <f>H49+H50</f>
        <v>347.18684195000003</v>
      </c>
      <c r="I51" s="31"/>
      <c r="J51" s="1"/>
      <c r="K51" s="1"/>
      <c r="L51" s="1"/>
      <c r="M51" s="1"/>
    </row>
    <row r="52">
      <c r="A52" s="1"/>
      <c r="B52" s="12" t="s">
        <v>201</v>
      </c>
      <c r="C52" s="4">
        <f>C51/C42</f>
        <v>0.1388888888888889</v>
      </c>
      <c r="D52" s="4">
        <f>D51/D42</f>
        <v>0.152332361516035</v>
      </c>
      <c r="E52" s="4">
        <f>E51/E42</f>
        <v>0.0985997666277713</v>
      </c>
      <c r="F52" s="4">
        <f>F51/F42</f>
        <v>0.11528150134048257</v>
      </c>
      <c r="G52" s="4">
        <f>G51/G42</f>
        <v>0.12416812609457092</v>
      </c>
      <c r="H52" s="16">
        <f>H51/H42</f>
        <v>0.13</v>
      </c>
      <c r="I52" s="31"/>
      <c r="J52" s="1"/>
      <c r="K52" s="1"/>
      <c r="L52" s="1"/>
      <c r="M52" s="1"/>
    </row>
    <row r="53">
      <c r="A53" s="1"/>
      <c r="B53" s="12" t="s">
        <v>127</v>
      </c>
      <c r="C53" s="107">
        <f>IF(AND(ISNUMBER(C52),ISNUMBER((Inputs!F111/Inputs!F110))),(C52-(Inputs!F111/Inputs!F110))*10000,"n/a")</f>
        <v>150.72921365208242</v>
      </c>
      <c r="D53" s="22">
        <f>IF(AND(ISNUMBER(D52),ISNUMBER(C52)),(D52-C52)*10000,"n/a")</f>
        <v>134.43472627146096</v>
      </c>
      <c r="E53" s="22">
        <f>IF(AND(ISNUMBER(E52),ISNUMBER(D52)),(E52-D52)*10000,"n/a")</f>
        <v>-537.3259488826369</v>
      </c>
      <c r="F53" s="22">
        <f>IF(AND(ISNUMBER(F52),ISNUMBER(E52)),(F52-E52)*10000,"n/a")</f>
        <v>166.8173471271127</v>
      </c>
      <c r="G53" s="22" t="s">
        <v>82</v>
      </c>
      <c r="H53" s="28">
        <f>IF(AND(ISNUMBER(H52),ISNUMBER(F52)),(H52-F52)*10000,"n/a")</f>
        <v>147.18498659517437</v>
      </c>
      <c r="I53" s="31"/>
      <c r="J53" s="1"/>
      <c r="K53" s="1"/>
      <c r="L53" s="1"/>
      <c r="M53" s="1"/>
    </row>
    <row r="54">
      <c r="A54" s="1"/>
      <c r="B54" s="12" t="s">
        <v>128</v>
      </c>
      <c r="C54" s="35">
        <f>IF(AND(ISNUMBER(C52),ISNUMBER((Inputs!C111/Inputs!C110))),(C52-(Inputs!C111/Inputs!C110))*10000,"n/a")</f>
        <v>153.3676533676534</v>
      </c>
      <c r="D54" s="35">
        <f>IF(AND(ISNUMBER(D52),ISNUMBER((Inputs!D111/Inputs!D110))),(D52-(Inputs!D111/Inputs!D110))*10000,"n/a")</f>
        <v>390.1374488616008</v>
      </c>
      <c r="E54" s="35">
        <f>IF(AND(ISNUMBER(E52),ISNUMBER((Inputs!E111/Inputs!E110))),(E52-(Inputs!E111/Inputs!E110))*10000,"n/a")</f>
        <v>225.80957850341838</v>
      </c>
      <c r="F54" s="35">
        <f>IF(AND(ISNUMBER(F52),ISNUMBER((Inputs!F111/Inputs!F110))),(F52-(Inputs!F111/Inputs!F110))*10000,"n/a")</f>
        <v>-85.34466183198086</v>
      </c>
      <c r="G54" s="35">
        <f>IF(AND(ISNUMBER(G52),ISNUMBER((Inputs!G111/Inputs!G110))),(G52-(Inputs!G111/Inputs!G110))*10000,"n/a")</f>
        <v>42.34144799870762</v>
      </c>
      <c r="H54" s="28">
        <f>IF(AND(ISNUMBER(H52),ISNUMBER(C52)),(H52-C52)*10000,"n/a")</f>
        <v>-88.8888888888889</v>
      </c>
      <c r="I54" s="31"/>
      <c r="J54" s="1"/>
      <c r="K54" s="1"/>
      <c r="L54" s="1"/>
      <c r="M54" s="1"/>
    </row>
    <row r="55">
      <c r="A55" s="1"/>
      <c r="B55" s="9" t="s">
        <v>202</v>
      </c>
      <c r="C55" s="17">
        <f>C42-C51</f>
        <v>1364</v>
      </c>
      <c r="D55" s="17">
        <f>D42-D51</f>
        <v>1163</v>
      </c>
      <c r="E55" s="17">
        <f>E42-E51</f>
        <v>1545</v>
      </c>
      <c r="F55" s="17">
        <f>F42-F51</f>
        <v>1980</v>
      </c>
      <c r="G55" s="17">
        <f>G42-G51</f>
        <v>5001</v>
      </c>
      <c r="H55" s="38">
        <f>H42-H51</f>
        <v>2323.48117305</v>
      </c>
      <c r="I55" s="31"/>
      <c r="J55" s="1"/>
      <c r="K55" s="1"/>
      <c r="L55" s="1"/>
      <c r="M55" s="1"/>
    </row>
    <row r="56">
      <c r="A56" s="1"/>
      <c r="B56" s="12" t="s">
        <v>84</v>
      </c>
      <c r="C56" s="13">
        <f>IFERROR(C55/Inputs!C113-1,"n/a")</f>
        <v>0.001468428781204123</v>
      </c>
      <c r="D56" s="13">
        <f>IFERROR(D55/Inputs!D113-1,"n/a")</f>
        <v>-0.03485477178423235</v>
      </c>
      <c r="E56" s="13">
        <f>IFERROR(E55/Inputs!E113-1,"n/a")</f>
        <v>0.3104325699745547</v>
      </c>
      <c r="F56" s="13">
        <f>IFERROR(F55/Inputs!F113-1,"n/a")</f>
        <v>0.528957528957529</v>
      </c>
      <c r="G56" s="13">
        <f>IFERROR(G55/Inputs!G113-1,"n/a")</f>
        <v>0.04209210252135853</v>
      </c>
      <c r="H56" s="16">
        <f>IFERROR(H55/C55-1,"n/a")</f>
        <v>0.7034319450513198</v>
      </c>
      <c r="I56" s="31"/>
      <c r="J56" s="1"/>
      <c r="K56" s="1"/>
      <c r="L56" s="1"/>
      <c r="M56" s="1"/>
    </row>
    <row r="57">
      <c r="A57" s="1"/>
      <c r="B57" s="12" t="s">
        <v>203</v>
      </c>
      <c r="C57" s="4">
        <f>C55/C9</f>
        <v>0.28764234500210883</v>
      </c>
      <c r="D57" s="4">
        <f>D55/D9</f>
        <v>0.2629437033687542</v>
      </c>
      <c r="E57" s="4">
        <f>E55/E9</f>
        <v>0.32020725388601035</v>
      </c>
      <c r="F57" s="4">
        <f>F55/F9</f>
        <v>0.3624382207578254</v>
      </c>
      <c r="G57" s="4">
        <f>G55/G9</f>
        <v>0.2828299966067187</v>
      </c>
      <c r="H57" s="16">
        <f>H55/H9</f>
        <v>0.3855159853544882</v>
      </c>
      <c r="I57" s="31"/>
      <c r="J57" s="1"/>
      <c r="K57" s="1"/>
      <c r="L57" s="1"/>
      <c r="M57" s="1"/>
    </row>
    <row r="58">
      <c r="A58" s="1"/>
      <c r="B58" s="12" t="s">
        <v>127</v>
      </c>
      <c r="C58" s="107">
        <f>IF(AND(ISNUMBER(C57),ISNUMBER((Inputs!F113/Inputs!F98))),(C57-(Inputs!F113/Inputs!F98))*10000,"n/a")</f>
        <v>-34.99741328826411</v>
      </c>
      <c r="D58" s="22">
        <f>IF(AND(ISNUMBER(D57),ISNUMBER(C57)),(D57-C57)*10000,"n/a")</f>
        <v>-246.98641633354612</v>
      </c>
      <c r="E58" s="22">
        <f>IF(AND(ISNUMBER(E57),ISNUMBER(D57)),(E57-D57)*10000,"n/a")</f>
        <v>572.6355051725612</v>
      </c>
      <c r="F58" s="22">
        <f>IF(AND(ISNUMBER(F57),ISNUMBER(E57)),(F57-E57)*10000,"n/a")</f>
        <v>422.3096687181505</v>
      </c>
      <c r="G58" s="22" t="s">
        <v>82</v>
      </c>
      <c r="H58" s="28">
        <f>IF(AND(ISNUMBER(H57),ISNUMBER(F57)),(H57-F57)*10000,"n/a")</f>
        <v>230.7776459666283</v>
      </c>
      <c r="I58" s="31"/>
      <c r="J58" s="1"/>
      <c r="K58" s="1"/>
      <c r="L58" s="1"/>
      <c r="M58" s="1"/>
    </row>
    <row r="59">
      <c r="A59" s="1"/>
      <c r="B59" s="12" t="s">
        <v>128</v>
      </c>
      <c r="C59" s="35">
        <f>IF(AND(ISNUMBER(C57),ISNUMBER((Inputs!C113/Inputs!C98))),(C57-(Inputs!C113/Inputs!C98))*10000,"n/a")</f>
        <v>-404.71362538242903</v>
      </c>
      <c r="D59" s="35">
        <f>IF(AND(ISNUMBER(D57),ISNUMBER((Inputs!D113/Inputs!D98))),(D57-(Inputs!D113/Inputs!D98))*10000,"n/a")</f>
        <v>-377.800300976795</v>
      </c>
      <c r="E59" s="35">
        <f>IF(AND(ISNUMBER(E57),ISNUMBER((Inputs!E113/Inputs!E98))),(E57-(Inputs!E113/Inputs!E98))*10000,"n/a")</f>
        <v>304.55472121449003</v>
      </c>
      <c r="F59" s="35">
        <f>IF(AND(ISNUMBER(F57),ISNUMBER((Inputs!F113/Inputs!F98))),(F57-(Inputs!F113/Inputs!F98))*10000,"n/a")</f>
        <v>712.9613442689015</v>
      </c>
      <c r="G59" s="35">
        <f>IF(AND(ISNUMBER(G57),ISNUMBER((Inputs!G113/Inputs!G98))),(G57-(Inputs!G113/Inputs!G98))*10000,"n/a")</f>
        <v>-239.91817855272214</v>
      </c>
      <c r="H59" s="28">
        <f>IF(AND(ISNUMBER(H57),ISNUMBER(C57)),(H57-C57)*10000,"n/a")</f>
        <v>978.7364035237939</v>
      </c>
      <c r="I59" s="31"/>
      <c r="J59" s="1"/>
      <c r="K59" s="1"/>
      <c r="L59" s="1"/>
      <c r="M59" s="1"/>
    </row>
    <row r="60">
      <c r="A60" s="1"/>
      <c r="B60" s="12" t="s">
        <v>204</v>
      </c>
      <c r="C60" s="4">
        <f>-C63/C55</f>
        <v>0.005865102639296188</v>
      </c>
      <c r="D60" s="4">
        <f>-D63/D55</f>
        <v>0.0060189165950128975</v>
      </c>
      <c r="E60" s="4">
        <f>-E63/E55</f>
        <v>0.005825242718446602</v>
      </c>
      <c r="F60" s="4">
        <f>-F63/F55</f>
        <v>0.005555555555555556</v>
      </c>
      <c r="G60" s="4">
        <f>-G63/G55</f>
        <v>0.005598880223955209</v>
      </c>
      <c r="H60" s="45">
        <v>0.0056</v>
      </c>
      <c r="I60" s="31" t="s">
        <v>205</v>
      </c>
      <c r="J60" s="1"/>
      <c r="K60" s="1"/>
      <c r="L60" s="1"/>
      <c r="M60" s="1"/>
    </row>
    <row r="61">
      <c r="A61" s="1"/>
      <c r="B61" s="12" t="s">
        <v>127</v>
      </c>
      <c r="C61" s="22" t="s">
        <v>82</v>
      </c>
      <c r="D61" s="22">
        <f>IF(AND(ISNUMBER(D60),ISNUMBER(C60)),(D60-C60)*10000,"n/a")</f>
        <v>1.538139557167098</v>
      </c>
      <c r="E61" s="22">
        <f>IF(AND(ISNUMBER(E60),ISNUMBER(D60)),(E60-D60)*10000,"n/a")</f>
        <v>-1.9367387656629536</v>
      </c>
      <c r="F61" s="22">
        <f>IF(AND(ISNUMBER(F60),ISNUMBER(E60)),(F60-E60)*10000,"n/a")</f>
        <v>-2.6968716289104635</v>
      </c>
      <c r="G61" s="22" t="s">
        <v>82</v>
      </c>
      <c r="H61" s="28">
        <f>IF(AND(ISNUMBER(H60),ISNUMBER(F60)),(H60-F60)*10000,"n/a")</f>
        <v>0.44444444444444176</v>
      </c>
      <c r="I61" s="31"/>
      <c r="J61" s="1"/>
      <c r="K61" s="1"/>
      <c r="L61" s="1"/>
      <c r="M61" s="1"/>
    </row>
    <row r="62">
      <c r="A62" s="1"/>
      <c r="B62" s="12" t="s">
        <v>128</v>
      </c>
      <c r="C62" s="22" t="s">
        <v>82</v>
      </c>
      <c r="D62" s="22" t="s">
        <v>82</v>
      </c>
      <c r="E62" s="22" t="s">
        <v>82</v>
      </c>
      <c r="F62" s="22" t="s">
        <v>82</v>
      </c>
      <c r="G62" s="22" t="s">
        <v>82</v>
      </c>
      <c r="H62" s="28">
        <f>IF(AND(ISNUMBER(H60),ISNUMBER(C60)),(H60-C60)*10000,"n/a")</f>
        <v>-2.651026392961877</v>
      </c>
      <c r="I62" s="31"/>
      <c r="J62" s="1"/>
      <c r="K62" s="1"/>
      <c r="L62" s="1"/>
      <c r="M62" s="1"/>
    </row>
    <row r="63">
      <c r="A63" s="1"/>
      <c r="B63" s="1" t="s">
        <v>206</v>
      </c>
      <c r="C63" s="24">
        <v>-8</v>
      </c>
      <c r="D63" s="24">
        <v>-7</v>
      </c>
      <c r="E63" s="24">
        <v>-9</v>
      </c>
      <c r="F63" s="24">
        <v>-11</v>
      </c>
      <c r="G63" s="24">
        <v>-28</v>
      </c>
      <c r="H63" s="41">
        <f>-H55*H60</f>
        <v>-13.01149456908</v>
      </c>
      <c r="I63" s="31"/>
      <c r="J63" s="1"/>
      <c r="K63" s="1"/>
      <c r="L63" s="1"/>
      <c r="M63" s="1"/>
    </row>
    <row r="64">
      <c r="A64" s="1"/>
      <c r="B64" s="9" t="s">
        <v>207</v>
      </c>
      <c r="C64" s="17">
        <f>C55+C63</f>
        <v>1356</v>
      </c>
      <c r="D64" s="17">
        <f>D55+D63</f>
        <v>1156</v>
      </c>
      <c r="E64" s="17">
        <f>E55+E63</f>
        <v>1536</v>
      </c>
      <c r="F64" s="17">
        <f>F55+F63</f>
        <v>1969</v>
      </c>
      <c r="G64" s="17">
        <f>G55+G63</f>
        <v>4973</v>
      </c>
      <c r="H64" s="38">
        <f>H55+H63</f>
        <v>2310.4696784809203</v>
      </c>
      <c r="I64" s="31"/>
      <c r="J64" s="1"/>
      <c r="K64" s="1"/>
      <c r="L64" s="1"/>
      <c r="M64" s="1"/>
    </row>
    <row r="65">
      <c r="A65" s="1"/>
      <c r="B65" s="1" t="s">
        <v>208</v>
      </c>
      <c r="C65" s="32">
        <f>'Share Count'!C25</f>
        <v>909</v>
      </c>
      <c r="D65" s="32">
        <f>'Share Count'!D25</f>
        <v>907</v>
      </c>
      <c r="E65" s="32">
        <f>'Share Count'!E25</f>
        <v>909</v>
      </c>
      <c r="F65" s="32">
        <f>'Share Count'!F25</f>
        <v>912</v>
      </c>
      <c r="G65" s="32">
        <f>'Share Count'!G25</f>
        <v>909</v>
      </c>
      <c r="H65" s="56">
        <f>'Share Count'!H25</f>
        <v>913.4038461538462</v>
      </c>
      <c r="I65" s="31"/>
      <c r="J65" s="1"/>
      <c r="K65" s="1"/>
      <c r="L65" s="1"/>
      <c r="M65" s="1"/>
    </row>
    <row r="66">
      <c r="A66" s="1"/>
      <c r="B66" s="1" t="s">
        <v>209</v>
      </c>
      <c r="C66" s="32">
        <f>'Share Count'!C30</f>
        <v>914</v>
      </c>
      <c r="D66" s="32">
        <f>'Share Count'!D30</f>
        <v>911</v>
      </c>
      <c r="E66" s="32">
        <f>'Share Count'!E30</f>
        <v>914</v>
      </c>
      <c r="F66" s="32">
        <f>'Share Count'!F30</f>
        <v>920</v>
      </c>
      <c r="G66" s="32">
        <f>'Share Count'!G30</f>
        <v>913</v>
      </c>
      <c r="H66" s="56">
        <f>'Share Count'!H30</f>
        <v>921.4038461538462</v>
      </c>
      <c r="I66" s="31"/>
      <c r="J66" s="1"/>
      <c r="K66" s="1"/>
      <c r="L66" s="1"/>
      <c r="M66" s="1"/>
    </row>
    <row r="67">
      <c r="A67" s="1"/>
      <c r="B67" s="1" t="s">
        <v>210</v>
      </c>
      <c r="C67" s="97">
        <f>C64/C65</f>
        <v>1.4917491749174918</v>
      </c>
      <c r="D67" s="97">
        <f>D64/D65</f>
        <v>1.2745314222712238</v>
      </c>
      <c r="E67" s="97">
        <f>E64/E65</f>
        <v>1.6897689768976898</v>
      </c>
      <c r="F67" s="97">
        <f>F64/F65</f>
        <v>2.1589912280701755</v>
      </c>
      <c r="G67" s="97">
        <f>G64/G65</f>
        <v>5.4708470847084705</v>
      </c>
      <c r="H67" s="101">
        <f>H64/H65</f>
        <v>2.5295160385078606</v>
      </c>
      <c r="I67" s="31"/>
      <c r="J67" s="1"/>
      <c r="K67" s="1"/>
      <c r="L67" s="1"/>
      <c r="M67" s="1"/>
    </row>
    <row r="68">
      <c r="A68" s="1"/>
      <c r="B68" s="9" t="s">
        <v>211</v>
      </c>
      <c r="C68" s="116">
        <f>C64/C66</f>
        <v>1.4835886214442013</v>
      </c>
      <c r="D68" s="116">
        <f>D64/D66</f>
        <v>1.2689352360043908</v>
      </c>
      <c r="E68" s="116">
        <f>E64/E66</f>
        <v>1.6805251641137855</v>
      </c>
      <c r="F68" s="116">
        <f>F64/F66</f>
        <v>2.140217391304348</v>
      </c>
      <c r="G68" s="116">
        <f>G64/G66</f>
        <v>5.446878422782037</v>
      </c>
      <c r="H68" s="114">
        <f>H64/H66</f>
        <v>2.507553759543503</v>
      </c>
      <c r="I68" s="31"/>
      <c r="J68" s="1"/>
      <c r="K68" s="1"/>
      <c r="L68" s="1"/>
      <c r="M68" s="1"/>
    </row>
    <row r="69">
      <c r="A69" s="1"/>
      <c r="B69" s="12" t="s">
        <v>84</v>
      </c>
      <c r="C69" s="13">
        <f>IFERROR(C68/Inputs!C114-1,"n/a")</f>
        <v>0.009243960166123388</v>
      </c>
      <c r="D69" s="13">
        <f>IFERROR(D68/Inputs!D114-1,"n/a")</f>
        <v>-0.023895972304314728</v>
      </c>
      <c r="E69" s="13">
        <f>IFERROR(E68/Inputs!E114-1,"n/a")</f>
        <v>0.3129102844638949</v>
      </c>
      <c r="F69" s="13">
        <f>IFERROR(F68/Inputs!F114-1,"n/a")</f>
        <v>0.5178846746839347</v>
      </c>
      <c r="G69" s="13">
        <f>IFERROR(G68/Inputs!G114-1,"n/a")</f>
        <v>0.04747661976577633</v>
      </c>
      <c r="H69" s="16">
        <f>IFERROR(H68/C68-1,"n/a")</f>
        <v>0.6901947907247505</v>
      </c>
      <c r="I69" s="31"/>
      <c r="J69" s="1"/>
      <c r="K69" s="1"/>
      <c r="L69" s="1"/>
      <c r="M69" s="1"/>
    </row>
    <row r="70">
      <c r="A70" s="1"/>
      <c r="B70" s="1" t="s">
        <v>212</v>
      </c>
      <c r="C70" s="100">
        <v>1.48</v>
      </c>
      <c r="D70" s="100">
        <v>1.27</v>
      </c>
      <c r="E70" s="100">
        <v>1.68</v>
      </c>
      <c r="F70" s="100">
        <v>2.14</v>
      </c>
      <c r="G70" s="100">
        <v>5.45</v>
      </c>
      <c r="H70" s="101"/>
      <c r="I70" s="31"/>
      <c r="J70" s="1"/>
      <c r="K70" s="1"/>
      <c r="L70" s="1"/>
      <c r="M70" s="1"/>
    </row>
    <row r="71">
      <c r="A71" s="1"/>
      <c r="B71" s="1" t="s">
        <v>213</v>
      </c>
      <c r="C71" s="97">
        <f>ROUND(C68,2)-C70</f>
        <v>0</v>
      </c>
      <c r="D71" s="97">
        <f>ROUND(D68,2)-D70</f>
        <v>0</v>
      </c>
      <c r="E71" s="97">
        <f>ROUND(E68,2)-E70</f>
        <v>0</v>
      </c>
      <c r="F71" s="97">
        <f>ROUND(F68,2)-F70</f>
        <v>0</v>
      </c>
      <c r="G71" s="97">
        <f>ROUND(G68,2)-G70</f>
        <v>0</v>
      </c>
      <c r="H71" s="101"/>
      <c r="I71" s="31"/>
      <c r="J71" s="1"/>
      <c r="K71" s="1"/>
      <c r="L71" s="1"/>
      <c r="M71" s="1"/>
    </row>
    <row r="72">
      <c r="A72" s="1"/>
      <c r="B72" s="1" t="s">
        <v>214</v>
      </c>
      <c r="C72" s="15">
        <f>C68*C66-C64</f>
        <v>0</v>
      </c>
      <c r="D72" s="15">
        <f>D68*D66-D64</f>
        <v>0</v>
      </c>
      <c r="E72" s="15">
        <f>E68*E66-E64</f>
        <v>0</v>
      </c>
      <c r="F72" s="15">
        <f>F68*F66-F64</f>
        <v>0</v>
      </c>
      <c r="G72" s="15">
        <f>G68*G66-G64</f>
        <v>0</v>
      </c>
      <c r="H72" s="41">
        <f>H68*H66-H64</f>
        <v>0</v>
      </c>
      <c r="I72" s="31"/>
      <c r="J72" s="1"/>
      <c r="K72" s="1"/>
      <c r="L72" s="1"/>
      <c r="M72" s="1"/>
    </row>
    <row r="73">
      <c r="A73" s="1"/>
      <c r="B73" s="1"/>
      <c r="C73" s="1"/>
      <c r="D73" s="1"/>
      <c r="E73" s="1"/>
      <c r="F73" s="1"/>
      <c r="G73" s="1"/>
      <c r="H73" s="51"/>
      <c r="I73" s="31"/>
      <c r="J73" s="1"/>
      <c r="K73" s="1"/>
      <c r="L73" s="1"/>
      <c r="M73" s="1"/>
    </row>
    <row r="74">
      <c r="A74" s="1"/>
      <c r="B74" s="25" t="s">
        <v>215</v>
      </c>
      <c r="C74" s="1"/>
      <c r="D74" s="1"/>
      <c r="E74" s="1"/>
      <c r="F74" s="1"/>
      <c r="G74" s="1"/>
      <c r="H74" s="51"/>
      <c r="I74" s="31"/>
      <c r="J74" s="1"/>
      <c r="K74" s="1"/>
      <c r="L74" s="1"/>
      <c r="M74" s="1"/>
    </row>
    <row r="75">
      <c r="A75" s="1"/>
      <c r="B75" s="1" t="s">
        <v>216</v>
      </c>
      <c r="C75" s="15">
        <f>C55</f>
        <v>1364</v>
      </c>
      <c r="D75" s="15">
        <f>D55</f>
        <v>1163</v>
      </c>
      <c r="E75" s="15">
        <f>E55</f>
        <v>1545</v>
      </c>
      <c r="F75" s="15">
        <f>F55</f>
        <v>1980</v>
      </c>
      <c r="G75" s="15">
        <f>G55</f>
        <v>5001</v>
      </c>
      <c r="H75" s="41">
        <f>H55</f>
        <v>2323.48117305</v>
      </c>
      <c r="I75" s="31" t="s">
        <v>217</v>
      </c>
      <c r="J75" s="1"/>
      <c r="K75" s="1"/>
      <c r="L75" s="1"/>
      <c r="M75" s="1"/>
    </row>
    <row r="76">
      <c r="A76" s="1"/>
      <c r="B76" s="1" t="s">
        <v>218</v>
      </c>
      <c r="C76" s="15">
        <f>C32</f>
        <v>85</v>
      </c>
      <c r="D76" s="15">
        <f>D32</f>
        <v>32</v>
      </c>
      <c r="E76" s="15">
        <f>E32</f>
        <v>0</v>
      </c>
      <c r="F76" s="15">
        <f>F32</f>
        <v>0</v>
      </c>
      <c r="G76" s="15">
        <f>G32</f>
        <v>117</v>
      </c>
      <c r="H76" s="41">
        <f>H32</f>
        <v>0</v>
      </c>
      <c r="I76" s="31"/>
      <c r="J76" s="1"/>
      <c r="K76" s="1"/>
      <c r="L76" s="1"/>
      <c r="M76" s="1"/>
    </row>
    <row r="77">
      <c r="A77" s="1"/>
      <c r="B77" s="1" t="s">
        <v>219</v>
      </c>
      <c r="C77" s="15">
        <f>C33</f>
        <v>0</v>
      </c>
      <c r="D77" s="15">
        <f>D33</f>
        <v>0</v>
      </c>
      <c r="E77" s="15">
        <f>E33</f>
        <v>17</v>
      </c>
      <c r="F77" s="15">
        <f>F33</f>
        <v>17</v>
      </c>
      <c r="G77" s="15">
        <f>G33</f>
        <v>0</v>
      </c>
      <c r="H77" s="41">
        <f>H33</f>
        <v>17</v>
      </c>
      <c r="I77" s="31"/>
      <c r="J77" s="1"/>
      <c r="K77" s="1"/>
      <c r="L77" s="1"/>
      <c r="M77" s="1"/>
    </row>
    <row r="78">
      <c r="A78" s="1"/>
      <c r="B78" s="12" t="s">
        <v>220</v>
      </c>
      <c r="C78" s="40">
        <v>0</v>
      </c>
      <c r="D78" s="40">
        <v>0</v>
      </c>
      <c r="E78" s="40">
        <v>0</v>
      </c>
      <c r="F78" s="40">
        <v>0</v>
      </c>
      <c r="G78" s="40">
        <v>0</v>
      </c>
      <c r="H78" s="45">
        <v>0</v>
      </c>
      <c r="I78" s="129" t="str">
        <f>"0% retained: original FORECAST normalization judgment, unresolved (no frozen issuer/CapIQ evidence of the deductible treatment). At 0%, 3Q25 reconstructs at "&amp;TEXT(C83,"$0.0000")&amp;" vs CapIQ "&amp;TEXT(C85,"$0.00")&amp;"; 4Q25-2Q26 round to the provider figures. Rounded history permits a tax effect of "&amp;TEXT(H96,"0.0%")&amp;"-"&amp;TEXT(H97,"0.0%")&amp;" (H96:H97), not a uniquely known future rate. At the 13% ETR: 3Q26E "&amp;TEXT(H98,"$0.0000")&amp;" ("&amp;TEXT(H99,"+$0.0000;-$0.0000")&amp;"); rows 94-101."</f>
        <v>0% retained: original FORECAST normalization judgment, unresolved (no frozen issuer/CapIQ evidence of the deductible treatment). At 0%, 3Q25 reconstructs at $1.5853 vs CapIQ $1.57; 4Q25-2Q26 round to the provider figures. Rounded history permits a tax effect of 11.1%-19.2% (H96:H97), not a uniquely known future rate. At the 13% ETR: 3Q26E $2.5377 (-$0.0024); rows 94-101.</v>
      </c>
      <c r="J78" s="1"/>
      <c r="K78" s="1"/>
      <c r="L78" s="1"/>
      <c r="M78" s="1"/>
    </row>
    <row r="79">
      <c r="A79" s="1"/>
      <c r="B79" s="12" t="s">
        <v>98</v>
      </c>
      <c r="C79" s="22" t="s">
        <v>82</v>
      </c>
      <c r="D79" s="22">
        <f>IF(AND(ISNUMBER(D78),ISNUMBER(C78)),(D78-C78)*10000,"n/a")</f>
        <v>0</v>
      </c>
      <c r="E79" s="22">
        <f>IF(AND(ISNUMBER(E78),ISNUMBER(D78)),(E78-D78)*10000,"n/a")</f>
        <v>0</v>
      </c>
      <c r="F79" s="22">
        <f>IF(AND(ISNUMBER(F78),ISNUMBER(E78)),(F78-E78)*10000,"n/a")</f>
        <v>0</v>
      </c>
      <c r="G79" s="22" t="s">
        <v>82</v>
      </c>
      <c r="H79" s="28">
        <f>IF(AND(ISNUMBER(H78),ISNUMBER(F78)),(H78-F78)*10000,"n/a")</f>
        <v>0</v>
      </c>
      <c r="I79" s="31"/>
      <c r="J79" s="1"/>
      <c r="K79" s="1"/>
      <c r="L79" s="1"/>
      <c r="M79" s="1"/>
    </row>
    <row r="80">
      <c r="A80" s="1"/>
      <c r="B80" s="12" t="s">
        <v>100</v>
      </c>
      <c r="C80" s="22" t="s">
        <v>82</v>
      </c>
      <c r="D80" s="22" t="s">
        <v>82</v>
      </c>
      <c r="E80" s="22" t="s">
        <v>82</v>
      </c>
      <c r="F80" s="22" t="s">
        <v>82</v>
      </c>
      <c r="G80" s="22" t="s">
        <v>82</v>
      </c>
      <c r="H80" s="28">
        <f>IF(AND(ISNUMBER(H78),ISNUMBER(C78)),(H78-C78)*10000,"n/a")</f>
        <v>0</v>
      </c>
      <c r="I80" s="31"/>
      <c r="J80" s="1"/>
      <c r="K80" s="1"/>
      <c r="L80" s="1"/>
      <c r="M80" s="1"/>
    </row>
    <row r="81">
      <c r="A81" s="1"/>
      <c r="B81" s="1" t="s">
        <v>221</v>
      </c>
      <c r="C81" s="15">
        <f>-(C76+C77)*C78</f>
        <v>0</v>
      </c>
      <c r="D81" s="15">
        <f>-(D76+D77)*D78</f>
        <v>0</v>
      </c>
      <c r="E81" s="15">
        <f>-(E76+E77)*E78</f>
        <v>0</v>
      </c>
      <c r="F81" s="15">
        <f>-(F76+F77)*F78</f>
        <v>0</v>
      </c>
      <c r="G81" s="15">
        <f>-(G76+G77)*G78</f>
        <v>0</v>
      </c>
      <c r="H81" s="41">
        <f>-(H76+H77)*H78</f>
        <v>0</v>
      </c>
      <c r="I81" s="31"/>
      <c r="J81" s="1"/>
      <c r="K81" s="1"/>
      <c r="L81" s="1"/>
      <c r="M81" s="1"/>
    </row>
    <row r="82">
      <c r="A82" s="1"/>
      <c r="B82" s="9" t="s">
        <v>222</v>
      </c>
      <c r="C82" s="17">
        <f>SUM(C75:C77)+C81</f>
        <v>1449</v>
      </c>
      <c r="D82" s="17">
        <f>SUM(D75:D77)+D81</f>
        <v>1195</v>
      </c>
      <c r="E82" s="17">
        <f>SUM(E75:E77)+E81</f>
        <v>1562</v>
      </c>
      <c r="F82" s="17">
        <f>SUM(F75:F77)+F81</f>
        <v>1997</v>
      </c>
      <c r="G82" s="17">
        <f>SUM(G75:G77)+G81</f>
        <v>5118</v>
      </c>
      <c r="H82" s="38">
        <f>SUM(H75:H77)+H81</f>
        <v>2340.48117305</v>
      </c>
      <c r="I82" s="31"/>
      <c r="J82" s="1"/>
      <c r="K82" s="1"/>
      <c r="L82" s="1"/>
      <c r="M82" s="1"/>
    </row>
    <row r="83">
      <c r="A83" s="1"/>
      <c r="B83" s="9" t="s">
        <v>223</v>
      </c>
      <c r="C83" s="115">
        <f>C82/C66</f>
        <v>1.5853391684901532</v>
      </c>
      <c r="D83" s="115">
        <f>D82/D66</f>
        <v>1.3117453347969266</v>
      </c>
      <c r="E83" s="115">
        <f>E82/E66</f>
        <v>1.7089715536105032</v>
      </c>
      <c r="F83" s="115">
        <f>F82/F66</f>
        <v>2.1706521739130435</v>
      </c>
      <c r="G83" s="115">
        <f>G82/G66</f>
        <v>5.605695509309967</v>
      </c>
      <c r="H83" s="117">
        <f>H82/H66</f>
        <v>2.540125247815833</v>
      </c>
      <c r="I83" s="31"/>
      <c r="J83" s="1"/>
      <c r="K83" s="1"/>
      <c r="L83" s="1"/>
      <c r="M83" s="1"/>
    </row>
    <row r="84">
      <c r="A84" s="1"/>
      <c r="B84" s="12" t="s">
        <v>84</v>
      </c>
      <c r="C84" s="105" t="s">
        <v>82</v>
      </c>
      <c r="D84" s="105" t="s">
        <v>82</v>
      </c>
      <c r="E84" s="105" t="s">
        <v>82</v>
      </c>
      <c r="F84" s="105" t="s">
        <v>82</v>
      </c>
      <c r="G84" s="105" t="s">
        <v>82</v>
      </c>
      <c r="H84" s="16">
        <f>IFERROR(H83/C83-1,"n/a")</f>
        <v>0.6022598181529821</v>
      </c>
      <c r="I84" s="31" t="s">
        <v>224</v>
      </c>
      <c r="J84" s="1"/>
      <c r="K84" s="1"/>
      <c r="L84" s="1"/>
      <c r="M84" s="1"/>
    </row>
    <row r="85">
      <c r="A85" s="1"/>
      <c r="B85" s="1" t="s">
        <v>225</v>
      </c>
      <c r="C85" s="94">
        <f>Inputs!E91</f>
        <v>1.57</v>
      </c>
      <c r="D85" s="94">
        <f>Inputs!E92</f>
        <v>1.31</v>
      </c>
      <c r="E85" s="94">
        <f>Inputs!E93</f>
        <v>1.71</v>
      </c>
      <c r="F85" s="94">
        <f>Inputs!E94</f>
        <v>2.17</v>
      </c>
      <c r="G85" s="97"/>
      <c r="H85" s="101"/>
      <c r="I85" s="31"/>
      <c r="J85" s="1"/>
      <c r="K85" s="1"/>
      <c r="L85" s="1"/>
      <c r="M85" s="1"/>
    </row>
    <row r="86">
      <c r="A86" s="1"/>
      <c r="B86" s="1" t="s">
        <v>226</v>
      </c>
      <c r="C86" s="97">
        <f>C83-C85</f>
        <v>0.015339168490153154</v>
      </c>
      <c r="D86" s="97">
        <f>D83-D85</f>
        <v>0.001745334796926512</v>
      </c>
      <c r="E86" s="97">
        <f>E83-E85</f>
        <v>-0.0010284463894967288</v>
      </c>
      <c r="F86" s="97">
        <f>F83-F85</f>
        <v>0.0006521739130436188</v>
      </c>
      <c r="G86" s="97"/>
      <c r="H86" s="101"/>
      <c r="I86" s="31"/>
      <c r="J86" s="1"/>
      <c r="K86" s="1"/>
      <c r="L86" s="1"/>
      <c r="M86" s="1"/>
    </row>
    <row r="87">
      <c r="A87" s="1"/>
      <c r="B87" s="1" t="s">
        <v>227</v>
      </c>
      <c r="C87" s="97">
        <f>(C64+(C76+C77)*(1-C78))/C66</f>
        <v>1.5765864332603938</v>
      </c>
      <c r="D87" s="97">
        <f>(D64+(D76+D77)*(1-D78))/D66</f>
        <v>1.3040614709110867</v>
      </c>
      <c r="E87" s="97">
        <f>(E64+(E76+E77)*(1-E78))/E66</f>
        <v>1.6991247264770242</v>
      </c>
      <c r="F87" s="97">
        <f>(F64+(F76+F77)*(1-F78))/F66</f>
        <v>2.158695652173913</v>
      </c>
      <c r="G87" s="97">
        <f>(G64+(G76+G77)*(1-G78))/G66</f>
        <v>5.575027382256298</v>
      </c>
      <c r="H87" s="101">
        <f>(H64+(H76+H77)*(1-H78))/H66</f>
        <v>2.526003867029989</v>
      </c>
      <c r="I87" s="31" t="s">
        <v>228</v>
      </c>
      <c r="J87" s="1"/>
      <c r="K87" s="1"/>
      <c r="L87" s="1"/>
      <c r="M87" s="1"/>
    </row>
    <row r="88">
      <c r="A88" s="1"/>
      <c r="B88" s="1"/>
      <c r="C88" s="1"/>
      <c r="D88" s="1"/>
      <c r="E88" s="1"/>
      <c r="F88" s="1"/>
      <c r="G88" s="1"/>
      <c r="H88" s="51"/>
      <c r="I88" s="31"/>
      <c r="J88" s="1"/>
      <c r="K88" s="1"/>
      <c r="L88" s="1"/>
      <c r="M88" s="1"/>
    </row>
    <row r="89">
      <c r="A89" s="1"/>
      <c r="B89" s="25" t="s">
        <v>229</v>
      </c>
      <c r="C89" s="1"/>
      <c r="D89" s="1"/>
      <c r="E89" s="1"/>
      <c r="F89" s="1"/>
      <c r="G89" s="1"/>
      <c r="H89" s="51"/>
      <c r="I89" s="31"/>
      <c r="J89" s="1"/>
      <c r="K89" s="1"/>
      <c r="L89" s="1"/>
      <c r="M89" s="1"/>
    </row>
    <row r="90">
      <c r="A90" s="1"/>
      <c r="B90" s="1" t="s">
        <v>230</v>
      </c>
      <c r="C90" s="15"/>
      <c r="D90" s="15"/>
      <c r="E90" s="15"/>
      <c r="F90" s="15"/>
      <c r="G90" s="32">
        <f>Inputs!H98+C9+D9-G9</f>
        <v>0</v>
      </c>
      <c r="H90" s="41"/>
      <c r="I90" s="31"/>
      <c r="J90" s="1"/>
      <c r="K90" s="1"/>
      <c r="L90" s="1"/>
      <c r="M90" s="1"/>
    </row>
    <row r="91">
      <c r="A91" s="1"/>
      <c r="B91" s="1" t="s">
        <v>231</v>
      </c>
      <c r="C91" s="15"/>
      <c r="D91" s="15"/>
      <c r="E91" s="15"/>
      <c r="F91" s="15"/>
      <c r="G91" s="32">
        <f>Inputs!H107+C34+D34-G34</f>
        <v>0</v>
      </c>
      <c r="H91" s="41"/>
      <c r="I91" s="31"/>
      <c r="J91" s="1"/>
      <c r="K91" s="1"/>
      <c r="L91" s="1"/>
      <c r="M91" s="1"/>
    </row>
    <row r="92">
      <c r="A92" s="1"/>
      <c r="B92" s="1" t="s">
        <v>232</v>
      </c>
      <c r="C92" s="15"/>
      <c r="D92" s="15"/>
      <c r="E92" s="15"/>
      <c r="F92" s="15"/>
      <c r="G92" s="32">
        <f>Inputs!H113+C55+D55-G55</f>
        <v>0</v>
      </c>
      <c r="H92" s="41"/>
      <c r="I92" s="31"/>
      <c r="J92" s="1"/>
      <c r="K92" s="1"/>
      <c r="L92" s="1"/>
      <c r="M92" s="1"/>
    </row>
    <row r="93">
      <c r="A93" s="1"/>
      <c r="B93" s="1"/>
      <c r="C93" s="1"/>
      <c r="D93" s="1"/>
      <c r="E93" s="1"/>
      <c r="F93" s="1"/>
      <c r="G93" s="1"/>
      <c r="H93" s="51"/>
      <c r="I93" s="31"/>
      <c r="J93" s="1"/>
      <c r="K93" s="1"/>
      <c r="L93" s="1"/>
      <c r="M93" s="1"/>
    </row>
    <row r="94">
      <c r="A94" s="1"/>
      <c r="B94" s="130" t="s">
        <v>233</v>
      </c>
      <c r="C94" s="119"/>
      <c r="D94" s="119"/>
      <c r="E94" s="119"/>
      <c r="F94" s="119"/>
      <c r="G94" s="119"/>
      <c r="H94" s="119"/>
      <c r="I94" s="119"/>
      <c r="J94" s="1"/>
      <c r="K94" s="1"/>
      <c r="L94" s="1"/>
      <c r="M94" s="1"/>
    </row>
    <row r="95">
      <c r="A95" s="1"/>
      <c r="B95" s="119" t="s">
        <v>234</v>
      </c>
      <c r="C95" s="122">
        <v>0.005</v>
      </c>
      <c r="D95" s="127">
        <f>C95</f>
        <v>0.005</v>
      </c>
      <c r="E95" s="127">
        <f>D95</f>
        <v>0.005</v>
      </c>
      <c r="F95" s="127">
        <f>E95</f>
        <v>0.005</v>
      </c>
      <c r="G95" s="119"/>
      <c r="H95" s="132"/>
      <c r="I95" s="123" t="s">
        <v>235</v>
      </c>
      <c r="J95" s="1"/>
      <c r="K95" s="1"/>
      <c r="L95" s="1"/>
      <c r="M95" s="1"/>
    </row>
    <row r="96">
      <c r="A96" s="1"/>
      <c r="B96" s="131" t="s">
        <v>236</v>
      </c>
      <c r="C96" s="125">
        <f>IFERROR(1-((C85+C95)*C66-C75)/(C76+C77),"n/a")</f>
        <v>0.11117647058823588</v>
      </c>
      <c r="D96" s="125">
        <f>IFERROR(1-((D85+D95)*D66-D75)/(D76+D77),"n/a")</f>
        <v>-0.09265624999999744</v>
      </c>
      <c r="E96" s="125">
        <f>IFERROR(1-((E85+E95)*E66-E75)/(E76+E77),"n/a")</f>
        <v>-0.32411764705880963</v>
      </c>
      <c r="F96" s="125">
        <f>IFERROR(1-((F85+F95)*F66-F75)/(F76+F77),"n/a")</f>
        <v>-0.23529411764704555</v>
      </c>
      <c r="G96" s="119"/>
      <c r="H96" s="128">
        <f>MAX(C96:F96)</f>
        <v>0.11117647058823588</v>
      </c>
      <c r="I96" s="123" t="s">
        <v>237</v>
      </c>
      <c r="J96" s="1"/>
      <c r="K96" s="1"/>
      <c r="L96" s="1"/>
      <c r="M96" s="1"/>
    </row>
    <row r="97">
      <c r="A97" s="1"/>
      <c r="B97" s="131" t="s">
        <v>238</v>
      </c>
      <c r="C97" s="125">
        <f>IFERROR(1-((C85-C95)*C66-C75)/(C76+C77),"n/a")</f>
        <v>0.2187058823529402</v>
      </c>
      <c r="D97" s="125">
        <f>IFERROR(1-((D85-D95)*D66-D75)/(D76+D77),"n/a")</f>
        <v>0.19203124999999233</v>
      </c>
      <c r="E97" s="125">
        <f>IFERROR(1-((E85-E95)*E66-E75)/(E76+E77),"n/a")</f>
        <v>0.21352941176469897</v>
      </c>
      <c r="F97" s="125">
        <f>IFERROR(1-((F85-F95)*F66-F75)/(F76+F77),"n/a")</f>
        <v>0.30588235294117916</v>
      </c>
      <c r="G97" s="119"/>
      <c r="H97" s="128">
        <f>MIN(C97:F97)</f>
        <v>0.19203124999999233</v>
      </c>
      <c r="I97" s="123"/>
      <c r="J97" s="1"/>
      <c r="K97" s="1"/>
      <c r="L97" s="1"/>
      <c r="M97" s="1"/>
    </row>
    <row r="98">
      <c r="A98" s="1"/>
      <c r="B98" s="119" t="s">
        <v>239</v>
      </c>
      <c r="C98" s="119"/>
      <c r="D98" s="119"/>
      <c r="E98" s="119"/>
      <c r="F98" s="119"/>
      <c r="G98" s="119"/>
      <c r="H98" s="133">
        <f>(H75+(H76+H77)*(1-H46))/H66</f>
        <v>2.5377267338425895</v>
      </c>
      <c r="I98" s="123" t="s">
        <v>240</v>
      </c>
      <c r="J98" s="1"/>
      <c r="K98" s="1"/>
      <c r="L98" s="1"/>
      <c r="M98" s="1"/>
    </row>
    <row r="99">
      <c r="B99" s="121" t="s">
        <v>241</v>
      </c>
      <c r="C99" s="121"/>
      <c r="D99" s="121"/>
      <c r="E99" s="121"/>
      <c r="F99" s="121"/>
      <c r="G99" s="121"/>
      <c r="H99" s="124">
        <f>H98-H83</f>
        <v>-0.0023985139732434213</v>
      </c>
      <c r="I99" s="126" t="s">
        <v>242</v>
      </c>
    </row>
    <row r="100">
      <c r="B100" s="121" t="s">
        <v>243</v>
      </c>
      <c r="C100" s="121"/>
      <c r="D100" s="121"/>
      <c r="E100" s="121"/>
      <c r="F100" s="121"/>
      <c r="G100" s="121"/>
      <c r="H100" s="124">
        <f>(H75+(H76+H77)*(1-H96))/H66-H83</f>
        <v>-0.002051217832320873</v>
      </c>
      <c r="I100" s="126"/>
    </row>
    <row r="101">
      <c r="B101" s="121" t="s">
        <v>244</v>
      </c>
      <c r="C101" s="121"/>
      <c r="D101" s="121"/>
      <c r="E101" s="121"/>
      <c r="F101" s="121"/>
      <c r="G101" s="121"/>
      <c r="H101" s="124">
        <f>(H75+(H76+H77)*(1-H97))/H66-H83</f>
        <v>-0.003542997203264342</v>
      </c>
      <c r="I101" s="126"/>
    </row>
  </sheetData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M80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8" width="12" customWidth="1"/>
    <col min="9" max="9" width="6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>
      <c r="A2" s="1"/>
      <c r="B2" s="47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>
      <c r="A3" s="1"/>
      <c r="B3" s="9" t="s">
        <v>245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>
      <c r="A4" s="1"/>
      <c r="B4" s="12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>
      <c r="A5" s="1"/>
      <c r="B5" s="23" t="s">
        <v>3</v>
      </c>
      <c r="C5" s="27" t="s">
        <v>74</v>
      </c>
      <c r="D5" s="27" t="s">
        <v>75</v>
      </c>
      <c r="E5" s="27" t="s">
        <v>76</v>
      </c>
      <c r="F5" s="27" t="s">
        <v>77</v>
      </c>
      <c r="G5" s="27" t="s">
        <v>78</v>
      </c>
      <c r="H5" s="66" t="s">
        <v>4</v>
      </c>
      <c r="I5" s="49" t="s">
        <v>32</v>
      </c>
      <c r="J5" s="1"/>
      <c r="K5" s="1"/>
      <c r="L5" s="1"/>
      <c r="M5" s="1"/>
    </row>
    <row r="6">
      <c r="A6" s="1"/>
      <c r="B6" s="29" t="s">
        <v>5</v>
      </c>
      <c r="C6" s="39">
        <f>DATE(2025,9,30)</f>
        <v>45930</v>
      </c>
      <c r="D6" s="39">
        <f>DATE(2025,12,31)</f>
        <v>46022</v>
      </c>
      <c r="E6" s="39">
        <f>DATE(2026,3,31)</f>
        <v>46112</v>
      </c>
      <c r="F6" s="39">
        <f>DATE(2026,6,30)</f>
        <v>46203</v>
      </c>
      <c r="G6" s="39">
        <f>DATE(2025,12,31)</f>
        <v>46022</v>
      </c>
      <c r="H6" s="64">
        <f>DATE(2026,9,30)</f>
        <v>46295</v>
      </c>
      <c r="I6" s="29"/>
      <c r="J6" s="1"/>
      <c r="K6" s="1"/>
      <c r="L6" s="1"/>
      <c r="M6" s="1"/>
    </row>
    <row r="7">
      <c r="A7" s="1"/>
      <c r="B7" s="18" t="s">
        <v>6</v>
      </c>
      <c r="C7" s="42">
        <f>C6-EOMONTH(C6,-3)</f>
        <v>92</v>
      </c>
      <c r="D7" s="42">
        <f>D6-EOMONTH(D6,-3)</f>
        <v>92</v>
      </c>
      <c r="E7" s="42">
        <f>E6-EOMONTH(E6,-3)</f>
        <v>90</v>
      </c>
      <c r="F7" s="42">
        <f>F6-EOMONTH(F6,-3)</f>
        <v>91</v>
      </c>
      <c r="G7" s="42">
        <f>G6-EOMONTH(G6,-12)</f>
        <v>365</v>
      </c>
      <c r="H7" s="55">
        <f>H6-EOMONTH(H6,-3)</f>
        <v>92</v>
      </c>
      <c r="I7" s="18"/>
      <c r="J7" s="1"/>
      <c r="K7" s="1"/>
      <c r="L7" s="1"/>
      <c r="M7" s="1"/>
    </row>
    <row r="8">
      <c r="A8" s="1"/>
      <c r="B8" s="1"/>
      <c r="C8" s="1"/>
      <c r="D8" s="1"/>
      <c r="E8" s="1"/>
      <c r="F8" s="1"/>
      <c r="G8" s="1"/>
      <c r="H8" s="51"/>
      <c r="I8" s="1"/>
      <c r="J8" s="1"/>
      <c r="K8" s="1"/>
      <c r="L8" s="1"/>
      <c r="M8" s="1"/>
    </row>
    <row r="9">
      <c r="A9" s="1"/>
      <c r="B9" s="25" t="s">
        <v>246</v>
      </c>
      <c r="C9" s="1"/>
      <c r="D9" s="1"/>
      <c r="E9" s="1"/>
      <c r="F9" s="1"/>
      <c r="G9" s="1"/>
      <c r="H9" s="51"/>
      <c r="I9" s="31"/>
      <c r="J9" s="1"/>
      <c r="K9" s="1"/>
      <c r="L9" s="1"/>
      <c r="M9" s="1"/>
    </row>
    <row r="10">
      <c r="A10" s="1"/>
      <c r="B10" s="1" t="s">
        <v>247</v>
      </c>
      <c r="C10" s="24">
        <v>3311</v>
      </c>
      <c r="D10" s="24">
        <v>3225</v>
      </c>
      <c r="E10" s="24">
        <v>3549</v>
      </c>
      <c r="F10" s="24">
        <v>3660</v>
      </c>
      <c r="G10" s="15">
        <f>D10</f>
        <v>3225</v>
      </c>
      <c r="H10" s="56">
        <f>'Cash Flow Statement'!H50</f>
        <v>4146.816473593478</v>
      </c>
      <c r="I10" s="31" t="s">
        <v>248</v>
      </c>
      <c r="J10" s="1"/>
      <c r="K10" s="1"/>
      <c r="L10" s="1"/>
      <c r="M10" s="1"/>
    </row>
    <row r="11">
      <c r="A11" s="1"/>
      <c r="B11" s="1" t="s">
        <v>249</v>
      </c>
      <c r="C11" s="24">
        <v>1875</v>
      </c>
      <c r="D11" s="24">
        <v>1656</v>
      </c>
      <c r="E11" s="24">
        <v>1554</v>
      </c>
      <c r="F11" s="24">
        <v>3341</v>
      </c>
      <c r="G11" s="15">
        <f>D11</f>
        <v>1656</v>
      </c>
      <c r="H11" s="56">
        <f>F11-'Cash Flow Statement'!H34-'Cash Flow Statement'!H35</f>
        <v>3341</v>
      </c>
      <c r="I11" s="31"/>
      <c r="J11" s="1"/>
      <c r="K11" s="1"/>
      <c r="L11" s="1"/>
      <c r="M11" s="1"/>
    </row>
    <row r="12">
      <c r="A12" s="1"/>
      <c r="B12" s="1" t="s">
        <v>250</v>
      </c>
      <c r="C12" s="24">
        <v>2062</v>
      </c>
      <c r="D12" s="24">
        <v>1963</v>
      </c>
      <c r="E12" s="24">
        <v>2245</v>
      </c>
      <c r="F12" s="24">
        <v>2520</v>
      </c>
      <c r="G12" s="15">
        <f>D12</f>
        <v>1963</v>
      </c>
      <c r="H12" s="56">
        <f>'Income Statement'!H9*H13/H7</f>
        <v>2751.428491304348</v>
      </c>
      <c r="I12" s="31"/>
      <c r="J12" s="1"/>
      <c r="K12" s="1"/>
      <c r="L12" s="1"/>
      <c r="M12" s="1"/>
    </row>
    <row r="13">
      <c r="A13" s="1"/>
      <c r="B13" s="1" t="s">
        <v>251</v>
      </c>
      <c r="C13" s="32">
        <f>C12/'Income Statement'!C9*C7</f>
        <v>40.005061155630536</v>
      </c>
      <c r="D13" s="32">
        <f>D12/'Income Statement'!D9*D7</f>
        <v>40.83111010626272</v>
      </c>
      <c r="E13" s="32">
        <f>E12/'Income Statement'!E9*E7</f>
        <v>41.87564766839378</v>
      </c>
      <c r="F13" s="32">
        <f>F12/'Income Statement'!F9*F7</f>
        <v>41.97693574958814</v>
      </c>
      <c r="G13" s="32">
        <f>G12/'Income Statement'!G9*G7</f>
        <v>40.52115145345549</v>
      </c>
      <c r="H13" s="61">
        <v>42</v>
      </c>
      <c r="I13" s="31" t="s">
        <v>252</v>
      </c>
      <c r="J13" s="1"/>
      <c r="K13" s="1"/>
      <c r="L13" s="1"/>
      <c r="M13" s="1"/>
    </row>
    <row r="14">
      <c r="A14" s="1"/>
      <c r="B14" s="1" t="s">
        <v>253</v>
      </c>
      <c r="C14" s="15"/>
      <c r="D14" s="15">
        <f>D13-C13</f>
        <v>0.8260489506321846</v>
      </c>
      <c r="E14" s="15">
        <f>E13-D13</f>
        <v>1.0445375621310617</v>
      </c>
      <c r="F14" s="15">
        <f>F13-E13</f>
        <v>0.10128808119435462</v>
      </c>
      <c r="G14" s="15"/>
      <c r="H14" s="41">
        <f>H13-F13</f>
        <v>0.02306425041186344</v>
      </c>
      <c r="I14" s="31"/>
      <c r="J14" s="1"/>
      <c r="K14" s="1"/>
      <c r="L14" s="1"/>
      <c r="M14" s="1"/>
    </row>
    <row r="15">
      <c r="A15" s="1"/>
      <c r="B15" s="1" t="s">
        <v>254</v>
      </c>
      <c r="C15" s="15" t="s">
        <v>82</v>
      </c>
      <c r="D15" s="15" t="s">
        <v>82</v>
      </c>
      <c r="E15" s="15" t="s">
        <v>82</v>
      </c>
      <c r="F15" s="15" t="s">
        <v>82</v>
      </c>
      <c r="G15" s="15" t="s">
        <v>82</v>
      </c>
      <c r="H15" s="41">
        <f>H13-C13</f>
        <v>1.9949388443694644</v>
      </c>
      <c r="I15" s="31"/>
      <c r="J15" s="1"/>
      <c r="K15" s="1"/>
      <c r="L15" s="1"/>
      <c r="M15" s="1"/>
    </row>
    <row r="16">
      <c r="A16" s="1"/>
      <c r="B16" s="1" t="s">
        <v>255</v>
      </c>
      <c r="C16" s="24">
        <v>431</v>
      </c>
      <c r="D16" s="24">
        <v>465</v>
      </c>
      <c r="E16" s="24">
        <v>463</v>
      </c>
      <c r="F16" s="24">
        <v>467</v>
      </c>
      <c r="G16" s="15">
        <f>D16</f>
        <v>465</v>
      </c>
      <c r="H16" s="41">
        <f>H23*F16/F19</f>
        <v>469.61400417091534</v>
      </c>
      <c r="I16" s="31"/>
      <c r="J16" s="1"/>
      <c r="K16" s="1"/>
      <c r="L16" s="1"/>
      <c r="M16" s="1"/>
    </row>
    <row r="17">
      <c r="A17" s="1"/>
      <c r="B17" s="1" t="s">
        <v>256</v>
      </c>
      <c r="C17" s="24">
        <v>2460</v>
      </c>
      <c r="D17" s="24">
        <v>2372</v>
      </c>
      <c r="E17" s="24">
        <v>2355</v>
      </c>
      <c r="F17" s="24">
        <v>2407</v>
      </c>
      <c r="G17" s="15">
        <f>D17</f>
        <v>2372</v>
      </c>
      <c r="H17" s="41">
        <f>H23*F17/F19</f>
        <v>2420.473036486924</v>
      </c>
      <c r="I17" s="31"/>
      <c r="J17" s="1"/>
      <c r="K17" s="1"/>
      <c r="L17" s="1"/>
      <c r="M17" s="1"/>
    </row>
    <row r="18">
      <c r="A18" s="1"/>
      <c r="B18" s="1" t="s">
        <v>257</v>
      </c>
      <c r="C18" s="24">
        <v>1938</v>
      </c>
      <c r="D18" s="24">
        <v>1967</v>
      </c>
      <c r="E18" s="24">
        <v>1877</v>
      </c>
      <c r="F18" s="24">
        <v>1731</v>
      </c>
      <c r="G18" s="15">
        <f>D18</f>
        <v>1967</v>
      </c>
      <c r="H18" s="41">
        <f>H23*F18/F19</f>
        <v>1740.6891674943352</v>
      </c>
      <c r="I18" s="31"/>
      <c r="J18" s="1"/>
      <c r="K18" s="1"/>
      <c r="L18" s="1"/>
      <c r="M18" s="1"/>
    </row>
    <row r="19">
      <c r="A19" s="1"/>
      <c r="B19" s="9" t="s">
        <v>258</v>
      </c>
      <c r="C19" s="17">
        <f>C16+C17+C18</f>
        <v>4829</v>
      </c>
      <c r="D19" s="17">
        <f>D16+D17+D18</f>
        <v>4804</v>
      </c>
      <c r="E19" s="17">
        <f>E16+E17+E18</f>
        <v>4695</v>
      </c>
      <c r="F19" s="17">
        <f>F16+F17+F18</f>
        <v>4605</v>
      </c>
      <c r="G19" s="17">
        <f>G16+G17+G18</f>
        <v>4804</v>
      </c>
      <c r="H19" s="38">
        <f>H16+H17+H18</f>
        <v>4630.776208152174</v>
      </c>
      <c r="I19" s="31"/>
      <c r="J19" s="1"/>
      <c r="K19" s="1"/>
      <c r="L19" s="1"/>
      <c r="M19" s="1"/>
    </row>
    <row r="20">
      <c r="A20" s="1"/>
      <c r="B20" s="1" t="s">
        <v>259</v>
      </c>
      <c r="C20" s="32">
        <f>C19/'Income Statement'!C14*C7</f>
        <v>220.0435859336305</v>
      </c>
      <c r="D20" s="32">
        <f>D19/'Income Statement'!D14*D7</f>
        <v>226.53408508457198</v>
      </c>
      <c r="E20" s="32">
        <f>E19/'Income Statement'!E14*E7</f>
        <v>208.56367226061204</v>
      </c>
      <c r="F20" s="32">
        <f>F19/'Income Statement'!F14*F7</f>
        <v>198.51018474656559</v>
      </c>
      <c r="G20" s="32">
        <f>G19/'Income Statement'!G14*G7</f>
        <v>230.74878273457034</v>
      </c>
      <c r="H20" s="61">
        <v>190</v>
      </c>
      <c r="I20" s="31" t="s">
        <v>260</v>
      </c>
      <c r="J20" s="1"/>
      <c r="K20" s="1"/>
      <c r="L20" s="1"/>
      <c r="M20" s="1"/>
    </row>
    <row r="21">
      <c r="A21" s="1"/>
      <c r="B21" s="1" t="s">
        <v>253</v>
      </c>
      <c r="C21" s="15"/>
      <c r="D21" s="15">
        <f>D20-C20</f>
        <v>6.490499150941474</v>
      </c>
      <c r="E21" s="15">
        <f>E20-D20</f>
        <v>-17.970412823959947</v>
      </c>
      <c r="F21" s="15">
        <f>F20-E20</f>
        <v>-10.053487514046452</v>
      </c>
      <c r="G21" s="15"/>
      <c r="H21" s="41">
        <f>H20-F20</f>
        <v>-8.510184746565585</v>
      </c>
      <c r="I21" s="31"/>
      <c r="J21" s="1"/>
      <c r="K21" s="1"/>
      <c r="L21" s="1"/>
      <c r="M21" s="1"/>
    </row>
    <row r="22">
      <c r="A22" s="1"/>
      <c r="B22" s="1" t="s">
        <v>254</v>
      </c>
      <c r="C22" s="15" t="s">
        <v>82</v>
      </c>
      <c r="D22" s="15" t="s">
        <v>82</v>
      </c>
      <c r="E22" s="15" t="s">
        <v>82</v>
      </c>
      <c r="F22" s="15" t="s">
        <v>82</v>
      </c>
      <c r="G22" s="15" t="s">
        <v>82</v>
      </c>
      <c r="H22" s="41">
        <f>H20-C20</f>
        <v>-30.04358593363051</v>
      </c>
      <c r="I22" s="31"/>
      <c r="J22" s="1"/>
      <c r="K22" s="1"/>
      <c r="L22" s="1"/>
      <c r="M22" s="1"/>
    </row>
    <row r="23">
      <c r="A23" s="1"/>
      <c r="B23" s="1" t="s">
        <v>261</v>
      </c>
      <c r="C23" s="15"/>
      <c r="D23" s="15"/>
      <c r="E23" s="15"/>
      <c r="F23" s="15"/>
      <c r="G23" s="15"/>
      <c r="H23" s="56">
        <f>'Income Statement'!H14*H20/H7</f>
        <v>4630.776208152174</v>
      </c>
      <c r="I23" s="31"/>
      <c r="J23" s="1"/>
      <c r="K23" s="1"/>
      <c r="L23" s="1"/>
      <c r="M23" s="1"/>
    </row>
    <row r="24">
      <c r="A24" s="1"/>
      <c r="B24" s="1" t="s">
        <v>262</v>
      </c>
      <c r="C24" s="24">
        <v>1799</v>
      </c>
      <c r="D24" s="24">
        <v>2102</v>
      </c>
      <c r="E24" s="24">
        <v>1753</v>
      </c>
      <c r="F24" s="24">
        <v>1631</v>
      </c>
      <c r="G24" s="15">
        <f>D24</f>
        <v>2102</v>
      </c>
      <c r="H24" s="56">
        <f>F24-'Cash Flow Statement'!H32-'Cash Flow Statement'!H20</f>
        <v>1631</v>
      </c>
      <c r="I24" s="31" t="s">
        <v>263</v>
      </c>
      <c r="J24" s="1"/>
      <c r="K24" s="1"/>
      <c r="L24" s="1"/>
      <c r="M24" s="1"/>
    </row>
    <row r="25">
      <c r="A25" s="1"/>
      <c r="B25" s="9" t="s">
        <v>264</v>
      </c>
      <c r="C25" s="17">
        <f>C10+C11+C12+C19+C24</f>
        <v>13876</v>
      </c>
      <c r="D25" s="17">
        <f>D10+D11+D12+D19+D24</f>
        <v>13750</v>
      </c>
      <c r="E25" s="17">
        <f>E10+E11+E12+E19+E24</f>
        <v>13796</v>
      </c>
      <c r="F25" s="17">
        <f>F10+F11+F12+F19+F24</f>
        <v>15757</v>
      </c>
      <c r="G25" s="17">
        <f>G10+G11+G12+G19+G24</f>
        <v>13750</v>
      </c>
      <c r="H25" s="38">
        <f>H10+H11+H12+H19+H24</f>
        <v>16501.02117305</v>
      </c>
      <c r="I25" s="31"/>
      <c r="J25" s="1"/>
      <c r="K25" s="1"/>
      <c r="L25" s="1"/>
      <c r="M25" s="1"/>
    </row>
    <row r="26">
      <c r="A26" s="1"/>
      <c r="B26" s="1" t="s">
        <v>265</v>
      </c>
      <c r="C26" s="24">
        <v>17314</v>
      </c>
      <c r="D26" s="24">
        <v>17682</v>
      </c>
      <c r="E26" s="24">
        <v>17870</v>
      </c>
      <c r="F26" s="24">
        <v>17856</v>
      </c>
      <c r="G26" s="15">
        <f>D26</f>
        <v>17682</v>
      </c>
      <c r="H26" s="56">
        <f>F26-'Cash Flow Statement'!H29-('Cash Flow Statement'!H33+'Cash Flow Statement'!H16)</f>
        <v>18506</v>
      </c>
      <c r="I26" s="31"/>
      <c r="J26" s="1"/>
      <c r="K26" s="1"/>
      <c r="L26" s="1"/>
      <c r="M26" s="1"/>
    </row>
    <row r="27">
      <c r="A27" s="1"/>
      <c r="B27" s="1" t="s">
        <v>266</v>
      </c>
      <c r="C27" s="24">
        <v>-4966</v>
      </c>
      <c r="D27" s="24">
        <v>-5362</v>
      </c>
      <c r="E27" s="24">
        <v>-5725</v>
      </c>
      <c r="F27" s="24">
        <v>-5945</v>
      </c>
      <c r="G27" s="15">
        <f>D27</f>
        <v>-5362</v>
      </c>
      <c r="H27" s="56">
        <f>F27-'Cash Flow Statement'!H11</f>
        <v>-6500</v>
      </c>
      <c r="I27" s="31"/>
      <c r="J27" s="1"/>
      <c r="K27" s="1"/>
      <c r="L27" s="1"/>
      <c r="M27" s="1"/>
    </row>
    <row r="28">
      <c r="A28" s="1"/>
      <c r="B28" s="9" t="s">
        <v>267</v>
      </c>
      <c r="C28" s="17">
        <f>C26+C27</f>
        <v>12348</v>
      </c>
      <c r="D28" s="17">
        <f>D26+D27</f>
        <v>12320</v>
      </c>
      <c r="E28" s="17">
        <f>E26+E27</f>
        <v>12145</v>
      </c>
      <c r="F28" s="17">
        <f>F26+F27</f>
        <v>11911</v>
      </c>
      <c r="G28" s="17">
        <f>G26+G27</f>
        <v>12320</v>
      </c>
      <c r="H28" s="38">
        <f>H26+H27</f>
        <v>12006</v>
      </c>
      <c r="I28" s="31"/>
      <c r="J28" s="1"/>
      <c r="K28" s="1"/>
      <c r="L28" s="1"/>
      <c r="M28" s="1"/>
    </row>
    <row r="29">
      <c r="A29" s="1"/>
      <c r="B29" s="1" t="s">
        <v>268</v>
      </c>
      <c r="C29" s="24">
        <v>4362</v>
      </c>
      <c r="D29" s="24">
        <v>4330</v>
      </c>
      <c r="E29" s="24">
        <v>4330</v>
      </c>
      <c r="F29" s="24">
        <v>4330</v>
      </c>
      <c r="G29" s="15">
        <f>D29</f>
        <v>4330</v>
      </c>
      <c r="H29" s="41">
        <f>F29</f>
        <v>4330</v>
      </c>
      <c r="I29" s="31"/>
      <c r="J29" s="1"/>
      <c r="K29" s="1"/>
      <c r="L29" s="1"/>
      <c r="M29" s="1"/>
    </row>
    <row r="30">
      <c r="A30" s="1"/>
      <c r="B30" s="1" t="s">
        <v>269</v>
      </c>
      <c r="C30" s="24">
        <v>1089</v>
      </c>
      <c r="D30" s="24">
        <v>967</v>
      </c>
      <c r="E30" s="24">
        <v>973</v>
      </c>
      <c r="F30" s="24">
        <v>1017</v>
      </c>
      <c r="G30" s="15">
        <f>D30</f>
        <v>967</v>
      </c>
      <c r="H30" s="56">
        <f>F30-'Cash Flow Statement'!H17</f>
        <v>1017</v>
      </c>
      <c r="I30" s="31"/>
      <c r="J30" s="1"/>
      <c r="K30" s="1"/>
      <c r="L30" s="1"/>
      <c r="M30" s="1"/>
    </row>
    <row r="31">
      <c r="A31" s="1"/>
      <c r="B31" s="1" t="s">
        <v>270</v>
      </c>
      <c r="C31" s="24">
        <v>237</v>
      </c>
      <c r="D31" s="24">
        <v>238</v>
      </c>
      <c r="E31" s="24">
        <v>323</v>
      </c>
      <c r="F31" s="24">
        <v>314</v>
      </c>
      <c r="G31" s="15">
        <f>D31</f>
        <v>238</v>
      </c>
      <c r="H31" s="56">
        <f>F31-'Cash Flow Statement'!H36-'Cash Flow Statement'!H14</f>
        <v>314</v>
      </c>
      <c r="I31" s="31"/>
      <c r="J31" s="1"/>
      <c r="K31" s="1"/>
      <c r="L31" s="1"/>
      <c r="M31" s="1"/>
    </row>
    <row r="32">
      <c r="A32" s="1"/>
      <c r="B32" s="1" t="s">
        <v>271</v>
      </c>
      <c r="C32" s="24">
        <v>251</v>
      </c>
      <c r="D32" s="24">
        <v>324</v>
      </c>
      <c r="E32" s="24">
        <v>321</v>
      </c>
      <c r="F32" s="24">
        <v>316</v>
      </c>
      <c r="G32" s="15">
        <f>D32</f>
        <v>324</v>
      </c>
      <c r="H32" s="56">
        <f>F32-'Cash Flow Statement'!H24</f>
        <v>316</v>
      </c>
      <c r="I32" s="31"/>
      <c r="J32" s="1"/>
      <c r="K32" s="1"/>
      <c r="L32" s="1"/>
      <c r="M32" s="1"/>
    </row>
    <row r="33">
      <c r="A33" s="1"/>
      <c r="B33" s="1" t="s">
        <v>272</v>
      </c>
      <c r="C33" s="24">
        <v>2841</v>
      </c>
      <c r="D33" s="24">
        <v>2656</v>
      </c>
      <c r="E33" s="24">
        <v>2505</v>
      </c>
      <c r="F33" s="24">
        <v>2237</v>
      </c>
      <c r="G33" s="15">
        <f>D33</f>
        <v>2656</v>
      </c>
      <c r="H33" s="41">
        <f>F33</f>
        <v>2237</v>
      </c>
      <c r="I33" s="31"/>
      <c r="J33" s="1"/>
      <c r="K33" s="1"/>
      <c r="L33" s="1"/>
      <c r="M33" s="1"/>
    </row>
    <row r="34">
      <c r="A34" s="1"/>
      <c r="B34" s="9" t="s">
        <v>273</v>
      </c>
      <c r="C34" s="17">
        <f>C25+C28+C29+C30+C31+C32+C33</f>
        <v>35004</v>
      </c>
      <c r="D34" s="17">
        <f>D25+D28+D29+D30+D31+D32+D33</f>
        <v>34585</v>
      </c>
      <c r="E34" s="17">
        <f>E25+E28+E29+E30+E31+E32+E33</f>
        <v>34393</v>
      </c>
      <c r="F34" s="17">
        <f>F25+F28+F29+F30+F31+F32+F33</f>
        <v>35882</v>
      </c>
      <c r="G34" s="17">
        <f>G25+G28+G29+G30+G31+G32+G33</f>
        <v>34585</v>
      </c>
      <c r="H34" s="38">
        <f>H25+H28+H29+H30+H31+H32+H33</f>
        <v>36721.02117305</v>
      </c>
      <c r="I34" s="31"/>
      <c r="J34" s="1"/>
      <c r="K34" s="1"/>
      <c r="L34" s="1"/>
      <c r="M34" s="1"/>
    </row>
    <row r="35">
      <c r="A35" s="1"/>
      <c r="B35" s="1"/>
      <c r="C35" s="1"/>
      <c r="D35" s="1"/>
      <c r="E35" s="1"/>
      <c r="F35" s="1"/>
      <c r="G35" s="1"/>
      <c r="H35" s="51"/>
      <c r="I35" s="31"/>
      <c r="J35" s="1"/>
      <c r="K35" s="1"/>
      <c r="L35" s="1"/>
      <c r="M35" s="1"/>
    </row>
    <row r="36">
      <c r="A36" s="1"/>
      <c r="B36" s="25" t="s">
        <v>274</v>
      </c>
      <c r="C36" s="1"/>
      <c r="D36" s="1"/>
      <c r="E36" s="1"/>
      <c r="F36" s="1"/>
      <c r="G36" s="1"/>
      <c r="H36" s="51"/>
      <c r="I36" s="31"/>
      <c r="J36" s="1"/>
      <c r="K36" s="1"/>
      <c r="L36" s="1"/>
      <c r="M36" s="1"/>
    </row>
    <row r="37">
      <c r="A37" s="1"/>
      <c r="B37" s="1" t="s">
        <v>275</v>
      </c>
      <c r="C37" s="24">
        <v>500</v>
      </c>
      <c r="D37" s="24">
        <v>500</v>
      </c>
      <c r="E37" s="24">
        <v>1149</v>
      </c>
      <c r="F37" s="24">
        <v>1149</v>
      </c>
      <c r="G37" s="15">
        <f>D37</f>
        <v>500</v>
      </c>
      <c r="H37" s="56">
        <f>F37+'Cash Flow Statement'!H41</f>
        <v>649</v>
      </c>
      <c r="I37" s="31" t="s">
        <v>276</v>
      </c>
      <c r="J37" s="1"/>
      <c r="K37" s="1"/>
      <c r="L37" s="1"/>
      <c r="M37" s="1"/>
    </row>
    <row r="38">
      <c r="A38" s="1"/>
      <c r="B38" s="1" t="s">
        <v>277</v>
      </c>
      <c r="C38" s="24">
        <v>779</v>
      </c>
      <c r="D38" s="24">
        <v>756</v>
      </c>
      <c r="E38" s="24">
        <v>638</v>
      </c>
      <c r="F38" s="24">
        <v>680</v>
      </c>
      <c r="G38" s="15">
        <f>D38</f>
        <v>756</v>
      </c>
      <c r="H38" s="41">
        <f>F38</f>
        <v>680</v>
      </c>
      <c r="I38" s="31"/>
      <c r="J38" s="1"/>
      <c r="K38" s="1"/>
      <c r="L38" s="1"/>
      <c r="M38" s="1"/>
    </row>
    <row r="39">
      <c r="A39" s="1"/>
      <c r="B39" s="1" t="s">
        <v>278</v>
      </c>
      <c r="C39" s="24">
        <v>724</v>
      </c>
      <c r="D39" s="24">
        <v>829</v>
      </c>
      <c r="E39" s="24">
        <v>389</v>
      </c>
      <c r="F39" s="24">
        <v>536</v>
      </c>
      <c r="G39" s="15">
        <f>D39</f>
        <v>829</v>
      </c>
      <c r="H39" s="56">
        <f>F39+'Cash Flow Statement'!H22</f>
        <v>666</v>
      </c>
      <c r="I39" s="31"/>
      <c r="J39" s="1"/>
      <c r="K39" s="1"/>
      <c r="L39" s="1"/>
      <c r="M39" s="1"/>
    </row>
    <row r="40">
      <c r="A40" s="1"/>
      <c r="B40" s="1" t="s">
        <v>279</v>
      </c>
      <c r="C40" s="24">
        <v>79</v>
      </c>
      <c r="D40" s="24">
        <v>67</v>
      </c>
      <c r="E40" s="24">
        <v>138</v>
      </c>
      <c r="F40" s="24">
        <v>70</v>
      </c>
      <c r="G40" s="15">
        <f>D40</f>
        <v>67</v>
      </c>
      <c r="H40" s="56">
        <f>F40+'Cash Flow Statement'!H23</f>
        <v>70</v>
      </c>
      <c r="I40" s="31"/>
      <c r="J40" s="1"/>
      <c r="K40" s="1"/>
      <c r="L40" s="1"/>
      <c r="M40" s="1"/>
    </row>
    <row r="41">
      <c r="A41" s="1"/>
      <c r="B41" s="1" t="s">
        <v>280</v>
      </c>
      <c r="C41" s="24">
        <v>1036</v>
      </c>
      <c r="D41" s="24">
        <v>1007</v>
      </c>
      <c r="E41" s="24">
        <v>782</v>
      </c>
      <c r="F41" s="24">
        <v>809</v>
      </c>
      <c r="G41" s="15">
        <f>D41</f>
        <v>1007</v>
      </c>
      <c r="H41" s="56">
        <f>F41+'Cash Flow Statement'!H21</f>
        <v>809</v>
      </c>
      <c r="I41" s="31"/>
      <c r="J41" s="1"/>
      <c r="K41" s="1"/>
      <c r="L41" s="1"/>
      <c r="M41" s="1"/>
    </row>
    <row r="42">
      <c r="A42" s="1"/>
      <c r="B42" s="9" t="s">
        <v>281</v>
      </c>
      <c r="C42" s="17">
        <f>C37+C38+C39+C40+C41</f>
        <v>3118</v>
      </c>
      <c r="D42" s="17">
        <f>D37+D38+D39+D40+D41</f>
        <v>3159</v>
      </c>
      <c r="E42" s="17">
        <f>E37+E38+E39+E40+E41</f>
        <v>3096</v>
      </c>
      <c r="F42" s="17">
        <f>F37+F38+F39+F40+F41</f>
        <v>3244</v>
      </c>
      <c r="G42" s="17">
        <f>G37+G38+G39+G40+G41</f>
        <v>3159</v>
      </c>
      <c r="H42" s="38">
        <f>H37+H38+H39+H40+H41</f>
        <v>2874</v>
      </c>
      <c r="I42" s="31"/>
      <c r="J42" s="1"/>
      <c r="K42" s="1"/>
      <c r="L42" s="1"/>
      <c r="M42" s="1"/>
    </row>
    <row r="43">
      <c r="A43" s="1"/>
      <c r="B43" s="1" t="s">
        <v>282</v>
      </c>
      <c r="C43" s="24">
        <v>13546</v>
      </c>
      <c r="D43" s="24">
        <v>13548</v>
      </c>
      <c r="E43" s="24">
        <v>12901</v>
      </c>
      <c r="F43" s="24">
        <v>12903</v>
      </c>
      <c r="G43" s="15">
        <f>D43</f>
        <v>13548</v>
      </c>
      <c r="H43" s="56">
        <f>F43+'Cash Flow Statement'!H40</f>
        <v>12903</v>
      </c>
      <c r="I43" s="31"/>
      <c r="J43" s="1"/>
      <c r="K43" s="1"/>
      <c r="L43" s="1"/>
      <c r="M43" s="1"/>
    </row>
    <row r="44">
      <c r="A44" s="1"/>
      <c r="B44" s="1" t="s">
        <v>283</v>
      </c>
      <c r="C44" s="24">
        <v>125</v>
      </c>
      <c r="D44" s="24">
        <v>124</v>
      </c>
      <c r="E44" s="24">
        <v>121</v>
      </c>
      <c r="F44" s="24">
        <v>123</v>
      </c>
      <c r="G44" s="15">
        <f>D44</f>
        <v>124</v>
      </c>
      <c r="H44" s="41">
        <f>F44</f>
        <v>123</v>
      </c>
      <c r="I44" s="31"/>
      <c r="J44" s="1"/>
      <c r="K44" s="1"/>
      <c r="L44" s="1"/>
      <c r="M44" s="1"/>
    </row>
    <row r="45">
      <c r="A45" s="1"/>
      <c r="B45" s="1" t="s">
        <v>284</v>
      </c>
      <c r="C45" s="24">
        <v>60</v>
      </c>
      <c r="D45" s="24">
        <v>66</v>
      </c>
      <c r="E45" s="24">
        <v>63</v>
      </c>
      <c r="F45" s="24">
        <v>55</v>
      </c>
      <c r="G45" s="15">
        <f>D45</f>
        <v>66</v>
      </c>
      <c r="H45" s="41">
        <f>F45</f>
        <v>55</v>
      </c>
      <c r="I45" s="31"/>
      <c r="J45" s="1"/>
      <c r="K45" s="1"/>
      <c r="L45" s="1"/>
      <c r="M45" s="1"/>
    </row>
    <row r="46">
      <c r="A46" s="1"/>
      <c r="B46" s="1" t="s">
        <v>285</v>
      </c>
      <c r="C46" s="24">
        <v>1528</v>
      </c>
      <c r="D46" s="24">
        <v>1415</v>
      </c>
      <c r="E46" s="24">
        <v>1434</v>
      </c>
      <c r="F46" s="24">
        <v>1550</v>
      </c>
      <c r="G46" s="15">
        <f>D46</f>
        <v>1415</v>
      </c>
      <c r="H46" s="56">
        <f>F46+'Cash Flow Statement'!H25</f>
        <v>1550</v>
      </c>
      <c r="I46" s="31"/>
      <c r="J46" s="1"/>
      <c r="K46" s="1"/>
      <c r="L46" s="1"/>
      <c r="M46" s="1"/>
    </row>
    <row r="47">
      <c r="A47" s="1"/>
      <c r="B47" s="9" t="s">
        <v>286</v>
      </c>
      <c r="C47" s="17">
        <f>C42+C43+C44+C45+C46</f>
        <v>18377</v>
      </c>
      <c r="D47" s="17">
        <f>D42+D43+D44+D45+D46</f>
        <v>18312</v>
      </c>
      <c r="E47" s="17">
        <f>E42+E43+E44+E45+E46</f>
        <v>17615</v>
      </c>
      <c r="F47" s="17">
        <f>F42+F43+F44+F45+F46</f>
        <v>17875</v>
      </c>
      <c r="G47" s="17">
        <f>G42+G43+G44+G45+G46</f>
        <v>18312</v>
      </c>
      <c r="H47" s="38">
        <f>H42+H43+H44+H45+H46</f>
        <v>17505</v>
      </c>
      <c r="I47" s="31"/>
      <c r="J47" s="1"/>
      <c r="K47" s="1"/>
      <c r="L47" s="1"/>
      <c r="M47" s="1"/>
    </row>
    <row r="48">
      <c r="A48" s="1"/>
      <c r="B48" s="1" t="s">
        <v>287</v>
      </c>
      <c r="C48" s="24">
        <v>1741</v>
      </c>
      <c r="D48" s="24">
        <v>1741</v>
      </c>
      <c r="E48" s="24">
        <v>1741</v>
      </c>
      <c r="F48" s="24">
        <v>1741</v>
      </c>
      <c r="G48" s="15">
        <f>D48</f>
        <v>1741</v>
      </c>
      <c r="H48" s="41">
        <f>F48</f>
        <v>1741</v>
      </c>
      <c r="I48" s="31"/>
      <c r="J48" s="1"/>
      <c r="K48" s="1"/>
      <c r="L48" s="1"/>
      <c r="M48" s="1"/>
    </row>
    <row r="49">
      <c r="A49" s="1"/>
      <c r="B49" s="1" t="s">
        <v>288</v>
      </c>
      <c r="C49" s="24">
        <v>4410</v>
      </c>
      <c r="D49" s="24">
        <v>4511</v>
      </c>
      <c r="E49" s="24">
        <v>4722</v>
      </c>
      <c r="F49" s="24">
        <v>5129</v>
      </c>
      <c r="G49" s="15">
        <f>D49</f>
        <v>4511</v>
      </c>
      <c r="H49" s="56">
        <f>F49+'Cash Flow Statement'!H15+'Cash Flow Statement'!H44+'Cash Flow Statement'!H45</f>
        <v>5361</v>
      </c>
      <c r="I49" s="31" t="s">
        <v>289</v>
      </c>
      <c r="J49" s="1"/>
      <c r="K49" s="1"/>
      <c r="L49" s="1"/>
      <c r="M49" s="1"/>
    </row>
    <row r="50">
      <c r="A50" s="1"/>
      <c r="B50" s="1" t="s">
        <v>290</v>
      </c>
      <c r="C50" s="24">
        <v>52369</v>
      </c>
      <c r="D50" s="24">
        <v>52236</v>
      </c>
      <c r="E50" s="24">
        <v>52483</v>
      </c>
      <c r="F50" s="24">
        <v>53161</v>
      </c>
      <c r="G50" s="15">
        <f>D50</f>
        <v>52236</v>
      </c>
      <c r="H50" s="56">
        <f>F50+'Income Statement'!H55+'Cash Flow Statement'!H42</f>
        <v>54188.02117305</v>
      </c>
      <c r="I50" s="31"/>
      <c r="J50" s="1"/>
      <c r="K50" s="1"/>
      <c r="L50" s="1"/>
      <c r="M50" s="1"/>
    </row>
    <row r="51">
      <c r="A51" s="1"/>
      <c r="B51" s="1" t="s">
        <v>291</v>
      </c>
      <c r="C51" s="24">
        <v>-41744</v>
      </c>
      <c r="D51" s="24">
        <v>-42130</v>
      </c>
      <c r="E51" s="24">
        <v>-42084</v>
      </c>
      <c r="F51" s="24">
        <v>-41941</v>
      </c>
      <c r="G51" s="15">
        <f>D51</f>
        <v>-42130</v>
      </c>
      <c r="H51" s="56">
        <f>F51+'Cash Flow Statement'!H43</f>
        <v>-41991</v>
      </c>
      <c r="I51" s="31"/>
      <c r="J51" s="1"/>
      <c r="K51" s="1"/>
      <c r="L51" s="1"/>
      <c r="M51" s="1"/>
    </row>
    <row r="52">
      <c r="A52" s="1"/>
      <c r="B52" s="1" t="s">
        <v>292</v>
      </c>
      <c r="C52" s="24">
        <v>-149</v>
      </c>
      <c r="D52" s="24">
        <v>-85</v>
      </c>
      <c r="E52" s="24">
        <v>-84</v>
      </c>
      <c r="F52" s="24">
        <v>-83</v>
      </c>
      <c r="G52" s="15">
        <f>D52</f>
        <v>-85</v>
      </c>
      <c r="H52" s="41">
        <f>F52</f>
        <v>-83</v>
      </c>
      <c r="I52" s="31"/>
      <c r="J52" s="1"/>
      <c r="K52" s="1"/>
      <c r="L52" s="1"/>
      <c r="M52" s="1"/>
    </row>
    <row r="53">
      <c r="A53" s="1"/>
      <c r="B53" s="9" t="s">
        <v>293</v>
      </c>
      <c r="C53" s="17">
        <f>C48+C49+C50+C51+C52</f>
        <v>16627</v>
      </c>
      <c r="D53" s="17">
        <f>D48+D49+D50+D51+D52</f>
        <v>16273</v>
      </c>
      <c r="E53" s="17">
        <f>E48+E49+E50+E51+E52</f>
        <v>16778</v>
      </c>
      <c r="F53" s="17">
        <f>F48+F49+F50+F51+F52</f>
        <v>18007</v>
      </c>
      <c r="G53" s="17">
        <f>G48+G49+G50+G51+G52</f>
        <v>16273</v>
      </c>
      <c r="H53" s="38">
        <f>H48+H49+H50+H51+H52</f>
        <v>19216.02117305</v>
      </c>
      <c r="I53" s="31"/>
      <c r="J53" s="1"/>
      <c r="K53" s="1"/>
      <c r="L53" s="1"/>
      <c r="M53" s="1"/>
    </row>
    <row r="54">
      <c r="A54" s="1"/>
      <c r="B54" s="9" t="s">
        <v>294</v>
      </c>
      <c r="C54" s="17">
        <f>C47+C53</f>
        <v>35004</v>
      </c>
      <c r="D54" s="17">
        <f>D47+D53</f>
        <v>34585</v>
      </c>
      <c r="E54" s="17">
        <f>E47+E53</f>
        <v>34393</v>
      </c>
      <c r="F54" s="17">
        <f>F47+F53</f>
        <v>35882</v>
      </c>
      <c r="G54" s="17">
        <f>G47+G53</f>
        <v>34585</v>
      </c>
      <c r="H54" s="38">
        <f>H47+H53</f>
        <v>36721.02117305</v>
      </c>
      <c r="I54" s="31"/>
      <c r="J54" s="1"/>
      <c r="K54" s="1"/>
      <c r="L54" s="1"/>
      <c r="M54" s="1"/>
    </row>
    <row r="55">
      <c r="A55" s="1"/>
      <c r="B55" s="1"/>
      <c r="C55" s="1"/>
      <c r="D55" s="1"/>
      <c r="E55" s="1"/>
      <c r="F55" s="1"/>
      <c r="G55" s="1"/>
      <c r="H55" s="51"/>
      <c r="I55" s="31"/>
      <c r="J55" s="1"/>
      <c r="K55" s="1"/>
      <c r="L55" s="1"/>
      <c r="M55" s="1"/>
    </row>
    <row r="56">
      <c r="A56" s="1"/>
      <c r="B56" s="9" t="s">
        <v>295</v>
      </c>
      <c r="C56" s="82">
        <f>C34-C47-C53</f>
        <v>0</v>
      </c>
      <c r="D56" s="82">
        <f>D34-D47-D53</f>
        <v>0</v>
      </c>
      <c r="E56" s="82">
        <f>E34-E47-E53</f>
        <v>0</v>
      </c>
      <c r="F56" s="82">
        <f>F34-F47-F53</f>
        <v>0</v>
      </c>
      <c r="G56" s="82">
        <f>G34-G47-G53</f>
        <v>0</v>
      </c>
      <c r="H56" s="84">
        <f>H34-H47-H53</f>
        <v>0</v>
      </c>
      <c r="I56" s="31"/>
      <c r="J56" s="1"/>
      <c r="K56" s="1"/>
      <c r="L56" s="1"/>
      <c r="M56" s="1"/>
    </row>
    <row r="57">
      <c r="A57" s="1"/>
      <c r="B57" s="1" t="s">
        <v>296</v>
      </c>
      <c r="C57" s="24">
        <v>35004</v>
      </c>
      <c r="D57" s="24">
        <v>34585</v>
      </c>
      <c r="E57" s="24">
        <v>34393</v>
      </c>
      <c r="F57" s="24">
        <v>35882</v>
      </c>
      <c r="G57" s="15">
        <f>D57</f>
        <v>34585</v>
      </c>
      <c r="H57" s="41"/>
      <c r="I57" s="31"/>
      <c r="J57" s="1"/>
      <c r="K57" s="1"/>
      <c r="L57" s="1"/>
      <c r="M57" s="1"/>
    </row>
    <row r="58">
      <c r="A58" s="1"/>
      <c r="B58" s="1" t="s">
        <v>297</v>
      </c>
      <c r="C58" s="15">
        <f>C34-C57</f>
        <v>0</v>
      </c>
      <c r="D58" s="15">
        <f>D34-D57</f>
        <v>0</v>
      </c>
      <c r="E58" s="15">
        <f>E34-E57</f>
        <v>0</v>
      </c>
      <c r="F58" s="15">
        <f>F34-F57</f>
        <v>0</v>
      </c>
      <c r="G58" s="15">
        <f>G34-G57</f>
        <v>0</v>
      </c>
      <c r="H58" s="41"/>
      <c r="I58" s="31"/>
      <c r="J58" s="1"/>
      <c r="K58" s="1"/>
      <c r="L58" s="1"/>
      <c r="M58" s="1"/>
    </row>
    <row r="59">
      <c r="A59" s="1"/>
      <c r="B59" s="1"/>
      <c r="C59" s="1"/>
      <c r="D59" s="1"/>
      <c r="E59" s="1"/>
      <c r="F59" s="1"/>
      <c r="G59" s="1"/>
      <c r="H59" s="51"/>
      <c r="I59" s="31"/>
      <c r="J59" s="1"/>
      <c r="K59" s="1"/>
      <c r="L59" s="1"/>
      <c r="M59" s="1"/>
    </row>
    <row r="60">
      <c r="A60" s="1"/>
      <c r="B60" s="25" t="s">
        <v>298</v>
      </c>
      <c r="C60" s="1"/>
      <c r="D60" s="1"/>
      <c r="E60" s="1"/>
      <c r="F60" s="1"/>
      <c r="G60" s="1"/>
      <c r="H60" s="51"/>
      <c r="I60" s="31"/>
      <c r="J60" s="1"/>
      <c r="K60" s="1"/>
      <c r="L60" s="1"/>
      <c r="M60" s="1"/>
    </row>
    <row r="61">
      <c r="A61" s="1"/>
      <c r="B61" s="9" t="s">
        <v>299</v>
      </c>
      <c r="C61" s="17">
        <f>C37+C43</f>
        <v>14046</v>
      </c>
      <c r="D61" s="17">
        <f>D37+D43</f>
        <v>14048</v>
      </c>
      <c r="E61" s="17">
        <f>E37+E43</f>
        <v>14050</v>
      </c>
      <c r="F61" s="17">
        <f>F37+F43</f>
        <v>14052</v>
      </c>
      <c r="G61" s="17">
        <f>G37+G43</f>
        <v>14048</v>
      </c>
      <c r="H61" s="38">
        <f>H37+H43</f>
        <v>13552</v>
      </c>
      <c r="I61" s="31"/>
      <c r="J61" s="1"/>
      <c r="K61" s="1"/>
      <c r="L61" s="1"/>
      <c r="M61" s="1"/>
    </row>
    <row r="62">
      <c r="A62" s="1"/>
      <c r="B62" s="1" t="s">
        <v>300</v>
      </c>
      <c r="C62" s="15">
        <f>C10+C11</f>
        <v>5186</v>
      </c>
      <c r="D62" s="15">
        <f>D10+D11</f>
        <v>4881</v>
      </c>
      <c r="E62" s="15">
        <f>E10+E11</f>
        <v>5103</v>
      </c>
      <c r="F62" s="15">
        <f>F10+F11</f>
        <v>7001</v>
      </c>
      <c r="G62" s="15">
        <f>G10+G11</f>
        <v>4881</v>
      </c>
      <c r="H62" s="41">
        <f>H10+H11</f>
        <v>7487.816473593478</v>
      </c>
      <c r="I62" s="31"/>
      <c r="J62" s="1"/>
      <c r="K62" s="1"/>
      <c r="L62" s="1"/>
      <c r="M62" s="1"/>
    </row>
    <row r="63">
      <c r="A63" s="1"/>
      <c r="B63" s="9" t="s">
        <v>301</v>
      </c>
      <c r="C63" s="17">
        <f>C61-C62</f>
        <v>8860</v>
      </c>
      <c r="D63" s="17">
        <f>D61-D62</f>
        <v>9167</v>
      </c>
      <c r="E63" s="17">
        <f>E61-E62</f>
        <v>8947</v>
      </c>
      <c r="F63" s="17">
        <f>F61-F62</f>
        <v>7051</v>
      </c>
      <c r="G63" s="17">
        <f>G61-G62</f>
        <v>9167</v>
      </c>
      <c r="H63" s="38">
        <f>H61-H62</f>
        <v>6064.183526406522</v>
      </c>
      <c r="I63" s="31"/>
      <c r="J63" s="1"/>
      <c r="K63" s="1"/>
      <c r="L63" s="1"/>
      <c r="M63" s="1"/>
    </row>
    <row r="64">
      <c r="A64" s="1"/>
      <c r="B64" s="1" t="s">
        <v>302</v>
      </c>
      <c r="C64" s="87">
        <f>C63/('Income Statement'!C34*4)</f>
        <v>1.3319302465423932</v>
      </c>
      <c r="D64" s="87">
        <f>D63/('Income Statement'!D34*4)</f>
        <v>1.555838424983028</v>
      </c>
      <c r="E64" s="87">
        <f>E63/('Income Statement'!E34*4)</f>
        <v>1.2371404867256637</v>
      </c>
      <c r="F64" s="87">
        <f>F63/('Income Statement'!F34*4)</f>
        <v>0.763095238095238</v>
      </c>
      <c r="G64" s="85"/>
      <c r="H64" s="86">
        <f>H63/('Income Statement'!H34*4)</f>
        <v>0.5527631756049886</v>
      </c>
      <c r="I64" s="31"/>
      <c r="J64" s="1"/>
      <c r="K64" s="1"/>
      <c r="L64" s="1"/>
      <c r="M64" s="1"/>
    </row>
    <row r="65">
      <c r="A65" s="1"/>
      <c r="B65" s="1"/>
      <c r="C65" s="1"/>
      <c r="D65" s="1"/>
      <c r="E65" s="1"/>
      <c r="F65" s="1"/>
      <c r="G65" s="1"/>
      <c r="H65" s="51"/>
      <c r="I65" s="31"/>
      <c r="J65" s="1"/>
      <c r="K65" s="1"/>
      <c r="L65" s="1"/>
      <c r="M65" s="1"/>
    </row>
    <row r="6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</row>
    <row r="7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</row>
    <row r="77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</sheetData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M80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8" width="12" customWidth="1"/>
    <col min="9" max="9" width="6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>
      <c r="A2" s="1"/>
      <c r="B2" s="47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>
      <c r="A3" s="1"/>
      <c r="B3" s="9" t="s">
        <v>303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>
      <c r="A4" s="1"/>
      <c r="B4" s="12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>
      <c r="A5" s="1"/>
      <c r="B5" s="23" t="s">
        <v>3</v>
      </c>
      <c r="C5" s="27" t="s">
        <v>74</v>
      </c>
      <c r="D5" s="27" t="s">
        <v>75</v>
      </c>
      <c r="E5" s="27" t="s">
        <v>76</v>
      </c>
      <c r="F5" s="27" t="s">
        <v>77</v>
      </c>
      <c r="G5" s="27" t="s">
        <v>78</v>
      </c>
      <c r="H5" s="66" t="s">
        <v>4</v>
      </c>
      <c r="I5" s="49" t="s">
        <v>32</v>
      </c>
      <c r="J5" s="1"/>
      <c r="K5" s="1"/>
      <c r="L5" s="1"/>
      <c r="M5" s="1"/>
    </row>
    <row r="6">
      <c r="A6" s="1"/>
      <c r="B6" s="29" t="s">
        <v>5</v>
      </c>
      <c r="C6" s="39">
        <f>DATE(2025,9,30)</f>
        <v>45930</v>
      </c>
      <c r="D6" s="39">
        <f>DATE(2025,12,31)</f>
        <v>46022</v>
      </c>
      <c r="E6" s="39">
        <f>DATE(2026,3,31)</f>
        <v>46112</v>
      </c>
      <c r="F6" s="39">
        <f>DATE(2026,6,30)</f>
        <v>46203</v>
      </c>
      <c r="G6" s="39">
        <f>DATE(2025,12,31)</f>
        <v>46022</v>
      </c>
      <c r="H6" s="64">
        <f>DATE(2026,9,30)</f>
        <v>46295</v>
      </c>
      <c r="I6" s="29"/>
      <c r="J6" s="1"/>
      <c r="K6" s="1"/>
      <c r="L6" s="1"/>
      <c r="M6" s="1"/>
    </row>
    <row r="7">
      <c r="A7" s="1"/>
      <c r="B7" s="18" t="s">
        <v>6</v>
      </c>
      <c r="C7" s="42">
        <f>C6-EOMONTH(C6,-3)</f>
        <v>92</v>
      </c>
      <c r="D7" s="42">
        <f>D6-EOMONTH(D6,-3)</f>
        <v>92</v>
      </c>
      <c r="E7" s="42">
        <f>E6-EOMONTH(E6,-3)</f>
        <v>90</v>
      </c>
      <c r="F7" s="42">
        <f>F6-EOMONTH(F6,-3)</f>
        <v>91</v>
      </c>
      <c r="G7" s="42">
        <f>G6-EOMONTH(G6,-12)</f>
        <v>365</v>
      </c>
      <c r="H7" s="55">
        <f>H6-EOMONTH(H6,-3)</f>
        <v>92</v>
      </c>
      <c r="I7" s="18"/>
      <c r="J7" s="1"/>
      <c r="K7" s="1"/>
      <c r="L7" s="1"/>
      <c r="M7" s="1"/>
    </row>
    <row r="8">
      <c r="A8" s="1"/>
      <c r="B8" s="1"/>
      <c r="C8" s="1"/>
      <c r="D8" s="1"/>
      <c r="E8" s="1"/>
      <c r="F8" s="1"/>
      <c r="G8" s="1"/>
      <c r="H8" s="51"/>
      <c r="I8" s="1"/>
      <c r="J8" s="1"/>
      <c r="K8" s="1"/>
      <c r="L8" s="1"/>
      <c r="M8" s="1"/>
    </row>
    <row r="9">
      <c r="A9" s="1"/>
      <c r="B9" s="25" t="s">
        <v>304</v>
      </c>
      <c r="C9" s="1"/>
      <c r="D9" s="1"/>
      <c r="E9" s="1"/>
      <c r="F9" s="1"/>
      <c r="G9" s="1"/>
      <c r="H9" s="51"/>
      <c r="I9" s="31"/>
      <c r="J9" s="1"/>
      <c r="K9" s="1"/>
      <c r="L9" s="1"/>
      <c r="M9" s="1"/>
    </row>
    <row r="10">
      <c r="A10" s="1"/>
      <c r="B10" s="1" t="s">
        <v>202</v>
      </c>
      <c r="C10" s="32">
        <f>'Income Statement'!C55</f>
        <v>1364</v>
      </c>
      <c r="D10" s="32">
        <f>'Income Statement'!D55</f>
        <v>1163</v>
      </c>
      <c r="E10" s="32">
        <f>'Income Statement'!E55</f>
        <v>1545</v>
      </c>
      <c r="F10" s="32">
        <f>'Income Statement'!F55</f>
        <v>1980</v>
      </c>
      <c r="G10" s="32">
        <f>'Income Statement'!G55</f>
        <v>5001</v>
      </c>
      <c r="H10" s="56">
        <f>'Income Statement'!H55</f>
        <v>2323.48117305</v>
      </c>
      <c r="I10" s="31"/>
      <c r="J10" s="1"/>
      <c r="K10" s="1"/>
      <c r="L10" s="1"/>
      <c r="M10" s="1"/>
    </row>
    <row r="11">
      <c r="A11" s="1"/>
      <c r="B11" s="1" t="s">
        <v>305</v>
      </c>
      <c r="C11" s="24">
        <v>497</v>
      </c>
      <c r="D11" s="24">
        <v>537</v>
      </c>
      <c r="E11" s="24">
        <v>541</v>
      </c>
      <c r="F11" s="24">
        <v>547</v>
      </c>
      <c r="G11" s="24">
        <v>1918</v>
      </c>
      <c r="H11" s="41">
        <f>F11+H12</f>
        <v>555</v>
      </c>
      <c r="I11" s="31"/>
      <c r="J11" s="1"/>
      <c r="K11" s="1"/>
      <c r="L11" s="1"/>
      <c r="M11" s="1"/>
    </row>
    <row r="12">
      <c r="A12" s="1"/>
      <c r="B12" s="1" t="s">
        <v>306</v>
      </c>
      <c r="C12" s="15"/>
      <c r="D12" s="15">
        <f>D11-C11</f>
        <v>40</v>
      </c>
      <c r="E12" s="15">
        <f>E11-D11</f>
        <v>4</v>
      </c>
      <c r="F12" s="15">
        <f>F11-E11</f>
        <v>6</v>
      </c>
      <c r="G12" s="15"/>
      <c r="H12" s="61">
        <v>8</v>
      </c>
      <c r="I12" s="31" t="s">
        <v>307</v>
      </c>
      <c r="J12" s="1"/>
      <c r="K12" s="1"/>
      <c r="L12" s="1"/>
      <c r="M12" s="1"/>
    </row>
    <row r="13">
      <c r="A13" s="1"/>
      <c r="B13" s="12" t="s">
        <v>308</v>
      </c>
      <c r="C13" s="4" t="s">
        <v>82</v>
      </c>
      <c r="D13" s="4" t="s">
        <v>82</v>
      </c>
      <c r="E13" s="4" t="s">
        <v>82</v>
      </c>
      <c r="F13" s="4" t="s">
        <v>82</v>
      </c>
      <c r="G13" s="4" t="s">
        <v>82</v>
      </c>
      <c r="H13" s="16">
        <f>H11/C11-1</f>
        <v>0.11670020120724356</v>
      </c>
      <c r="I13" s="31"/>
      <c r="J13" s="1"/>
      <c r="K13" s="1"/>
      <c r="L13" s="1"/>
      <c r="M13" s="1"/>
    </row>
    <row r="14">
      <c r="A14" s="1"/>
      <c r="B14" s="1" t="s">
        <v>309</v>
      </c>
      <c r="C14" s="24">
        <v>20</v>
      </c>
      <c r="D14" s="24">
        <v>20</v>
      </c>
      <c r="E14" s="24">
        <v>21</v>
      </c>
      <c r="F14" s="24">
        <v>21</v>
      </c>
      <c r="G14" s="24">
        <v>81</v>
      </c>
      <c r="H14" s="41">
        <f>F14</f>
        <v>21</v>
      </c>
      <c r="I14" s="31"/>
      <c r="J14" s="1"/>
      <c r="K14" s="1"/>
      <c r="L14" s="1"/>
      <c r="M14" s="1"/>
    </row>
    <row r="15">
      <c r="A15" s="1"/>
      <c r="B15" s="1" t="s">
        <v>310</v>
      </c>
      <c r="C15" s="24">
        <v>93</v>
      </c>
      <c r="D15" s="24">
        <v>81</v>
      </c>
      <c r="E15" s="24">
        <v>109</v>
      </c>
      <c r="F15" s="24">
        <v>127</v>
      </c>
      <c r="G15" s="24">
        <v>419</v>
      </c>
      <c r="H15" s="61">
        <v>95</v>
      </c>
      <c r="I15" s="31" t="s">
        <v>311</v>
      </c>
      <c r="J15" s="1"/>
      <c r="K15" s="1"/>
      <c r="L15" s="1"/>
      <c r="M15" s="1"/>
    </row>
    <row r="16">
      <c r="A16" s="1"/>
      <c r="B16" s="1" t="s">
        <v>312</v>
      </c>
      <c r="C16" s="24">
        <v>0</v>
      </c>
      <c r="D16" s="24">
        <v>2</v>
      </c>
      <c r="E16" s="24">
        <v>-5</v>
      </c>
      <c r="F16" s="24">
        <v>-8</v>
      </c>
      <c r="G16" s="24">
        <v>2</v>
      </c>
      <c r="H16" s="61">
        <v>0</v>
      </c>
      <c r="I16" s="31"/>
      <c r="J16" s="1"/>
      <c r="K16" s="1"/>
      <c r="L16" s="1"/>
      <c r="M16" s="1"/>
    </row>
    <row r="17">
      <c r="A17" s="1"/>
      <c r="B17" s="1" t="s">
        <v>313</v>
      </c>
      <c r="C17" s="24">
        <v>3</v>
      </c>
      <c r="D17" s="24">
        <v>115</v>
      </c>
      <c r="E17" s="24">
        <v>-4</v>
      </c>
      <c r="F17" s="24">
        <v>-62</v>
      </c>
      <c r="G17" s="24">
        <v>-19</v>
      </c>
      <c r="H17" s="61">
        <v>0</v>
      </c>
      <c r="I17" s="31"/>
      <c r="J17" s="1"/>
      <c r="K17" s="1"/>
      <c r="L17" s="1"/>
      <c r="M17" s="1"/>
    </row>
    <row r="18">
      <c r="A18" s="1"/>
      <c r="B18" s="1" t="s">
        <v>314</v>
      </c>
      <c r="C18" s="24">
        <v>-128</v>
      </c>
      <c r="D18" s="24">
        <v>99</v>
      </c>
      <c r="E18" s="24">
        <v>-282</v>
      </c>
      <c r="F18" s="24">
        <v>-275</v>
      </c>
      <c r="G18" s="24">
        <v>-244</v>
      </c>
      <c r="H18" s="56">
        <f>-('Balance Sheet'!H12-'Balance Sheet'!F12)</f>
        <v>-231.42849130434797</v>
      </c>
      <c r="I18" s="31"/>
      <c r="J18" s="1"/>
      <c r="K18" s="1"/>
      <c r="L18" s="1"/>
      <c r="M18" s="1"/>
    </row>
    <row r="19">
      <c r="A19" s="1"/>
      <c r="B19" s="1" t="s">
        <v>315</v>
      </c>
      <c r="C19" s="24">
        <v>-17</v>
      </c>
      <c r="D19" s="24">
        <v>25</v>
      </c>
      <c r="E19" s="24">
        <v>109</v>
      </c>
      <c r="F19" s="24">
        <v>90</v>
      </c>
      <c r="G19" s="24">
        <v>-277</v>
      </c>
      <c r="H19" s="56">
        <f>-('Balance Sheet'!H19-'Balance Sheet'!F19)</f>
        <v>-25.77620815217415</v>
      </c>
      <c r="I19" s="31"/>
      <c r="J19" s="1"/>
      <c r="K19" s="1"/>
      <c r="L19" s="1"/>
      <c r="M19" s="1"/>
    </row>
    <row r="20">
      <c r="A20" s="1"/>
      <c r="B20" s="1" t="s">
        <v>316</v>
      </c>
      <c r="C20" s="24">
        <v>18</v>
      </c>
      <c r="D20" s="24">
        <v>8</v>
      </c>
      <c r="E20" s="24">
        <v>-9</v>
      </c>
      <c r="F20" s="24">
        <v>2</v>
      </c>
      <c r="G20" s="24">
        <v>10</v>
      </c>
      <c r="H20" s="61">
        <v>0</v>
      </c>
      <c r="I20" s="31"/>
      <c r="J20" s="1"/>
      <c r="K20" s="1"/>
      <c r="L20" s="1"/>
      <c r="M20" s="1"/>
    </row>
    <row r="21">
      <c r="A21" s="1"/>
      <c r="B21" s="1" t="s">
        <v>317</v>
      </c>
      <c r="C21" s="24">
        <v>86</v>
      </c>
      <c r="D21" s="24">
        <v>20</v>
      </c>
      <c r="E21" s="24">
        <v>-125</v>
      </c>
      <c r="F21" s="24">
        <v>101</v>
      </c>
      <c r="G21" s="24">
        <v>77</v>
      </c>
      <c r="H21" s="61">
        <v>0</v>
      </c>
      <c r="I21" s="31"/>
      <c r="J21" s="1"/>
      <c r="K21" s="1"/>
      <c r="L21" s="1"/>
      <c r="M21" s="1"/>
    </row>
    <row r="22">
      <c r="A22" s="1"/>
      <c r="B22" s="1" t="s">
        <v>318</v>
      </c>
      <c r="C22" s="24">
        <v>121</v>
      </c>
      <c r="D22" s="24">
        <v>106</v>
      </c>
      <c r="E22" s="24">
        <v>-447</v>
      </c>
      <c r="F22" s="24">
        <v>142</v>
      </c>
      <c r="G22" s="24">
        <v>-28</v>
      </c>
      <c r="H22" s="61">
        <v>130</v>
      </c>
      <c r="I22" s="31" t="s">
        <v>319</v>
      </c>
      <c r="J22" s="1"/>
      <c r="K22" s="1"/>
      <c r="L22" s="1"/>
      <c r="M22" s="1"/>
    </row>
    <row r="23">
      <c r="A23" s="1"/>
      <c r="B23" s="1" t="s">
        <v>320</v>
      </c>
      <c r="C23" s="24">
        <v>107</v>
      </c>
      <c r="D23" s="24">
        <v>23</v>
      </c>
      <c r="E23" s="24">
        <v>130</v>
      </c>
      <c r="F23" s="24">
        <v>-14</v>
      </c>
      <c r="G23" s="24">
        <v>191</v>
      </c>
      <c r="H23" s="61">
        <v>0</v>
      </c>
      <c r="I23" s="31"/>
      <c r="J23" s="1"/>
      <c r="K23" s="1"/>
      <c r="L23" s="1"/>
      <c r="M23" s="1"/>
    </row>
    <row r="24">
      <c r="A24" s="1"/>
      <c r="B24" s="1" t="s">
        <v>321</v>
      </c>
      <c r="C24" s="24">
        <v>13</v>
      </c>
      <c r="D24" s="24">
        <v>7</v>
      </c>
      <c r="E24" s="24">
        <v>4</v>
      </c>
      <c r="F24" s="24">
        <v>3</v>
      </c>
      <c r="G24" s="24">
        <v>-7</v>
      </c>
      <c r="H24" s="61">
        <v>0</v>
      </c>
      <c r="I24" s="31"/>
      <c r="J24" s="1"/>
      <c r="K24" s="1"/>
      <c r="L24" s="1"/>
      <c r="M24" s="1"/>
    </row>
    <row r="25">
      <c r="A25" s="1"/>
      <c r="B25" s="1" t="s">
        <v>322</v>
      </c>
      <c r="C25" s="24">
        <v>13</v>
      </c>
      <c r="D25" s="24">
        <v>48</v>
      </c>
      <c r="E25" s="24">
        <v>-67</v>
      </c>
      <c r="F25" s="24">
        <v>49</v>
      </c>
      <c r="G25" s="24">
        <v>29</v>
      </c>
      <c r="H25" s="61">
        <v>0</v>
      </c>
      <c r="I25" s="31"/>
      <c r="J25" s="1"/>
      <c r="K25" s="1"/>
      <c r="L25" s="1"/>
      <c r="M25" s="1"/>
    </row>
    <row r="26">
      <c r="A26" s="1"/>
      <c r="B26" s="9" t="s">
        <v>323</v>
      </c>
      <c r="C26" s="17">
        <f>C10+C11+C14+C15+C16+C17+C18+C19+C20+C21+C22+C23+C24+C25</f>
        <v>2190</v>
      </c>
      <c r="D26" s="17">
        <f>D10+D11+D14+D15+D16+D17+D18+D19+D20+D21+D22+D23+D24+D25</f>
        <v>2254</v>
      </c>
      <c r="E26" s="17">
        <f>E10+E11+E14+E15+E16+E17+E18+E19+E20+E21+E22+E23+E24+E25</f>
        <v>1520</v>
      </c>
      <c r="F26" s="17">
        <f>F10+F11+F14+F15+F16+F17+F18+F19+F20+F21+F22+F23+F24+F25</f>
        <v>2703</v>
      </c>
      <c r="G26" s="17">
        <f>G10+G11+G14+G15+G16+G17+G18+G19+G20+G21+G22+G23+G24+G25</f>
        <v>7153</v>
      </c>
      <c r="H26" s="38">
        <f>H10+H11+H14+H15+H16+H17+H18+H19+H20+H21+H22+H23+H24+H25</f>
        <v>2867.276473593478</v>
      </c>
      <c r="I26" s="31"/>
      <c r="J26" s="1"/>
      <c r="K26" s="1"/>
      <c r="L26" s="1"/>
      <c r="M26" s="1"/>
    </row>
    <row r="27">
      <c r="A27" s="1"/>
      <c r="B27" s="1"/>
      <c r="C27" s="1"/>
      <c r="D27" s="1"/>
      <c r="E27" s="1"/>
      <c r="F27" s="1"/>
      <c r="G27" s="1"/>
      <c r="H27" s="51"/>
      <c r="I27" s="31"/>
      <c r="J27" s="1"/>
      <c r="K27" s="1"/>
      <c r="L27" s="1"/>
      <c r="M27" s="1"/>
    </row>
    <row r="28">
      <c r="A28" s="1"/>
      <c r="B28" s="25" t="s">
        <v>324</v>
      </c>
      <c r="C28" s="1"/>
      <c r="D28" s="1"/>
      <c r="E28" s="1"/>
      <c r="F28" s="1"/>
      <c r="G28" s="1"/>
      <c r="H28" s="51"/>
      <c r="I28" s="31"/>
      <c r="J28" s="1"/>
      <c r="K28" s="1"/>
      <c r="L28" s="1"/>
      <c r="M28" s="1"/>
    </row>
    <row r="29">
      <c r="A29" s="1"/>
      <c r="B29" s="1" t="s">
        <v>325</v>
      </c>
      <c r="C29" s="24">
        <v>-1197</v>
      </c>
      <c r="D29" s="24">
        <v>-925</v>
      </c>
      <c r="E29" s="24">
        <v>-676</v>
      </c>
      <c r="F29" s="24">
        <v>-514</v>
      </c>
      <c r="G29" s="24">
        <v>-4550</v>
      </c>
      <c r="H29" s="61">
        <v>-650</v>
      </c>
      <c r="I29" s="31" t="s">
        <v>326</v>
      </c>
      <c r="J29" s="1"/>
      <c r="K29" s="1"/>
      <c r="L29" s="1"/>
      <c r="M29" s="1"/>
    </row>
    <row r="30">
      <c r="A30" s="1"/>
      <c r="B30" s="1" t="s">
        <v>327</v>
      </c>
      <c r="C30" s="32">
        <f>IF(AND(ISNUMBER(C29),ISNUMBER(Inputs!F134)),C29-Inputs!F134,"n/a")</f>
        <v>108</v>
      </c>
      <c r="D30" s="15">
        <f>IF(AND(ISNUMBER(D29),ISNUMBER(C29)),D29-C29,"n/a")</f>
        <v>272</v>
      </c>
      <c r="E30" s="15">
        <f>IF(AND(ISNUMBER(E29),ISNUMBER(D29)),E29-D29,"n/a")</f>
        <v>249</v>
      </c>
      <c r="F30" s="15">
        <f>IF(AND(ISNUMBER(F29),ISNUMBER(E29)),F29-E29,"n/a")</f>
        <v>162</v>
      </c>
      <c r="G30" s="15" t="s">
        <v>82</v>
      </c>
      <c r="H30" s="41">
        <f>IF(AND(ISNUMBER(H29),ISNUMBER(F29)),H29-F29,"n/a")</f>
        <v>-136</v>
      </c>
      <c r="I30" s="31"/>
      <c r="J30" s="1"/>
      <c r="K30" s="1"/>
      <c r="L30" s="1"/>
      <c r="M30" s="1"/>
    </row>
    <row r="31">
      <c r="A31" s="1"/>
      <c r="B31" s="12" t="s">
        <v>328</v>
      </c>
      <c r="C31" s="4" t="s">
        <v>82</v>
      </c>
      <c r="D31" s="4" t="s">
        <v>82</v>
      </c>
      <c r="E31" s="4" t="s">
        <v>82</v>
      </c>
      <c r="F31" s="13">
        <f>F29/Inputs!F134-1</f>
        <v>-0.6061302681992338</v>
      </c>
      <c r="G31" s="13">
        <f>G29/Inputs!G134-1</f>
        <v>-0.05601659751037347</v>
      </c>
      <c r="H31" s="16">
        <f>H29/C29-1</f>
        <v>-0.4569757727652465</v>
      </c>
      <c r="I31" s="31"/>
      <c r="J31" s="1"/>
      <c r="K31" s="1"/>
      <c r="L31" s="1"/>
      <c r="M31" s="1"/>
    </row>
    <row r="32">
      <c r="A32" s="1"/>
      <c r="B32" s="1" t="s">
        <v>329</v>
      </c>
      <c r="C32" s="24">
        <v>75</v>
      </c>
      <c r="D32" s="24">
        <v>0</v>
      </c>
      <c r="E32" s="24">
        <v>555</v>
      </c>
      <c r="F32" s="24">
        <v>549</v>
      </c>
      <c r="G32" s="24">
        <v>335</v>
      </c>
      <c r="H32" s="61">
        <v>0</v>
      </c>
      <c r="I32" s="31" t="s">
        <v>330</v>
      </c>
      <c r="J32" s="1"/>
      <c r="K32" s="1"/>
      <c r="L32" s="1"/>
      <c r="M32" s="1"/>
    </row>
    <row r="33">
      <c r="A33" s="1"/>
      <c r="B33" s="1" t="s">
        <v>331</v>
      </c>
      <c r="C33" s="24">
        <v>1</v>
      </c>
      <c r="D33" s="24">
        <v>0</v>
      </c>
      <c r="E33" s="24">
        <v>5</v>
      </c>
      <c r="F33" s="24">
        <v>32</v>
      </c>
      <c r="G33" s="24">
        <v>1</v>
      </c>
      <c r="H33" s="61">
        <v>0</v>
      </c>
      <c r="I33" s="31"/>
      <c r="J33" s="1"/>
      <c r="K33" s="1"/>
      <c r="L33" s="1"/>
      <c r="M33" s="1"/>
    </row>
    <row r="34">
      <c r="A34" s="1"/>
      <c r="B34" s="1" t="s">
        <v>332</v>
      </c>
      <c r="C34" s="24">
        <v>-805</v>
      </c>
      <c r="D34" s="24">
        <v>-880</v>
      </c>
      <c r="E34" s="24">
        <v>-935</v>
      </c>
      <c r="F34" s="24">
        <v>-2407</v>
      </c>
      <c r="G34" s="24">
        <v>-3524</v>
      </c>
      <c r="H34" s="61">
        <v>0</v>
      </c>
      <c r="I34" s="31"/>
      <c r="J34" s="1"/>
      <c r="K34" s="1"/>
      <c r="L34" s="1"/>
      <c r="M34" s="1"/>
    </row>
    <row r="35">
      <c r="A35" s="1"/>
      <c r="B35" s="1" t="s">
        <v>333</v>
      </c>
      <c r="C35" s="24">
        <v>1260</v>
      </c>
      <c r="D35" s="24">
        <v>1110</v>
      </c>
      <c r="E35" s="24">
        <v>1043</v>
      </c>
      <c r="F35" s="24">
        <v>636</v>
      </c>
      <c r="G35" s="24">
        <v>6308</v>
      </c>
      <c r="H35" s="61">
        <v>0</v>
      </c>
      <c r="I35" s="31"/>
      <c r="J35" s="1"/>
      <c r="K35" s="1"/>
      <c r="L35" s="1"/>
      <c r="M35" s="1"/>
    </row>
    <row r="36">
      <c r="A36" s="1"/>
      <c r="B36" s="1" t="s">
        <v>334</v>
      </c>
      <c r="C36" s="24">
        <v>-15</v>
      </c>
      <c r="D36" s="24">
        <v>19</v>
      </c>
      <c r="E36" s="24">
        <v>-39</v>
      </c>
      <c r="F36" s="24">
        <v>2</v>
      </c>
      <c r="G36" s="24">
        <v>-9</v>
      </c>
      <c r="H36" s="61">
        <v>-21</v>
      </c>
      <c r="I36" s="31" t="s">
        <v>335</v>
      </c>
      <c r="J36" s="1"/>
      <c r="K36" s="1"/>
      <c r="L36" s="1"/>
      <c r="M36" s="1"/>
    </row>
    <row r="37">
      <c r="A37" s="1"/>
      <c r="B37" s="9" t="s">
        <v>336</v>
      </c>
      <c r="C37" s="17">
        <f>C29+C32+C33+C34+C35+C36</f>
        <v>-681</v>
      </c>
      <c r="D37" s="17">
        <f>D29+D32+D33+D34+D35+D36</f>
        <v>-676</v>
      </c>
      <c r="E37" s="17">
        <f>E29+E32+E33+E34+E35+E36</f>
        <v>-47</v>
      </c>
      <c r="F37" s="17">
        <f>F29+F32+F33+F34+F35+F36</f>
        <v>-1702</v>
      </c>
      <c r="G37" s="17">
        <f>G29+G32+G33+G34+G35+G36</f>
        <v>-1439</v>
      </c>
      <c r="H37" s="38">
        <f>H29+H32+H33+H34+H35+H36</f>
        <v>-671</v>
      </c>
      <c r="I37" s="31"/>
      <c r="J37" s="1"/>
      <c r="K37" s="1"/>
      <c r="L37" s="1"/>
      <c r="M37" s="1"/>
    </row>
    <row r="38">
      <c r="A38" s="1"/>
      <c r="B38" s="1"/>
      <c r="C38" s="1"/>
      <c r="D38" s="1"/>
      <c r="E38" s="1"/>
      <c r="F38" s="1"/>
      <c r="G38" s="1"/>
      <c r="H38" s="51"/>
      <c r="I38" s="31"/>
      <c r="J38" s="1"/>
      <c r="K38" s="1"/>
      <c r="L38" s="1"/>
      <c r="M38" s="1"/>
    </row>
    <row r="39">
      <c r="A39" s="1"/>
      <c r="B39" s="25" t="s">
        <v>337</v>
      </c>
      <c r="C39" s="1"/>
      <c r="D39" s="1"/>
      <c r="E39" s="1"/>
      <c r="F39" s="1"/>
      <c r="G39" s="1"/>
      <c r="H39" s="51"/>
      <c r="I39" s="31"/>
      <c r="J39" s="1"/>
      <c r="K39" s="1"/>
      <c r="L39" s="1"/>
      <c r="M39" s="1"/>
    </row>
    <row r="40">
      <c r="A40" s="1"/>
      <c r="B40" s="1" t="s">
        <v>338</v>
      </c>
      <c r="C40" s="24">
        <v>0</v>
      </c>
      <c r="D40" s="24">
        <v>0</v>
      </c>
      <c r="E40" s="24">
        <v>0</v>
      </c>
      <c r="F40" s="24">
        <v>0</v>
      </c>
      <c r="G40" s="24">
        <v>1199</v>
      </c>
      <c r="H40" s="61">
        <v>0</v>
      </c>
      <c r="I40" s="31"/>
      <c r="J40" s="1"/>
      <c r="K40" s="1"/>
      <c r="L40" s="1"/>
      <c r="M40" s="1"/>
    </row>
    <row r="41">
      <c r="A41" s="1"/>
      <c r="B41" s="1" t="s">
        <v>339</v>
      </c>
      <c r="C41" s="24">
        <v>0</v>
      </c>
      <c r="D41" s="24">
        <v>0</v>
      </c>
      <c r="E41" s="24">
        <v>0</v>
      </c>
      <c r="F41" s="24">
        <v>0</v>
      </c>
      <c r="G41" s="24">
        <v>-750</v>
      </c>
      <c r="H41" s="61">
        <v>-500</v>
      </c>
      <c r="I41" s="31" t="s">
        <v>340</v>
      </c>
      <c r="J41" s="1"/>
      <c r="K41" s="1"/>
      <c r="L41" s="1"/>
      <c r="M41" s="1"/>
    </row>
    <row r="42">
      <c r="A42" s="1"/>
      <c r="B42" s="1" t="s">
        <v>341</v>
      </c>
      <c r="C42" s="24">
        <v>-1236</v>
      </c>
      <c r="D42" s="24">
        <v>-1290</v>
      </c>
      <c r="E42" s="24">
        <v>-1291</v>
      </c>
      <c r="F42" s="24">
        <v>-1295</v>
      </c>
      <c r="G42" s="24">
        <v>-4999</v>
      </c>
      <c r="H42" s="56">
        <f>-'Share Count'!H35*'Share Count'!F12</f>
        <v>-1296.46</v>
      </c>
      <c r="I42" s="31" t="s">
        <v>342</v>
      </c>
      <c r="J42" s="1"/>
      <c r="K42" s="1"/>
      <c r="L42" s="1"/>
      <c r="M42" s="1"/>
    </row>
    <row r="43">
      <c r="A43" s="1"/>
      <c r="B43" s="1" t="s">
        <v>343</v>
      </c>
      <c r="C43" s="24">
        <v>-119</v>
      </c>
      <c r="D43" s="24">
        <v>-403</v>
      </c>
      <c r="E43" s="24">
        <v>-158</v>
      </c>
      <c r="F43" s="24">
        <v>-27</v>
      </c>
      <c r="G43" s="24">
        <v>-1477</v>
      </c>
      <c r="H43" s="61">
        <v>-50</v>
      </c>
      <c r="I43" s="31" t="s">
        <v>344</v>
      </c>
      <c r="J43" s="1"/>
      <c r="K43" s="1"/>
      <c r="L43" s="1"/>
      <c r="M43" s="1"/>
    </row>
    <row r="44">
      <c r="A44" s="1"/>
      <c r="B44" s="1" t="s">
        <v>345</v>
      </c>
      <c r="C44" s="24">
        <v>125</v>
      </c>
      <c r="D44" s="24">
        <v>42</v>
      </c>
      <c r="E44" s="24">
        <v>309</v>
      </c>
      <c r="F44" s="24">
        <v>445</v>
      </c>
      <c r="G44" s="24">
        <v>400</v>
      </c>
      <c r="H44" s="61">
        <v>150</v>
      </c>
      <c r="I44" s="31" t="s">
        <v>346</v>
      </c>
      <c r="J44" s="1"/>
      <c r="K44" s="1"/>
      <c r="L44" s="1"/>
      <c r="M44" s="1"/>
    </row>
    <row r="45">
      <c r="A45" s="1"/>
      <c r="B45" s="1" t="s">
        <v>347</v>
      </c>
      <c r="C45" s="24">
        <v>-12</v>
      </c>
      <c r="D45" s="24">
        <v>-13</v>
      </c>
      <c r="E45" s="24">
        <v>-9</v>
      </c>
      <c r="F45" s="24">
        <v>-13</v>
      </c>
      <c r="G45" s="24">
        <v>-62</v>
      </c>
      <c r="H45" s="41">
        <f>F45</f>
        <v>-13</v>
      </c>
      <c r="I45" s="31" t="s">
        <v>348</v>
      </c>
      <c r="J45" s="1"/>
      <c r="K45" s="1"/>
      <c r="L45" s="1"/>
      <c r="M45" s="1"/>
    </row>
    <row r="46">
      <c r="A46" s="1"/>
      <c r="B46" s="9" t="s">
        <v>349</v>
      </c>
      <c r="C46" s="17">
        <f>SUM(C40:C45)</f>
        <v>-1242</v>
      </c>
      <c r="D46" s="17">
        <f>SUM(D40:D45)</f>
        <v>-1664</v>
      </c>
      <c r="E46" s="17">
        <f>SUM(E40:E45)</f>
        <v>-1149</v>
      </c>
      <c r="F46" s="17">
        <f>SUM(F40:F45)</f>
        <v>-890</v>
      </c>
      <c r="G46" s="17">
        <f>SUM(G40:G45)</f>
        <v>-5689</v>
      </c>
      <c r="H46" s="38">
        <f>SUM(H40:H45)</f>
        <v>-1709.46</v>
      </c>
      <c r="I46" s="31"/>
      <c r="J46" s="1"/>
      <c r="K46" s="1"/>
      <c r="L46" s="1"/>
      <c r="M46" s="1"/>
    </row>
    <row r="47">
      <c r="A47" s="1"/>
      <c r="B47" s="1"/>
      <c r="C47" s="1"/>
      <c r="D47" s="1"/>
      <c r="E47" s="1"/>
      <c r="F47" s="1"/>
      <c r="G47" s="1"/>
      <c r="H47" s="51"/>
      <c r="I47" s="31"/>
      <c r="J47" s="1"/>
      <c r="K47" s="1"/>
      <c r="L47" s="1"/>
      <c r="M47" s="1"/>
    </row>
    <row r="48">
      <c r="A48" s="1"/>
      <c r="B48" s="9" t="s">
        <v>350</v>
      </c>
      <c r="C48" s="17">
        <f>C26+C37+C46</f>
        <v>267</v>
      </c>
      <c r="D48" s="17">
        <f>D26+D37+D46</f>
        <v>-86</v>
      </c>
      <c r="E48" s="17">
        <f>E26+E37+E46</f>
        <v>324</v>
      </c>
      <c r="F48" s="17">
        <f>F26+F37+F46</f>
        <v>111</v>
      </c>
      <c r="G48" s="17">
        <f>G26+G37+G46</f>
        <v>25</v>
      </c>
      <c r="H48" s="38">
        <f>H26+H37+H46</f>
        <v>486.8164735934779</v>
      </c>
      <c r="I48" s="31"/>
      <c r="J48" s="1"/>
      <c r="K48" s="1"/>
      <c r="L48" s="1"/>
      <c r="M48" s="1"/>
    </row>
    <row r="49">
      <c r="A49" s="1"/>
      <c r="B49" s="1" t="s">
        <v>351</v>
      </c>
      <c r="C49" s="32">
        <f>Inputs!F132</f>
        <v>3044</v>
      </c>
      <c r="D49" s="32">
        <f>'Balance Sheet'!C10</f>
        <v>3311</v>
      </c>
      <c r="E49" s="32">
        <f>'Balance Sheet'!D10</f>
        <v>3225</v>
      </c>
      <c r="F49" s="32">
        <f>'Balance Sheet'!E10</f>
        <v>3549</v>
      </c>
      <c r="G49" s="32">
        <f>Inputs!G132</f>
        <v>3200</v>
      </c>
      <c r="H49" s="56">
        <f>'Balance Sheet'!F10</f>
        <v>3660</v>
      </c>
      <c r="I49" s="31"/>
      <c r="J49" s="1"/>
      <c r="K49" s="1"/>
      <c r="L49" s="1"/>
      <c r="M49" s="1"/>
    </row>
    <row r="50">
      <c r="A50" s="1"/>
      <c r="B50" s="9" t="s">
        <v>352</v>
      </c>
      <c r="C50" s="17">
        <f>C49+C48</f>
        <v>3311</v>
      </c>
      <c r="D50" s="17">
        <f>D49+D48</f>
        <v>3225</v>
      </c>
      <c r="E50" s="17">
        <f>E49+E48</f>
        <v>3549</v>
      </c>
      <c r="F50" s="17">
        <f>F49+F48</f>
        <v>3660</v>
      </c>
      <c r="G50" s="17">
        <f>G49+G48</f>
        <v>3225</v>
      </c>
      <c r="H50" s="38">
        <f>H49+H48</f>
        <v>4146.816473593478</v>
      </c>
      <c r="I50" s="31"/>
      <c r="J50" s="1"/>
      <c r="K50" s="1"/>
      <c r="L50" s="1"/>
      <c r="M50" s="1"/>
    </row>
    <row r="51">
      <c r="A51" s="1"/>
      <c r="B51" s="9" t="s">
        <v>353</v>
      </c>
      <c r="C51" s="69">
        <f>C50-'Balance Sheet'!C10</f>
        <v>0</v>
      </c>
      <c r="D51" s="69">
        <f>D50-'Balance Sheet'!D10</f>
        <v>0</v>
      </c>
      <c r="E51" s="69">
        <f>E50-'Balance Sheet'!E10</f>
        <v>0</v>
      </c>
      <c r="F51" s="69">
        <f>F50-'Balance Sheet'!F10</f>
        <v>0</v>
      </c>
      <c r="G51" s="69">
        <f>G50-'Balance Sheet'!G10</f>
        <v>0</v>
      </c>
      <c r="H51" s="67">
        <f>H50-'Balance Sheet'!H10</f>
        <v>0</v>
      </c>
      <c r="I51" s="31"/>
      <c r="J51" s="1"/>
      <c r="K51" s="1"/>
      <c r="L51" s="1"/>
      <c r="M51" s="1"/>
    </row>
    <row r="52">
      <c r="A52" s="1"/>
      <c r="B52" s="1" t="s">
        <v>354</v>
      </c>
      <c r="C52" s="24">
        <v>2190</v>
      </c>
      <c r="D52" s="24">
        <v>2254</v>
      </c>
      <c r="E52" s="24">
        <v>1520</v>
      </c>
      <c r="F52" s="24">
        <v>2703</v>
      </c>
      <c r="G52" s="24">
        <v>7153</v>
      </c>
      <c r="H52" s="41"/>
      <c r="I52" s="31"/>
      <c r="J52" s="1"/>
      <c r="K52" s="1"/>
      <c r="L52" s="1"/>
      <c r="M52" s="1"/>
    </row>
    <row r="53">
      <c r="A53" s="1"/>
      <c r="B53" s="1" t="s">
        <v>355</v>
      </c>
      <c r="C53" s="15">
        <f>C26-C52</f>
        <v>0</v>
      </c>
      <c r="D53" s="15">
        <f>D26-D52</f>
        <v>0</v>
      </c>
      <c r="E53" s="15">
        <f>E26-E52</f>
        <v>0</v>
      </c>
      <c r="F53" s="15">
        <f>F26-F52</f>
        <v>0</v>
      </c>
      <c r="G53" s="15">
        <f>G26-G52</f>
        <v>0</v>
      </c>
      <c r="H53" s="41"/>
      <c r="I53" s="31"/>
      <c r="J53" s="1"/>
      <c r="K53" s="1"/>
      <c r="L53" s="1"/>
      <c r="M53" s="1"/>
    </row>
    <row r="54">
      <c r="A54" s="1"/>
      <c r="B54" s="1"/>
      <c r="C54" s="1"/>
      <c r="D54" s="1"/>
      <c r="E54" s="1"/>
      <c r="F54" s="1"/>
      <c r="G54" s="1"/>
      <c r="H54" s="51"/>
      <c r="I54" s="31"/>
      <c r="J54" s="1"/>
      <c r="K54" s="1"/>
      <c r="L54" s="1"/>
      <c r="M54" s="1"/>
    </row>
    <row r="55">
      <c r="A55" s="1"/>
      <c r="B55" s="25" t="s">
        <v>356</v>
      </c>
      <c r="C55" s="1"/>
      <c r="D55" s="1"/>
      <c r="E55" s="1"/>
      <c r="F55" s="1"/>
      <c r="G55" s="1"/>
      <c r="H55" s="51"/>
      <c r="I55" s="31"/>
      <c r="J55" s="1"/>
      <c r="K55" s="1"/>
      <c r="L55" s="1"/>
      <c r="M55" s="1"/>
    </row>
    <row r="56">
      <c r="A56" s="1"/>
      <c r="B56" s="9" t="s">
        <v>357</v>
      </c>
      <c r="C56" s="17">
        <f>C26+C29+C32</f>
        <v>1068</v>
      </c>
      <c r="D56" s="17">
        <f>D26+D29+D32</f>
        <v>1329</v>
      </c>
      <c r="E56" s="17">
        <f>E26+E29+E32</f>
        <v>1399</v>
      </c>
      <c r="F56" s="17">
        <f>F26+F29+F32</f>
        <v>2738</v>
      </c>
      <c r="G56" s="17">
        <f>G26+G29+G32</f>
        <v>2938</v>
      </c>
      <c r="H56" s="38">
        <f>H26+H29+H32</f>
        <v>2217.276473593478</v>
      </c>
      <c r="I56" s="31"/>
      <c r="J56" s="1"/>
      <c r="K56" s="1"/>
      <c r="L56" s="1"/>
      <c r="M56" s="1"/>
    </row>
    <row r="57">
      <c r="A57" s="1"/>
      <c r="B57" s="12" t="s">
        <v>358</v>
      </c>
      <c r="C57" s="13">
        <f>C56/'Income Statement'!C9</f>
        <v>0.22522142555883592</v>
      </c>
      <c r="D57" s="13">
        <f>D56/'Income Statement'!D9</f>
        <v>0.3004747908659281</v>
      </c>
      <c r="E57" s="13">
        <f>E56/'Income Statement'!E9</f>
        <v>0.2899481865284974</v>
      </c>
      <c r="F57" s="13">
        <f>F56/'Income Statement'!F9</f>
        <v>0.5011898224418817</v>
      </c>
      <c r="G57" s="13">
        <f>G56/'Income Statement'!G9</f>
        <v>0.16615767447121366</v>
      </c>
      <c r="H57" s="80">
        <f>H56/'Income Statement'!H9</f>
        <v>0.36789431928068383</v>
      </c>
      <c r="I57" s="31"/>
      <c r="J57" s="1"/>
      <c r="K57" s="1"/>
      <c r="L57" s="1"/>
      <c r="M57" s="1"/>
    </row>
    <row r="58">
      <c r="A58" s="1"/>
      <c r="B58" s="12" t="s">
        <v>127</v>
      </c>
      <c r="C58" s="22" t="s">
        <v>82</v>
      </c>
      <c r="D58" s="22">
        <f>IF(AND(ISNUMBER(D57),ISNUMBER(C57)),(D57-C57)*10000,"n/a")</f>
        <v>752.5336530709218</v>
      </c>
      <c r="E58" s="22">
        <f>IF(AND(ISNUMBER(E57),ISNUMBER(D57)),(E57-D57)*10000,"n/a")</f>
        <v>-105.26604337430689</v>
      </c>
      <c r="F58" s="22">
        <f>IF(AND(ISNUMBER(F57),ISNUMBER(E57)),(F57-E57)*10000,"n/a")</f>
        <v>2112.416359133843</v>
      </c>
      <c r="G58" s="22" t="s">
        <v>82</v>
      </c>
      <c r="H58" s="28">
        <f>IF(AND(ISNUMBER(H57),ISNUMBER(F57)),(H57-F57)*10000,"n/a")</f>
        <v>-1332.9550316119787</v>
      </c>
      <c r="I58" s="31"/>
      <c r="J58" s="1"/>
      <c r="K58" s="1"/>
      <c r="L58" s="1"/>
      <c r="M58" s="1"/>
    </row>
    <row r="59">
      <c r="A59" s="1"/>
      <c r="B59" s="12" t="s">
        <v>359</v>
      </c>
      <c r="C59" s="13">
        <f>C26/'Income Statement'!C9</f>
        <v>0.46183045128637706</v>
      </c>
      <c r="D59" s="13">
        <f>D26/'Income Statement'!D9</f>
        <v>0.5096088627628307</v>
      </c>
      <c r="E59" s="13">
        <f>E26/'Income Statement'!E9</f>
        <v>0.3150259067357513</v>
      </c>
      <c r="F59" s="13">
        <f>F26/'Income Statement'!F9</f>
        <v>0.49478308621636463</v>
      </c>
      <c r="G59" s="13">
        <f>G26/'Income Statement'!G9</f>
        <v>0.4045356860083701</v>
      </c>
      <c r="H59" s="80">
        <f>H26/'Income Statement'!H9</f>
        <v>0.47574343524811713</v>
      </c>
      <c r="I59" s="31"/>
      <c r="J59" s="1"/>
      <c r="K59" s="1"/>
      <c r="L59" s="1"/>
      <c r="M59" s="1"/>
    </row>
    <row r="60">
      <c r="A60" s="1"/>
      <c r="B60" s="12" t="s">
        <v>127</v>
      </c>
      <c r="C60" s="22" t="s">
        <v>82</v>
      </c>
      <c r="D60" s="22">
        <f>IF(AND(ISNUMBER(D59),ISNUMBER(C59)),(D59-C59)*10000,"n/a")</f>
        <v>477.7841147645362</v>
      </c>
      <c r="E60" s="22">
        <f>IF(AND(ISNUMBER(E59),ISNUMBER(D59)),(E59-D59)*10000,"n/a")</f>
        <v>-1945.8295602707938</v>
      </c>
      <c r="F60" s="22">
        <f>IF(AND(ISNUMBER(F59),ISNUMBER(E59)),(F59-E59)*10000,"n/a")</f>
        <v>1797.571794806133</v>
      </c>
      <c r="G60" s="22" t="s">
        <v>82</v>
      </c>
      <c r="H60" s="28">
        <f>IF(AND(ISNUMBER(H59),ISNUMBER(F59)),(H59-F59)*10000,"n/a")</f>
        <v>-190.396509682475</v>
      </c>
      <c r="I60" s="31"/>
      <c r="J60" s="1"/>
      <c r="K60" s="1"/>
      <c r="L60" s="1"/>
      <c r="M60" s="1"/>
    </row>
    <row r="61">
      <c r="A61" s="1"/>
      <c r="B61" s="12" t="s">
        <v>360</v>
      </c>
      <c r="C61" s="13">
        <f>-C29/'Income Statement'!C9</f>
        <v>0.252425137072965</v>
      </c>
      <c r="D61" s="13">
        <f>-D29/'Income Statement'!D9</f>
        <v>0.20913407189690256</v>
      </c>
      <c r="E61" s="13">
        <f>-E29/'Income Statement'!E9</f>
        <v>0.14010362694300518</v>
      </c>
      <c r="F61" s="13">
        <f>-F29/'Income Statement'!F9</f>
        <v>0.09408749771187992</v>
      </c>
      <c r="G61" s="13">
        <f>-G29/'Income Statement'!G9</f>
        <v>0.2573238321456849</v>
      </c>
      <c r="H61" s="80">
        <f>-H29/'Income Statement'!H9</f>
        <v>0.10784911596743328</v>
      </c>
      <c r="I61" s="31"/>
      <c r="J61" s="1"/>
      <c r="K61" s="1"/>
      <c r="L61" s="1"/>
      <c r="M61" s="1"/>
    </row>
    <row r="62">
      <c r="A62" s="1"/>
      <c r="B62" s="12" t="s">
        <v>127</v>
      </c>
      <c r="C62" s="22" t="s">
        <v>82</v>
      </c>
      <c r="D62" s="22">
        <f>IF(AND(ISNUMBER(D61),ISNUMBER(C61)),(D61-C61)*10000,"n/a")</f>
        <v>-432.9106517606243</v>
      </c>
      <c r="E62" s="22">
        <f>IF(AND(ISNUMBER(E61),ISNUMBER(D61)),(E61-D61)*10000,"n/a")</f>
        <v>-690.3044495389737</v>
      </c>
      <c r="F62" s="22">
        <f>IF(AND(ISNUMBER(F61),ISNUMBER(E61)),(F61-E61)*10000,"n/a")</f>
        <v>-460.1612923112526</v>
      </c>
      <c r="G62" s="22" t="s">
        <v>82</v>
      </c>
      <c r="H62" s="28">
        <f>IF(AND(ISNUMBER(H61),ISNUMBER(F61)),(H61-F61)*10000,"n/a")</f>
        <v>137.61618255553358</v>
      </c>
      <c r="I62" s="31"/>
      <c r="J62" s="1"/>
      <c r="K62" s="1"/>
      <c r="L62" s="1"/>
      <c r="M62" s="1"/>
    </row>
    <row r="63">
      <c r="A63" s="1"/>
      <c r="B63" s="1" t="s">
        <v>361</v>
      </c>
      <c r="C63" s="15">
        <f>C11+C14</f>
        <v>517</v>
      </c>
      <c r="D63" s="15">
        <f>D11+D14</f>
        <v>557</v>
      </c>
      <c r="E63" s="15">
        <f>E11+E14</f>
        <v>562</v>
      </c>
      <c r="F63" s="15">
        <f>F11+F14</f>
        <v>568</v>
      </c>
      <c r="G63" s="15">
        <f>G11+G14</f>
        <v>1999</v>
      </c>
      <c r="H63" s="41">
        <f>H11+H14</f>
        <v>576</v>
      </c>
      <c r="I63" s="31" t="s">
        <v>362</v>
      </c>
      <c r="J63" s="1"/>
      <c r="K63" s="1"/>
      <c r="L63" s="1"/>
      <c r="M63" s="1"/>
    </row>
    <row r="64">
      <c r="A64" s="1"/>
      <c r="B64" s="1" t="s">
        <v>363</v>
      </c>
      <c r="C64" s="24">
        <v>43</v>
      </c>
      <c r="D64" s="24">
        <v>89</v>
      </c>
      <c r="E64" s="24">
        <v>0</v>
      </c>
      <c r="F64" s="24">
        <v>301</v>
      </c>
      <c r="G64" s="24">
        <v>335</v>
      </c>
      <c r="H64" s="41" t="s">
        <v>109</v>
      </c>
      <c r="I64" s="31" t="s">
        <v>364</v>
      </c>
      <c r="J64" s="1"/>
      <c r="K64" s="1"/>
      <c r="L64" s="1"/>
      <c r="M64" s="1"/>
    </row>
    <row r="65">
      <c r="A65" s="1"/>
      <c r="B65" s="1"/>
      <c r="C65" s="1"/>
      <c r="D65" s="1"/>
      <c r="E65" s="1"/>
      <c r="F65" s="1"/>
      <c r="G65" s="1"/>
      <c r="H65" s="51"/>
      <c r="I65" s="31"/>
      <c r="J65" s="1"/>
      <c r="K65" s="1"/>
      <c r="L65" s="1"/>
      <c r="M65" s="1"/>
    </row>
    <row r="66">
      <c r="A66" s="1"/>
      <c r="B66" s="25" t="s">
        <v>229</v>
      </c>
      <c r="C66" s="1"/>
      <c r="D66" s="1"/>
      <c r="E66" s="1"/>
      <c r="F66" s="1"/>
      <c r="G66" s="1"/>
      <c r="H66" s="51"/>
      <c r="I66" s="31"/>
      <c r="J66" s="1"/>
      <c r="K66" s="1"/>
      <c r="L66" s="1"/>
      <c r="M66" s="1"/>
    </row>
    <row r="67">
      <c r="A67" s="1"/>
      <c r="B67" s="1" t="s">
        <v>365</v>
      </c>
      <c r="C67" s="15"/>
      <c r="D67" s="15"/>
      <c r="E67" s="15"/>
      <c r="F67" s="15"/>
      <c r="G67" s="32">
        <f>Inputs!H133+C26+D26-G26</f>
        <v>0</v>
      </c>
      <c r="H67" s="41"/>
      <c r="I67" s="31"/>
      <c r="J67" s="1"/>
      <c r="K67" s="1"/>
      <c r="L67" s="1"/>
      <c r="M67" s="1"/>
    </row>
    <row r="68">
      <c r="A68" s="1"/>
      <c r="B68" s="1" t="s">
        <v>366</v>
      </c>
      <c r="C68" s="15"/>
      <c r="D68" s="15"/>
      <c r="E68" s="15"/>
      <c r="F68" s="15"/>
      <c r="G68" s="32">
        <f>Inputs!H134+C29+D29-G29</f>
        <v>0</v>
      </c>
      <c r="H68" s="41"/>
      <c r="I68" s="31"/>
      <c r="J68" s="1"/>
      <c r="K68" s="1"/>
      <c r="L68" s="1"/>
      <c r="M68" s="1"/>
    </row>
    <row r="69">
      <c r="A69" s="1"/>
      <c r="B69" s="1" t="s">
        <v>367</v>
      </c>
      <c r="C69" s="15"/>
      <c r="D69" s="15"/>
      <c r="E69" s="15"/>
      <c r="F69" s="15"/>
      <c r="G69" s="32">
        <f>Inputs!H136+C48+D48-G48</f>
        <v>0</v>
      </c>
      <c r="H69" s="41"/>
      <c r="I69" s="31"/>
      <c r="J69" s="1"/>
      <c r="K69" s="1"/>
      <c r="L69" s="1"/>
      <c r="M69" s="1"/>
    </row>
    <row r="70">
      <c r="A70" s="1"/>
      <c r="B70" s="1"/>
      <c r="C70" s="1"/>
      <c r="D70" s="1"/>
      <c r="E70" s="1"/>
      <c r="F70" s="1"/>
      <c r="G70" s="1"/>
      <c r="H70" s="51"/>
      <c r="I70" s="31"/>
      <c r="J70" s="1"/>
      <c r="K70" s="1"/>
      <c r="L70" s="1"/>
      <c r="M70" s="1"/>
    </row>
    <row r="7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</row>
    <row r="7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</row>
    <row r="77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</sheetData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M93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8" width="12" customWidth="1"/>
    <col min="9" max="9" width="6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>
      <c r="A2" s="1"/>
      <c r="B2" s="47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>
      <c r="A3" s="1"/>
      <c r="B3" s="9" t="s">
        <v>368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>
      <c r="A4" s="1"/>
      <c r="B4" s="12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>
      <c r="A5" s="1"/>
      <c r="B5" s="23" t="s">
        <v>3</v>
      </c>
      <c r="C5" s="27" t="s">
        <v>74</v>
      </c>
      <c r="D5" s="27" t="s">
        <v>75</v>
      </c>
      <c r="E5" s="27" t="s">
        <v>76</v>
      </c>
      <c r="F5" s="27" t="s">
        <v>77</v>
      </c>
      <c r="G5" s="27" t="s">
        <v>78</v>
      </c>
      <c r="H5" s="66" t="s">
        <v>4</v>
      </c>
      <c r="I5" s="49" t="s">
        <v>32</v>
      </c>
      <c r="J5" s="1"/>
      <c r="K5" s="1"/>
      <c r="L5" s="1"/>
      <c r="M5" s="1"/>
    </row>
    <row r="6">
      <c r="A6" s="1"/>
      <c r="B6" s="29" t="s">
        <v>5</v>
      </c>
      <c r="C6" s="39">
        <f>DATE(2025,9,30)</f>
        <v>45930</v>
      </c>
      <c r="D6" s="39">
        <f>DATE(2025,12,31)</f>
        <v>46022</v>
      </c>
      <c r="E6" s="39">
        <f>DATE(2026,3,31)</f>
        <v>46112</v>
      </c>
      <c r="F6" s="39">
        <f>DATE(2026,6,30)</f>
        <v>46203</v>
      </c>
      <c r="G6" s="39">
        <f>DATE(2025,12,31)</f>
        <v>46022</v>
      </c>
      <c r="H6" s="64">
        <f>DATE(2026,9,30)</f>
        <v>46295</v>
      </c>
      <c r="I6" s="29"/>
      <c r="J6" s="1"/>
      <c r="K6" s="1"/>
      <c r="L6" s="1"/>
      <c r="M6" s="1"/>
    </row>
    <row r="7">
      <c r="A7" s="1"/>
      <c r="B7" s="18" t="s">
        <v>6</v>
      </c>
      <c r="C7" s="42">
        <f>C6-EOMONTH(C6,-3)</f>
        <v>92</v>
      </c>
      <c r="D7" s="42">
        <f>D6-EOMONTH(D6,-3)</f>
        <v>92</v>
      </c>
      <c r="E7" s="42">
        <f>E6-EOMONTH(E6,-3)</f>
        <v>90</v>
      </c>
      <c r="F7" s="42">
        <f>F6-EOMONTH(F6,-3)</f>
        <v>91</v>
      </c>
      <c r="G7" s="42">
        <f>G6-EOMONTH(G6,-12)</f>
        <v>365</v>
      </c>
      <c r="H7" s="55">
        <f>H6-EOMONTH(H6,-3)</f>
        <v>92</v>
      </c>
      <c r="I7" s="18"/>
      <c r="J7" s="1"/>
      <c r="K7" s="1"/>
      <c r="L7" s="1"/>
      <c r="M7" s="1"/>
    </row>
    <row r="8">
      <c r="A8" s="1"/>
      <c r="B8" s="1"/>
      <c r="C8" s="1"/>
      <c r="D8" s="1"/>
      <c r="E8" s="1"/>
      <c r="F8" s="1"/>
      <c r="G8" s="1"/>
      <c r="H8" s="51"/>
      <c r="I8" s="1"/>
      <c r="J8" s="1"/>
      <c r="K8" s="1"/>
      <c r="L8" s="1"/>
      <c r="M8" s="1"/>
    </row>
    <row r="9">
      <c r="A9" s="1"/>
      <c r="B9" s="25" t="s">
        <v>369</v>
      </c>
      <c r="C9" s="1"/>
      <c r="D9" s="1"/>
      <c r="E9" s="1"/>
      <c r="F9" s="1"/>
      <c r="G9" s="1"/>
      <c r="H9" s="51"/>
      <c r="I9" s="31"/>
      <c r="J9" s="1"/>
      <c r="K9" s="1"/>
      <c r="L9" s="1"/>
      <c r="M9" s="1"/>
    </row>
    <row r="10">
      <c r="A10" s="1"/>
      <c r="B10" s="9" t="s">
        <v>370</v>
      </c>
      <c r="C10" s="68">
        <v>1859</v>
      </c>
      <c r="D10" s="69">
        <f>G10-Inputs!I126</f>
        <v>1679</v>
      </c>
      <c r="E10" s="68">
        <v>1796</v>
      </c>
      <c r="F10" s="68">
        <v>2131</v>
      </c>
      <c r="G10" s="68">
        <v>6763</v>
      </c>
      <c r="H10" s="67">
        <f>H14*'Income Statement'!H9</f>
        <v>2350.9804423576793</v>
      </c>
      <c r="I10" s="31" t="s">
        <v>157</v>
      </c>
      <c r="J10" s="1"/>
      <c r="K10" s="1"/>
      <c r="L10" s="1"/>
      <c r="M10" s="1"/>
    </row>
    <row r="11">
      <c r="A11" s="1"/>
      <c r="B11" s="1" t="s">
        <v>81</v>
      </c>
      <c r="C11" s="32">
        <f>IF(AND(ISNUMBER(C10),ISNUMBER(Inputs!F126)),C10-Inputs!F126,"n/a")</f>
        <v>152</v>
      </c>
      <c r="D11" s="15">
        <f>IF(AND(ISNUMBER(D10),ISNUMBER(C10)),D10-C10,"n/a")</f>
        <v>-180</v>
      </c>
      <c r="E11" s="15">
        <f>IF(AND(ISNUMBER(E10),ISNUMBER(D10)),E10-D10,"n/a")</f>
        <v>117</v>
      </c>
      <c r="F11" s="15">
        <f>IF(AND(ISNUMBER(F10),ISNUMBER(E10)),F10-E10,"n/a")</f>
        <v>335</v>
      </c>
      <c r="G11" s="15" t="s">
        <v>82</v>
      </c>
      <c r="H11" s="41">
        <f>IF(AND(ISNUMBER(H10),ISNUMBER(F10)),H10-F10,"n/a")</f>
        <v>219.9804423576793</v>
      </c>
      <c r="I11" s="31"/>
      <c r="J11" s="1"/>
      <c r="K11" s="1"/>
      <c r="L11" s="1"/>
      <c r="M11" s="1"/>
    </row>
    <row r="12">
      <c r="A12" s="1"/>
      <c r="B12" s="12" t="s">
        <v>84</v>
      </c>
      <c r="C12" s="13">
        <f>IFERROR(C10/Inputs!C126-1,"n/a")</f>
        <v>0.13422818791946312</v>
      </c>
      <c r="D12" s="13">
        <f>IFERROR(D10/Inputs!D126-1,"n/a")</f>
        <v>0.03514180024660907</v>
      </c>
      <c r="E12" s="13">
        <f>IFERROR(E10/Inputs!E126-1,"n/a")</f>
        <v>0.18313570487483521</v>
      </c>
      <c r="F12" s="13">
        <f>IFERROR(F10/Inputs!F126-1,"n/a")</f>
        <v>0.2483889865260691</v>
      </c>
      <c r="G12" s="13">
        <f>IFERROR(G10/Inputs!G126-1,"n/a")</f>
        <v>0.13530300486822222</v>
      </c>
      <c r="H12" s="16">
        <f>IFERROR(H10/C10-1,"n/a")</f>
        <v>0.26464789798691735</v>
      </c>
      <c r="I12" s="31"/>
      <c r="J12" s="1"/>
      <c r="K12" s="1"/>
      <c r="L12" s="1"/>
      <c r="M12" s="1"/>
    </row>
    <row r="13">
      <c r="A13" s="1"/>
      <c r="B13" s="12" t="s">
        <v>85</v>
      </c>
      <c r="C13" s="13">
        <f>IFERROR(C10/Inputs!F126-1,"n/a")</f>
        <v>0.08904510837727009</v>
      </c>
      <c r="D13" s="4">
        <f>IFERROR(D10/C10-1,"n/a")</f>
        <v>-0.09682625067240447</v>
      </c>
      <c r="E13" s="4">
        <f>IFERROR(E10/D10-1,"n/a")</f>
        <v>0.06968433591423473</v>
      </c>
      <c r="F13" s="4">
        <f>IFERROR(F10/E10-1,"n/a")</f>
        <v>0.18652561247216037</v>
      </c>
      <c r="G13" s="4" t="s">
        <v>82</v>
      </c>
      <c r="H13" s="16">
        <f>IFERROR(H10/F10-1,"n/a")</f>
        <v>0.10322873878821182</v>
      </c>
      <c r="I13" s="31"/>
      <c r="J13" s="1"/>
      <c r="K13" s="1"/>
      <c r="L13" s="1"/>
      <c r="M13" s="1"/>
    </row>
    <row r="14">
      <c r="A14" s="1"/>
      <c r="B14" s="12" t="s">
        <v>371</v>
      </c>
      <c r="C14" s="4">
        <f>C10/C82</f>
        <v>0.3920286798819064</v>
      </c>
      <c r="D14" s="4">
        <f>D10/D82</f>
        <v>0.3796066018539453</v>
      </c>
      <c r="E14" s="4">
        <f>E10/E82</f>
        <v>0.3722279792746114</v>
      </c>
      <c r="F14" s="4">
        <f>F10/F82</f>
        <v>0.39007871133077066</v>
      </c>
      <c r="G14" s="4">
        <f>G10/G82</f>
        <v>0.38247935753873996</v>
      </c>
      <c r="H14" s="16">
        <f>F14</f>
        <v>0.39007871133077066</v>
      </c>
      <c r="I14" s="31"/>
      <c r="J14" s="1"/>
      <c r="K14" s="1"/>
      <c r="L14" s="1"/>
      <c r="M14" s="1"/>
    </row>
    <row r="15">
      <c r="A15" s="1"/>
      <c r="B15" s="12" t="s">
        <v>127</v>
      </c>
      <c r="C15" s="35">
        <f>IF(AND(ISNUMBER(C14),ISNUMBER((Inputs!F126/Inputs!F98))),(C14-(Inputs!F126/Inputs!F98))*10000,"n/a")</f>
        <v>82.60694270395608</v>
      </c>
      <c r="D15" s="22">
        <f>IF(AND(ISNUMBER(D14),ISNUMBER(C14)),(D14-C14)*10000,"n/a")</f>
        <v>-124.2207802796108</v>
      </c>
      <c r="E15" s="22">
        <f>IF(AND(ISNUMBER(E14),ISNUMBER(D14)),(E14-D14)*10000,"n/a")</f>
        <v>-73.78622579333916</v>
      </c>
      <c r="F15" s="22">
        <f>IF(AND(ISNUMBER(F14),ISNUMBER(E14)),(F14-E14)*10000,"n/a")</f>
        <v>178.5073205615928</v>
      </c>
      <c r="G15" s="22" t="s">
        <v>82</v>
      </c>
      <c r="H15" s="28">
        <f>IF(AND(ISNUMBER(H14),ISNUMBER(F14)),(H14-F14)*10000,"n/a")</f>
        <v>0</v>
      </c>
      <c r="I15" s="31"/>
      <c r="J15" s="1"/>
      <c r="K15" s="1"/>
      <c r="L15" s="1"/>
      <c r="M15" s="1"/>
    </row>
    <row r="16">
      <c r="A16" s="1"/>
      <c r="B16" s="12" t="s">
        <v>128</v>
      </c>
      <c r="C16" s="35">
        <f>IF(AND(ISNUMBER(C14),ISNUMBER((Inputs!C126/Inputs!C98))),(C14-(Inputs!C126/Inputs!C98))*10000,"n/a")</f>
        <v>-28.159358733333416</v>
      </c>
      <c r="D16" s="35">
        <f>IF(AND(ISNUMBER(D14),ISNUMBER((Inputs!D126/Inputs!D98))),(D14-(Inputs!D126/Inputs!D98))*10000,"n/a")</f>
        <v>-251.85012820374664</v>
      </c>
      <c r="E16" s="35">
        <f>IF(AND(ISNUMBER(E14),ISNUMBER((Inputs!E126/Inputs!E98))),(E14-(Inputs!E126/Inputs!E98))*10000,"n/a")</f>
        <v>-8.366557708543443</v>
      </c>
      <c r="F16" s="35">
        <f>IF(AND(ISNUMBER(F14),ISNUMBER((Inputs!F126/Inputs!F98))),(F14-(Inputs!F126/Inputs!F98))*10000,"n/a")</f>
        <v>63.10725719259891</v>
      </c>
      <c r="G16" s="35">
        <f>IF(AND(ISNUMBER(G14),ISNUMBER((Inputs!G126/Inputs!G98))),(G14-(Inputs!G126/Inputs!G98))*10000,"n/a")</f>
        <v>16.21356132180285</v>
      </c>
      <c r="H16" s="28">
        <f>IF(AND(ISNUMBER(H14),ISNUMBER(C14)),(H14-C14)*10000,"n/a")</f>
        <v>-19.499685511357168</v>
      </c>
      <c r="I16" s="31"/>
      <c r="J16" s="1"/>
      <c r="K16" s="1"/>
      <c r="L16" s="1"/>
      <c r="M16" s="1"/>
    </row>
    <row r="17">
      <c r="A17" s="1"/>
      <c r="B17" s="12" t="s">
        <v>87</v>
      </c>
      <c r="C17" s="40">
        <v>0</v>
      </c>
      <c r="D17" s="40">
        <v>0</v>
      </c>
      <c r="E17" s="40">
        <v>0</v>
      </c>
      <c r="F17" s="40">
        <v>0</v>
      </c>
      <c r="G17" s="40">
        <v>0</v>
      </c>
      <c r="H17" s="45">
        <v>0</v>
      </c>
      <c r="I17" s="31" t="s">
        <v>88</v>
      </c>
      <c r="J17" s="1"/>
      <c r="K17" s="1"/>
      <c r="L17" s="1"/>
      <c r="M17" s="1"/>
    </row>
    <row r="18">
      <c r="A18" s="1"/>
      <c r="B18" s="12" t="s">
        <v>89</v>
      </c>
      <c r="C18" s="4" t="s">
        <v>90</v>
      </c>
      <c r="D18" s="4" t="s">
        <v>90</v>
      </c>
      <c r="E18" s="4" t="s">
        <v>90</v>
      </c>
      <c r="F18" s="4" t="s">
        <v>90</v>
      </c>
      <c r="G18" s="4" t="s">
        <v>90</v>
      </c>
      <c r="H18" s="16" t="s">
        <v>90</v>
      </c>
      <c r="I18" s="31" t="s">
        <v>91</v>
      </c>
      <c r="J18" s="1"/>
      <c r="K18" s="1"/>
      <c r="L18" s="1"/>
      <c r="M18" s="1"/>
    </row>
    <row r="19">
      <c r="A19" s="1"/>
      <c r="B19" s="12" t="s">
        <v>92</v>
      </c>
      <c r="C19" s="4" t="str">
        <f>IF(AND(ISNUMBER(C12),ISNUMBER(C17),ISNUMBER(C18)),(1+C12)/((1+C17)*(1+C18))-1,"unavailable")</f>
        <v>unavailable</v>
      </c>
      <c r="D19" s="4" t="str">
        <f>IF(AND(ISNUMBER(D12),ISNUMBER(D17),ISNUMBER(D18)),(1+D12)/((1+D17)*(1+D18))-1,"unavailable")</f>
        <v>unavailable</v>
      </c>
      <c r="E19" s="4" t="str">
        <f>IF(AND(ISNUMBER(E12),ISNUMBER(E17),ISNUMBER(E18)),(1+E12)/((1+E17)*(1+E18))-1,"unavailable")</f>
        <v>unavailable</v>
      </c>
      <c r="F19" s="4" t="str">
        <f>IF(AND(ISNUMBER(F12),ISNUMBER(F17),ISNUMBER(F18)),(1+F12)/((1+F17)*(1+F18))-1,"unavailable")</f>
        <v>unavailable</v>
      </c>
      <c r="G19" s="4" t="str">
        <f>IF(AND(ISNUMBER(G12),ISNUMBER(G17),ISNUMBER(G18)),(1+G12)/((1+G17)*(1+G18))-1,"unavailable")</f>
        <v>unavailable</v>
      </c>
      <c r="H19" s="16" t="str">
        <f>IF(AND(ISNUMBER(H12),ISNUMBER(H17),ISNUMBER(H18)),(1+H12)/((1+H17)*(1+H18))-1,"unavailable")</f>
        <v>unavailable</v>
      </c>
      <c r="I19" s="31"/>
      <c r="J19" s="1"/>
      <c r="K19" s="1"/>
      <c r="L19" s="1"/>
      <c r="M19" s="1"/>
    </row>
    <row r="20">
      <c r="A20" s="1"/>
      <c r="B20" s="12" t="s">
        <v>93</v>
      </c>
      <c r="C20" s="4">
        <f>C12</f>
        <v>0.13422818791946312</v>
      </c>
      <c r="D20" s="4">
        <f>D12</f>
        <v>0.03514180024660907</v>
      </c>
      <c r="E20" s="4">
        <f>E12</f>
        <v>0.18313570487483521</v>
      </c>
      <c r="F20" s="4">
        <f>F12</f>
        <v>0.2483889865260691</v>
      </c>
      <c r="G20" s="4">
        <f>G12</f>
        <v>0.13530300486822222</v>
      </c>
      <c r="H20" s="16">
        <f>H12</f>
        <v>0.26464789798691735</v>
      </c>
      <c r="I20" s="31"/>
      <c r="J20" s="1"/>
      <c r="K20" s="1"/>
      <c r="L20" s="1"/>
      <c r="M20" s="1"/>
    </row>
    <row r="21">
      <c r="A21" s="1"/>
      <c r="B21" s="1"/>
      <c r="C21" s="1"/>
      <c r="D21" s="1"/>
      <c r="E21" s="1"/>
      <c r="F21" s="1"/>
      <c r="G21" s="1"/>
      <c r="H21" s="51"/>
      <c r="I21" s="31"/>
      <c r="J21" s="1"/>
      <c r="K21" s="1"/>
      <c r="L21" s="1"/>
      <c r="M21" s="1"/>
    </row>
    <row r="22">
      <c r="A22" s="1"/>
      <c r="B22" s="9" t="s">
        <v>372</v>
      </c>
      <c r="C22" s="68">
        <v>1019</v>
      </c>
      <c r="D22" s="69">
        <f>G22-Inputs!I127</f>
        <v>951</v>
      </c>
      <c r="E22" s="68">
        <v>1024</v>
      </c>
      <c r="F22" s="68">
        <v>1223</v>
      </c>
      <c r="G22" s="68">
        <v>3781</v>
      </c>
      <c r="H22" s="67">
        <f>H26*'Income Statement'!H9</f>
        <v>1349.2487475379828</v>
      </c>
      <c r="I22" s="31"/>
      <c r="J22" s="1"/>
      <c r="K22" s="1"/>
      <c r="L22" s="1"/>
      <c r="M22" s="1"/>
    </row>
    <row r="23">
      <c r="A23" s="1"/>
      <c r="B23" s="1" t="s">
        <v>81</v>
      </c>
      <c r="C23" s="32">
        <f>IF(AND(ISNUMBER(C22),ISNUMBER(Inputs!F127)),C22-Inputs!F127,"n/a")</f>
        <v>34</v>
      </c>
      <c r="D23" s="15">
        <f>IF(AND(ISNUMBER(D22),ISNUMBER(C22)),D22-C22,"n/a")</f>
        <v>-68</v>
      </c>
      <c r="E23" s="15">
        <f>IF(AND(ISNUMBER(E22),ISNUMBER(D22)),E22-D22,"n/a")</f>
        <v>73</v>
      </c>
      <c r="F23" s="15">
        <f>IF(AND(ISNUMBER(F22),ISNUMBER(E22)),F22-E22,"n/a")</f>
        <v>199</v>
      </c>
      <c r="G23" s="15" t="s">
        <v>82</v>
      </c>
      <c r="H23" s="41">
        <f>IF(AND(ISNUMBER(H22),ISNUMBER(F22)),H22-F22,"n/a")</f>
        <v>126.24874753798281</v>
      </c>
      <c r="I23" s="31"/>
      <c r="J23" s="1"/>
      <c r="K23" s="1"/>
      <c r="L23" s="1"/>
      <c r="M23" s="1"/>
    </row>
    <row r="24">
      <c r="A24" s="1"/>
      <c r="B24" s="12" t="s">
        <v>84</v>
      </c>
      <c r="C24" s="13">
        <f>IFERROR(C22/Inputs!C127-1,"n/a")</f>
        <v>0.2381530984204132</v>
      </c>
      <c r="D24" s="13">
        <f>IFERROR(D22/Inputs!D127-1,"n/a")</f>
        <v>0.1583434835566382</v>
      </c>
      <c r="E24" s="13">
        <f>IFERROR(E22/Inputs!E127-1,"n/a")</f>
        <v>0.23970944309927367</v>
      </c>
      <c r="F24" s="13">
        <f>IFERROR(F22/Inputs!F127-1,"n/a")</f>
        <v>0.24162436548223343</v>
      </c>
      <c r="G24" s="13">
        <f>IFERROR(G22/Inputs!G127-1,"n/a")</f>
        <v>0.2553120849933599</v>
      </c>
      <c r="H24" s="16">
        <f>IFERROR(H22/C22-1,"n/a")</f>
        <v>0.32409101819232866</v>
      </c>
      <c r="I24" s="31"/>
      <c r="J24" s="1"/>
      <c r="K24" s="1"/>
      <c r="L24" s="1"/>
      <c r="M24" s="1"/>
    </row>
    <row r="25">
      <c r="A25" s="1"/>
      <c r="B25" s="12" t="s">
        <v>85</v>
      </c>
      <c r="C25" s="13">
        <f>IFERROR(C22/Inputs!F127-1,"n/a")</f>
        <v>0.034517766497461855</v>
      </c>
      <c r="D25" s="4">
        <f>IFERROR(D22/C22-1,"n/a")</f>
        <v>-0.0667320902845927</v>
      </c>
      <c r="E25" s="4">
        <f>IFERROR(E22/D22-1,"n/a")</f>
        <v>0.0767613038906414</v>
      </c>
      <c r="F25" s="4">
        <f>IFERROR(F22/E22-1,"n/a")</f>
        <v>0.1943359375</v>
      </c>
      <c r="G25" s="4" t="s">
        <v>82</v>
      </c>
      <c r="H25" s="16">
        <f>IFERROR(H22/F22-1,"n/a")</f>
        <v>0.1032287387882116</v>
      </c>
      <c r="I25" s="31"/>
      <c r="J25" s="1"/>
      <c r="K25" s="1"/>
      <c r="L25" s="1"/>
      <c r="M25" s="1"/>
    </row>
    <row r="26">
      <c r="A26" s="1"/>
      <c r="B26" s="12" t="s">
        <v>371</v>
      </c>
      <c r="C26" s="4">
        <f>C22/C82</f>
        <v>0.214888232813159</v>
      </c>
      <c r="D26" s="4">
        <f>D22/D82</f>
        <v>0.21501243499886954</v>
      </c>
      <c r="E26" s="4">
        <f>E22/E82</f>
        <v>0.2122279792746114</v>
      </c>
      <c r="F26" s="4">
        <f>F22/F82</f>
        <v>0.22386966868021232</v>
      </c>
      <c r="G26" s="4">
        <f>G22/G82</f>
        <v>0.21383327677864494</v>
      </c>
      <c r="H26" s="16">
        <f>F26</f>
        <v>0.22386966868021232</v>
      </c>
      <c r="I26" s="31"/>
      <c r="J26" s="1"/>
      <c r="K26" s="1"/>
      <c r="L26" s="1"/>
      <c r="M26" s="1"/>
    </row>
    <row r="27">
      <c r="A27" s="1"/>
      <c r="B27" s="12" t="s">
        <v>127</v>
      </c>
      <c r="C27" s="35">
        <f>IF(AND(ISNUMBER(C26),ISNUMBER((Inputs!F127/Inputs!F98))),(C26-(Inputs!F127/Inputs!F98))*10000,"n/a")</f>
        <v>-65.5960891345972</v>
      </c>
      <c r="D27" s="22">
        <f>IF(AND(ISNUMBER(D26),ISNUMBER(C26)),(D26-C26)*10000,"n/a")</f>
        <v>1.2420218571054797</v>
      </c>
      <c r="E27" s="22">
        <f>IF(AND(ISNUMBER(E26),ISNUMBER(D26)),(E26-D26)*10000,"n/a")</f>
        <v>-27.84455724258145</v>
      </c>
      <c r="F27" s="22">
        <f>IF(AND(ISNUMBER(F26),ISNUMBER(E26)),(F26-E26)*10000,"n/a")</f>
        <v>116.41689405600924</v>
      </c>
      <c r="G27" s="22" t="s">
        <v>82</v>
      </c>
      <c r="H27" s="28">
        <f>IF(AND(ISNUMBER(H26),ISNUMBER(F26)),(H26-F26)*10000,"n/a")</f>
        <v>0</v>
      </c>
      <c r="I27" s="31"/>
      <c r="J27" s="1"/>
      <c r="K27" s="1"/>
      <c r="L27" s="1"/>
      <c r="M27" s="1"/>
    </row>
    <row r="28">
      <c r="A28" s="1"/>
      <c r="B28" s="12" t="s">
        <v>128</v>
      </c>
      <c r="C28" s="35">
        <f>IF(AND(ISNUMBER(C26),ISNUMBER((Inputs!C127/Inputs!C98))),(C26-(Inputs!C127/Inputs!C98))*10000,"n/a")</f>
        <v>166.22754615134434</v>
      </c>
      <c r="D28" s="35">
        <f>IF(AND(ISNUMBER(D26),ISNUMBER((Inputs!D127/Inputs!D98))),(D26-(Inputs!D127/Inputs!D98))*10000,"n/a")</f>
        <v>101.20995018834594</v>
      </c>
      <c r="E28" s="35">
        <f>IF(AND(ISNUMBER(E26),ISNUMBER((Inputs!E127/Inputs!E98))),(E26-(Inputs!E127/Inputs!E98))*10000,"n/a")</f>
        <v>92.29699599015429</v>
      </c>
      <c r="F28" s="35">
        <f>IF(AND(ISNUMBER(F26),ISNUMBER((Inputs!F127/Inputs!F98))),(F26-(Inputs!F127/Inputs!F98))*10000,"n/a")</f>
        <v>24.218269535936088</v>
      </c>
      <c r="G28" s="35">
        <f>IF(AND(ISNUMBER(G26),ISNUMBER((Inputs!G127/Inputs!G98))),(G26-(Inputs!G127/Inputs!G98))*10000,"n/a")</f>
        <v>212.62469285517892</v>
      </c>
      <c r="H28" s="28">
        <f>IF(AND(ISNUMBER(H26),ISNUMBER(C26)),(H26-C26)*10000,"n/a")</f>
        <v>89.81435867053328</v>
      </c>
      <c r="I28" s="31"/>
      <c r="J28" s="1"/>
      <c r="K28" s="1"/>
      <c r="L28" s="1"/>
      <c r="M28" s="1"/>
    </row>
    <row r="29">
      <c r="A29" s="1"/>
      <c r="B29" s="12" t="s">
        <v>87</v>
      </c>
      <c r="C29" s="40">
        <v>0</v>
      </c>
      <c r="D29" s="40">
        <v>0</v>
      </c>
      <c r="E29" s="40">
        <v>0</v>
      </c>
      <c r="F29" s="40">
        <v>0</v>
      </c>
      <c r="G29" s="40">
        <v>0</v>
      </c>
      <c r="H29" s="45">
        <v>0</v>
      </c>
      <c r="I29" s="31" t="s">
        <v>88</v>
      </c>
      <c r="J29" s="1"/>
      <c r="K29" s="1"/>
      <c r="L29" s="1"/>
      <c r="M29" s="1"/>
    </row>
    <row r="30">
      <c r="A30" s="1"/>
      <c r="B30" s="12" t="s">
        <v>89</v>
      </c>
      <c r="C30" s="4" t="s">
        <v>90</v>
      </c>
      <c r="D30" s="4" t="s">
        <v>90</v>
      </c>
      <c r="E30" s="4" t="s">
        <v>90</v>
      </c>
      <c r="F30" s="4" t="s">
        <v>90</v>
      </c>
      <c r="G30" s="4" t="s">
        <v>90</v>
      </c>
      <c r="H30" s="16" t="s">
        <v>90</v>
      </c>
      <c r="I30" s="31" t="s">
        <v>91</v>
      </c>
      <c r="J30" s="1"/>
      <c r="K30" s="1"/>
      <c r="L30" s="1"/>
      <c r="M30" s="1"/>
    </row>
    <row r="31">
      <c r="A31" s="1"/>
      <c r="B31" s="12" t="s">
        <v>92</v>
      </c>
      <c r="C31" s="4" t="str">
        <f>IF(AND(ISNUMBER(C24),ISNUMBER(C29),ISNUMBER(C30)),(1+C24)/((1+C29)*(1+C30))-1,"unavailable")</f>
        <v>unavailable</v>
      </c>
      <c r="D31" s="4" t="str">
        <f>IF(AND(ISNUMBER(D24),ISNUMBER(D29),ISNUMBER(D30)),(1+D24)/((1+D29)*(1+D30))-1,"unavailable")</f>
        <v>unavailable</v>
      </c>
      <c r="E31" s="4" t="str">
        <f>IF(AND(ISNUMBER(E24),ISNUMBER(E29),ISNUMBER(E30)),(1+E24)/((1+E29)*(1+E30))-1,"unavailable")</f>
        <v>unavailable</v>
      </c>
      <c r="F31" s="4" t="str">
        <f>IF(AND(ISNUMBER(F24),ISNUMBER(F29),ISNUMBER(F30)),(1+F24)/((1+F29)*(1+F30))-1,"unavailable")</f>
        <v>unavailable</v>
      </c>
      <c r="G31" s="4" t="str">
        <f>IF(AND(ISNUMBER(G24),ISNUMBER(G29),ISNUMBER(G30)),(1+G24)/((1+G29)*(1+G30))-1,"unavailable")</f>
        <v>unavailable</v>
      </c>
      <c r="H31" s="16" t="str">
        <f>IF(AND(ISNUMBER(H24),ISNUMBER(H29),ISNUMBER(H30)),(1+H24)/((1+H29)*(1+H30))-1,"unavailable")</f>
        <v>unavailable</v>
      </c>
      <c r="I31" s="31"/>
      <c r="J31" s="1"/>
      <c r="K31" s="1"/>
      <c r="L31" s="1"/>
      <c r="M31" s="1"/>
    </row>
    <row r="32">
      <c r="A32" s="1"/>
      <c r="B32" s="12" t="s">
        <v>93</v>
      </c>
      <c r="C32" s="4">
        <f>C24</f>
        <v>0.2381530984204132</v>
      </c>
      <c r="D32" s="4">
        <f>D24</f>
        <v>0.1583434835566382</v>
      </c>
      <c r="E32" s="4">
        <f>E24</f>
        <v>0.23970944309927367</v>
      </c>
      <c r="F32" s="4">
        <f>F24</f>
        <v>0.24162436548223343</v>
      </c>
      <c r="G32" s="4">
        <f>G24</f>
        <v>0.2553120849933599</v>
      </c>
      <c r="H32" s="16">
        <f>H24</f>
        <v>0.32409101819232866</v>
      </c>
      <c r="I32" s="31"/>
      <c r="J32" s="1"/>
      <c r="K32" s="1"/>
      <c r="L32" s="1"/>
      <c r="M32" s="1"/>
    </row>
    <row r="33">
      <c r="A33" s="1"/>
      <c r="B33" s="1"/>
      <c r="C33" s="1"/>
      <c r="D33" s="1"/>
      <c r="E33" s="1"/>
      <c r="F33" s="1"/>
      <c r="G33" s="1"/>
      <c r="H33" s="51"/>
      <c r="I33" s="31"/>
      <c r="J33" s="1"/>
      <c r="K33" s="1"/>
      <c r="L33" s="1"/>
      <c r="M33" s="1"/>
    </row>
    <row r="34">
      <c r="A34" s="1"/>
      <c r="B34" s="9" t="s">
        <v>373</v>
      </c>
      <c r="C34" s="68">
        <v>505</v>
      </c>
      <c r="D34" s="69">
        <f>G34-Inputs!I128</f>
        <v>457</v>
      </c>
      <c r="E34" s="68">
        <v>555</v>
      </c>
      <c r="F34" s="68">
        <v>606</v>
      </c>
      <c r="G34" s="68">
        <v>1887</v>
      </c>
      <c r="H34" s="67">
        <f>H38*'Income Statement'!H9</f>
        <v>668.5566157056562</v>
      </c>
      <c r="I34" s="31"/>
      <c r="J34" s="1"/>
      <c r="K34" s="1"/>
      <c r="L34" s="1"/>
      <c r="M34" s="1"/>
    </row>
    <row r="35">
      <c r="A35" s="1"/>
      <c r="B35" s="1" t="s">
        <v>81</v>
      </c>
      <c r="C35" s="32">
        <f>IF(AND(ISNUMBER(C34),ISNUMBER(Inputs!F128)),C34-Inputs!F128,"n/a")</f>
        <v>18</v>
      </c>
      <c r="D35" s="15">
        <f>IF(AND(ISNUMBER(D34),ISNUMBER(C34)),D34-C34,"n/a")</f>
        <v>-48</v>
      </c>
      <c r="E35" s="15">
        <f>IF(AND(ISNUMBER(E34),ISNUMBER(D34)),E34-D34,"n/a")</f>
        <v>98</v>
      </c>
      <c r="F35" s="15">
        <f>IF(AND(ISNUMBER(F34),ISNUMBER(E34)),F34-E34,"n/a")</f>
        <v>51</v>
      </c>
      <c r="G35" s="15" t="s">
        <v>82</v>
      </c>
      <c r="H35" s="41">
        <f>IF(AND(ISNUMBER(H34),ISNUMBER(F34)),H34-F34,"n/a")</f>
        <v>62.55661570565621</v>
      </c>
      <c r="I35" s="31"/>
      <c r="J35" s="1"/>
      <c r="K35" s="1"/>
      <c r="L35" s="1"/>
      <c r="M35" s="1"/>
    </row>
    <row r="36">
      <c r="A36" s="1"/>
      <c r="B36" s="12" t="s">
        <v>84</v>
      </c>
      <c r="C36" s="13">
        <f>IFERROR(C34/Inputs!C128-1,"n/a")</f>
        <v>0.17169373549883993</v>
      </c>
      <c r="D36" s="13">
        <f>IFERROR(D34/Inputs!D128-1,"n/a")</f>
        <v>0.05787037037037046</v>
      </c>
      <c r="E36" s="13">
        <f>IFERROR(E34/Inputs!E128-1,"n/a")</f>
        <v>0.26712328767123283</v>
      </c>
      <c r="F36" s="13">
        <f>IFERROR(F34/Inputs!F128-1,"n/a")</f>
        <v>0.24435318275153994</v>
      </c>
      <c r="G36" s="13">
        <f>IFERROR(G34/Inputs!G128-1,"n/a")</f>
        <v>0.12254610350981565</v>
      </c>
      <c r="H36" s="16">
        <f>IFERROR(H34/C34-1,"n/a")</f>
        <v>0.3238744865458538</v>
      </c>
      <c r="I36" s="31"/>
      <c r="J36" s="1"/>
      <c r="K36" s="1"/>
      <c r="L36" s="1"/>
      <c r="M36" s="1"/>
    </row>
    <row r="37">
      <c r="A37" s="1"/>
      <c r="B37" s="12" t="s">
        <v>85</v>
      </c>
      <c r="C37" s="13">
        <f>IFERROR(C34/Inputs!F128-1,"n/a")</f>
        <v>0.03696098562628336</v>
      </c>
      <c r="D37" s="4">
        <f>IFERROR(D34/C34-1,"n/a")</f>
        <v>-0.09504950495049502</v>
      </c>
      <c r="E37" s="4">
        <f>IFERROR(E34/D34-1,"n/a")</f>
        <v>0.21444201312910294</v>
      </c>
      <c r="F37" s="4">
        <f>IFERROR(F34/E34-1,"n/a")</f>
        <v>0.09189189189189184</v>
      </c>
      <c r="G37" s="4" t="s">
        <v>82</v>
      </c>
      <c r="H37" s="16">
        <f>IFERROR(H34/F34-1,"n/a")</f>
        <v>0.1032287387882116</v>
      </c>
      <c r="I37" s="31"/>
      <c r="J37" s="1"/>
      <c r="K37" s="1"/>
      <c r="L37" s="1"/>
      <c r="M37" s="1"/>
    </row>
    <row r="38">
      <c r="A38" s="1"/>
      <c r="B38" s="12" t="s">
        <v>371</v>
      </c>
      <c r="C38" s="4">
        <f>C34/C82</f>
        <v>0.10649514972585407</v>
      </c>
      <c r="D38" s="4">
        <f>D34/D82</f>
        <v>0.10332353606149672</v>
      </c>
      <c r="E38" s="4">
        <f>E34/E82</f>
        <v>0.11502590673575129</v>
      </c>
      <c r="F38" s="4">
        <f>F34/F82</f>
        <v>0.11092806150466776</v>
      </c>
      <c r="G38" s="4">
        <f>G34/G82</f>
        <v>0.10671869697997964</v>
      </c>
      <c r="H38" s="16">
        <f>F38</f>
        <v>0.11092806150466776</v>
      </c>
      <c r="I38" s="31"/>
      <c r="J38" s="1"/>
      <c r="K38" s="1"/>
      <c r="L38" s="1"/>
      <c r="M38" s="1"/>
    </row>
    <row r="39">
      <c r="A39" s="1"/>
      <c r="B39" s="12" t="s">
        <v>127</v>
      </c>
      <c r="C39" s="35">
        <f>IF(AND(ISNUMBER(C38),ISNUMBER((Inputs!F128/Inputs!F98))),(C38-(Inputs!F128/Inputs!F98))*10000,"n/a")</f>
        <v>-29.922603460883767</v>
      </c>
      <c r="D39" s="22">
        <f>IF(AND(ISNUMBER(D38),ISNUMBER(C38)),(D38-C38)*10000,"n/a")</f>
        <v>-31.716136643573506</v>
      </c>
      <c r="E39" s="22">
        <f>IF(AND(ISNUMBER(E38),ISNUMBER(D38)),(E38-D38)*10000,"n/a")</f>
        <v>117.02370674254573</v>
      </c>
      <c r="F39" s="22">
        <f>IF(AND(ISNUMBER(F38),ISNUMBER(E38)),(F38-E38)*10000,"n/a")</f>
        <v>-40.9784523108353</v>
      </c>
      <c r="G39" s="22" t="s">
        <v>82</v>
      </c>
      <c r="H39" s="28">
        <f>IF(AND(ISNUMBER(H38),ISNUMBER(F38)),(H38-F38)*10000,"n/a")</f>
        <v>0</v>
      </c>
      <c r="I39" s="31"/>
      <c r="J39" s="1"/>
      <c r="K39" s="1"/>
      <c r="L39" s="1"/>
      <c r="M39" s="1"/>
    </row>
    <row r="40">
      <c r="A40" s="1"/>
      <c r="B40" s="12" t="s">
        <v>128</v>
      </c>
      <c r="C40" s="35">
        <f>IF(AND(ISNUMBER(C38),ISNUMBER((Inputs!C128/Inputs!C98))),(C38-(Inputs!C128/Inputs!C98))*10000,"n/a")</f>
        <v>26.64747413158336</v>
      </c>
      <c r="D40" s="35">
        <f>IF(AND(ISNUMBER(D38),ISNUMBER((Inputs!D128/Inputs!D98))),(D38-(Inputs!D128/Inputs!D98))*10000,"n/a")</f>
        <v>-44.87794110701937</v>
      </c>
      <c r="E40" s="35">
        <f>IF(AND(ISNUMBER(E38),ISNUMBER((Inputs!E128/Inputs!E98))),(E38-(Inputs!E128/Inputs!E98))*10000,"n/a")</f>
        <v>73.82751169273047</v>
      </c>
      <c r="F40" s="35">
        <f>IF(AND(ISNUMBER(F38),ISNUMBER((Inputs!F128/Inputs!F98))),(F38-(Inputs!F128/Inputs!F98))*10000,"n/a")</f>
        <v>14.40651432725315</v>
      </c>
      <c r="G40" s="35">
        <f>IF(AND(ISNUMBER(G38),ISNUMBER((Inputs!G128/Inputs!G98))),(G38-(Inputs!G128/Inputs!G98))*10000,"n/a")</f>
        <v>-7.552496986214657</v>
      </c>
      <c r="H40" s="28">
        <f>IF(AND(ISNUMBER(H38),ISNUMBER(C38)),(H38-C38)*10000,"n/a")</f>
        <v>44.32911778813692</v>
      </c>
      <c r="I40" s="31"/>
      <c r="J40" s="1"/>
      <c r="K40" s="1"/>
      <c r="L40" s="1"/>
      <c r="M40" s="1"/>
    </row>
    <row r="41">
      <c r="A41" s="1"/>
      <c r="B41" s="12" t="s">
        <v>87</v>
      </c>
      <c r="C41" s="40">
        <v>0</v>
      </c>
      <c r="D41" s="40">
        <v>0</v>
      </c>
      <c r="E41" s="40">
        <v>0</v>
      </c>
      <c r="F41" s="40">
        <v>0</v>
      </c>
      <c r="G41" s="40">
        <v>0</v>
      </c>
      <c r="H41" s="45">
        <v>0</v>
      </c>
      <c r="I41" s="31" t="s">
        <v>88</v>
      </c>
      <c r="J41" s="1"/>
      <c r="K41" s="1"/>
      <c r="L41" s="1"/>
      <c r="M41" s="1"/>
    </row>
    <row r="42">
      <c r="A42" s="1"/>
      <c r="B42" s="12" t="s">
        <v>89</v>
      </c>
      <c r="C42" s="4" t="s">
        <v>90</v>
      </c>
      <c r="D42" s="4" t="s">
        <v>90</v>
      </c>
      <c r="E42" s="4" t="s">
        <v>90</v>
      </c>
      <c r="F42" s="4" t="s">
        <v>90</v>
      </c>
      <c r="G42" s="4" t="s">
        <v>90</v>
      </c>
      <c r="H42" s="16" t="s">
        <v>90</v>
      </c>
      <c r="I42" s="31" t="s">
        <v>91</v>
      </c>
      <c r="J42" s="1"/>
      <c r="K42" s="1"/>
      <c r="L42" s="1"/>
      <c r="M42" s="1"/>
    </row>
    <row r="43">
      <c r="A43" s="1"/>
      <c r="B43" s="12" t="s">
        <v>92</v>
      </c>
      <c r="C43" s="4" t="str">
        <f>IF(AND(ISNUMBER(C36),ISNUMBER(C41),ISNUMBER(C42)),(1+C36)/((1+C41)*(1+C42))-1,"unavailable")</f>
        <v>unavailable</v>
      </c>
      <c r="D43" s="4" t="str">
        <f>IF(AND(ISNUMBER(D36),ISNUMBER(D41),ISNUMBER(D42)),(1+D36)/((1+D41)*(1+D42))-1,"unavailable")</f>
        <v>unavailable</v>
      </c>
      <c r="E43" s="4" t="str">
        <f>IF(AND(ISNUMBER(E36),ISNUMBER(E41),ISNUMBER(E42)),(1+E36)/((1+E41)*(1+E42))-1,"unavailable")</f>
        <v>unavailable</v>
      </c>
      <c r="F43" s="4" t="str">
        <f>IF(AND(ISNUMBER(F36),ISNUMBER(F41),ISNUMBER(F42)),(1+F36)/((1+F41)*(1+F42))-1,"unavailable")</f>
        <v>unavailable</v>
      </c>
      <c r="G43" s="4" t="str">
        <f>IF(AND(ISNUMBER(G36),ISNUMBER(G41),ISNUMBER(G42)),(1+G36)/((1+G41)*(1+G42))-1,"unavailable")</f>
        <v>unavailable</v>
      </c>
      <c r="H43" s="16" t="str">
        <f>IF(AND(ISNUMBER(H36),ISNUMBER(H41),ISNUMBER(H42)),(1+H36)/((1+H41)*(1+H42))-1,"unavailable")</f>
        <v>unavailable</v>
      </c>
      <c r="I43" s="31"/>
      <c r="J43" s="1"/>
      <c r="K43" s="1"/>
      <c r="L43" s="1"/>
      <c r="M43" s="1"/>
    </row>
    <row r="44">
      <c r="A44" s="1"/>
      <c r="B44" s="12" t="s">
        <v>93</v>
      </c>
      <c r="C44" s="4">
        <f>C36</f>
        <v>0.17169373549883993</v>
      </c>
      <c r="D44" s="4">
        <f>D36</f>
        <v>0.05787037037037046</v>
      </c>
      <c r="E44" s="4">
        <f>E36</f>
        <v>0.26712328767123283</v>
      </c>
      <c r="F44" s="4">
        <f>F36</f>
        <v>0.24435318275153994</v>
      </c>
      <c r="G44" s="4">
        <f>G36</f>
        <v>0.12254610350981565</v>
      </c>
      <c r="H44" s="16">
        <f>H36</f>
        <v>0.3238744865458538</v>
      </c>
      <c r="I44" s="31"/>
      <c r="J44" s="1"/>
      <c r="K44" s="1"/>
      <c r="L44" s="1"/>
      <c r="M44" s="1"/>
    </row>
    <row r="45">
      <c r="A45" s="1"/>
      <c r="B45" s="1"/>
      <c r="C45" s="1"/>
      <c r="D45" s="1"/>
      <c r="E45" s="1"/>
      <c r="F45" s="1"/>
      <c r="G45" s="1"/>
      <c r="H45" s="51"/>
      <c r="I45" s="31"/>
      <c r="J45" s="1"/>
      <c r="K45" s="1"/>
      <c r="L45" s="1"/>
      <c r="M45" s="1"/>
    </row>
    <row r="46">
      <c r="A46" s="1"/>
      <c r="B46" s="9" t="s">
        <v>374</v>
      </c>
      <c r="C46" s="68">
        <v>972</v>
      </c>
      <c r="D46" s="69">
        <f>G46-Inputs!I129</f>
        <v>948</v>
      </c>
      <c r="E46" s="68">
        <v>1070</v>
      </c>
      <c r="F46" s="68">
        <v>1075</v>
      </c>
      <c r="G46" s="68">
        <v>3747</v>
      </c>
      <c r="H46" s="67">
        <f>H50*'Income Statement'!H9</f>
        <v>1185.9708941973277</v>
      </c>
      <c r="I46" s="31"/>
      <c r="J46" s="1"/>
      <c r="K46" s="1"/>
      <c r="L46" s="1"/>
      <c r="M46" s="1"/>
    </row>
    <row r="47">
      <c r="A47" s="1"/>
      <c r="B47" s="1" t="s">
        <v>81</v>
      </c>
      <c r="C47" s="32">
        <f>IF(AND(ISNUMBER(C46),ISNUMBER(Inputs!F129)),C46-Inputs!F129,"n/a")</f>
        <v>81</v>
      </c>
      <c r="D47" s="15">
        <f>IF(AND(ISNUMBER(D46),ISNUMBER(C46)),D46-C46,"n/a")</f>
        <v>-24</v>
      </c>
      <c r="E47" s="15">
        <f>IF(AND(ISNUMBER(E46),ISNUMBER(D46)),E46-D46,"n/a")</f>
        <v>122</v>
      </c>
      <c r="F47" s="15">
        <f>IF(AND(ISNUMBER(F46),ISNUMBER(E46)),F46-E46,"n/a")</f>
        <v>5</v>
      </c>
      <c r="G47" s="15" t="s">
        <v>82</v>
      </c>
      <c r="H47" s="41">
        <f>IF(AND(ISNUMBER(H46),ISNUMBER(F46)),H46-F46,"n/a")</f>
        <v>110.97089419732765</v>
      </c>
      <c r="I47" s="31"/>
      <c r="J47" s="1"/>
      <c r="K47" s="1"/>
      <c r="L47" s="1"/>
      <c r="M47" s="1"/>
    </row>
    <row r="48">
      <c r="A48" s="1"/>
      <c r="B48" s="12" t="s">
        <v>84</v>
      </c>
      <c r="C48" s="13">
        <f>IFERROR(C46/Inputs!C129-1,"n/a")</f>
        <v>0.1045454545454545</v>
      </c>
      <c r="D48" s="13">
        <f>IFERROR(D46/Inputs!D129-1,"n/a")</f>
        <v>0.20610687022900764</v>
      </c>
      <c r="E48" s="13">
        <f>IFERROR(E46/Inputs!E129-1,"n/a")</f>
        <v>0.1431623931623931</v>
      </c>
      <c r="F48" s="13">
        <f>IFERROR(F46/Inputs!F129-1,"n/a")</f>
        <v>0.20650953984287312</v>
      </c>
      <c r="G48" s="13">
        <f>IFERROR(G46/Inputs!G129-1,"n/a")</f>
        <v>0.06479113384484236</v>
      </c>
      <c r="H48" s="16">
        <f>IFERROR(H46/C46-1,"n/a")</f>
        <v>0.22013466481206545</v>
      </c>
      <c r="I48" s="31"/>
      <c r="J48" s="1"/>
      <c r="K48" s="1"/>
      <c r="L48" s="1"/>
      <c r="M48" s="1"/>
    </row>
    <row r="49">
      <c r="A49" s="1"/>
      <c r="B49" s="12" t="s">
        <v>85</v>
      </c>
      <c r="C49" s="13">
        <f>IFERROR(C46/Inputs!F129-1,"n/a")</f>
        <v>0.09090909090909083</v>
      </c>
      <c r="D49" s="4">
        <f>IFERROR(D46/C46-1,"n/a")</f>
        <v>-0.024691358024691357</v>
      </c>
      <c r="E49" s="4">
        <f>IFERROR(E46/D46-1,"n/a")</f>
        <v>0.12869198312236296</v>
      </c>
      <c r="F49" s="4">
        <f>IFERROR(F46/E46-1,"n/a")</f>
        <v>0.004672897196261738</v>
      </c>
      <c r="G49" s="4" t="s">
        <v>82</v>
      </c>
      <c r="H49" s="16">
        <f>IFERROR(H46/F46-1,"n/a")</f>
        <v>0.10322873878821182</v>
      </c>
      <c r="I49" s="31"/>
      <c r="J49" s="1"/>
      <c r="K49" s="1"/>
      <c r="L49" s="1"/>
      <c r="M49" s="1"/>
    </row>
    <row r="50">
      <c r="A50" s="1"/>
      <c r="B50" s="12" t="s">
        <v>371</v>
      </c>
      <c r="C50" s="4">
        <f>C46/C82</f>
        <v>0.20497680303669338</v>
      </c>
      <c r="D50" s="4">
        <f>D46/D82</f>
        <v>0.21433416233325797</v>
      </c>
      <c r="E50" s="4">
        <f>E46/E82</f>
        <v>0.22176165803108808</v>
      </c>
      <c r="F50" s="4">
        <f>F46/F82</f>
        <v>0.1967783269265971</v>
      </c>
      <c r="G50" s="4">
        <f>G46/G82</f>
        <v>0.21191041737360028</v>
      </c>
      <c r="H50" s="16">
        <f>F50</f>
        <v>0.1967783269265971</v>
      </c>
      <c r="I50" s="31"/>
      <c r="J50" s="1"/>
      <c r="K50" s="1"/>
      <c r="L50" s="1"/>
      <c r="M50" s="1"/>
    </row>
    <row r="51">
      <c r="A51" s="1"/>
      <c r="B51" s="12" t="s">
        <v>127</v>
      </c>
      <c r="C51" s="35">
        <f>IF(AND(ISNUMBER(C50),ISNUMBER((Inputs!F129/Inputs!F98))),(C50-(Inputs!F129/Inputs!F98))*10000,"n/a")</f>
        <v>46.62054835254531</v>
      </c>
      <c r="D51" s="22">
        <f>IF(AND(ISNUMBER(D50),ISNUMBER(C50)),(D50-C50)*10000,"n/a")</f>
        <v>93.57359296564589</v>
      </c>
      <c r="E51" s="22">
        <f>IF(AND(ISNUMBER(E50),ISNUMBER(D50)),(E50-D50)*10000,"n/a")</f>
        <v>74.27495697830105</v>
      </c>
      <c r="F51" s="22">
        <f>IF(AND(ISNUMBER(F50),ISNUMBER(E50)),(F50-E50)*10000,"n/a")</f>
        <v>-249.8333110449097</v>
      </c>
      <c r="G51" s="22" t="s">
        <v>82</v>
      </c>
      <c r="H51" s="28">
        <f>IF(AND(ISNUMBER(H50),ISNUMBER(F50)),(H50-F50)*10000,"n/a")</f>
        <v>0</v>
      </c>
      <c r="I51" s="31"/>
      <c r="J51" s="1"/>
      <c r="K51" s="1"/>
      <c r="L51" s="1"/>
      <c r="M51" s="1"/>
    </row>
    <row r="52">
      <c r="A52" s="1"/>
      <c r="B52" s="12" t="s">
        <v>128</v>
      </c>
      <c r="C52" s="35">
        <f>IF(AND(ISNUMBER(C50),ISNUMBER((Inputs!C129/Inputs!C98))),(C50-(Inputs!C129/Inputs!C98))*10000,"n/a")</f>
        <v>-70.20306093636658</v>
      </c>
      <c r="D52" s="35">
        <f>IF(AND(ISNUMBER(D50),ISNUMBER((Inputs!D129/Inputs!D98))),(D50-(Inputs!D129/Inputs!D98))*10000,"n/a")</f>
        <v>181.77436603285412</v>
      </c>
      <c r="E52" s="35">
        <f>IF(AND(ISNUMBER(E50),ISNUMBER((Inputs!E129/Inputs!E98))),(E50-(Inputs!E129/Inputs!E98))*10000,"n/a")</f>
        <v>-82.7029085070105</v>
      </c>
      <c r="F52" s="35">
        <f>IF(AND(ISNUMBER(F50),ISNUMBER((Inputs!F129/Inputs!F98))),(F50-(Inputs!F129/Inputs!F98))*10000,"n/a")</f>
        <v>-35.364212748417444</v>
      </c>
      <c r="G52" s="35">
        <f>IF(AND(ISNUMBER(G50),ISNUMBER((Inputs!G129/Inputs!G98))),(G50-(Inputs!G129/Inputs!G98))*10000,"n/a")</f>
        <v>-130.75197356915675</v>
      </c>
      <c r="H52" s="28">
        <f>IF(AND(ISNUMBER(H50),ISNUMBER(C50)),(H50-C50)*10000,"n/a")</f>
        <v>-81.98476110096276</v>
      </c>
      <c r="I52" s="31"/>
      <c r="J52" s="1"/>
      <c r="K52" s="1"/>
      <c r="L52" s="1"/>
      <c r="M52" s="1"/>
    </row>
    <row r="53">
      <c r="A53" s="1"/>
      <c r="B53" s="12" t="s">
        <v>87</v>
      </c>
      <c r="C53" s="40">
        <v>0</v>
      </c>
      <c r="D53" s="40">
        <v>0</v>
      </c>
      <c r="E53" s="40">
        <v>0</v>
      </c>
      <c r="F53" s="40">
        <v>0</v>
      </c>
      <c r="G53" s="40">
        <v>0</v>
      </c>
      <c r="H53" s="45">
        <v>0</v>
      </c>
      <c r="I53" s="31" t="s">
        <v>88</v>
      </c>
      <c r="J53" s="1"/>
      <c r="K53" s="1"/>
      <c r="L53" s="1"/>
      <c r="M53" s="1"/>
    </row>
    <row r="54">
      <c r="A54" s="1"/>
      <c r="B54" s="12" t="s">
        <v>89</v>
      </c>
      <c r="C54" s="4" t="s">
        <v>90</v>
      </c>
      <c r="D54" s="4" t="s">
        <v>90</v>
      </c>
      <c r="E54" s="4" t="s">
        <v>90</v>
      </c>
      <c r="F54" s="4" t="s">
        <v>90</v>
      </c>
      <c r="G54" s="4" t="s">
        <v>90</v>
      </c>
      <c r="H54" s="16" t="s">
        <v>90</v>
      </c>
      <c r="I54" s="31" t="s">
        <v>91</v>
      </c>
      <c r="J54" s="1"/>
      <c r="K54" s="1"/>
      <c r="L54" s="1"/>
      <c r="M54" s="1"/>
    </row>
    <row r="55">
      <c r="A55" s="1"/>
      <c r="B55" s="12" t="s">
        <v>92</v>
      </c>
      <c r="C55" s="4" t="str">
        <f>IF(AND(ISNUMBER(C48),ISNUMBER(C53),ISNUMBER(C54)),(1+C48)/((1+C53)*(1+C54))-1,"unavailable")</f>
        <v>unavailable</v>
      </c>
      <c r="D55" s="4" t="str">
        <f>IF(AND(ISNUMBER(D48),ISNUMBER(D53),ISNUMBER(D54)),(1+D48)/((1+D53)*(1+D54))-1,"unavailable")</f>
        <v>unavailable</v>
      </c>
      <c r="E55" s="4" t="str">
        <f>IF(AND(ISNUMBER(E48),ISNUMBER(E53),ISNUMBER(E54)),(1+E48)/((1+E53)*(1+E54))-1,"unavailable")</f>
        <v>unavailable</v>
      </c>
      <c r="F55" s="4" t="str">
        <f>IF(AND(ISNUMBER(F48),ISNUMBER(F53),ISNUMBER(F54)),(1+F48)/((1+F53)*(1+F54))-1,"unavailable")</f>
        <v>unavailable</v>
      </c>
      <c r="G55" s="4" t="str">
        <f>IF(AND(ISNUMBER(G48),ISNUMBER(G53),ISNUMBER(G54)),(1+G48)/((1+G53)*(1+G54))-1,"unavailable")</f>
        <v>unavailable</v>
      </c>
      <c r="H55" s="16" t="str">
        <f>IF(AND(ISNUMBER(H48),ISNUMBER(H53),ISNUMBER(H54)),(1+H48)/((1+H53)*(1+H54))-1,"unavailable")</f>
        <v>unavailable</v>
      </c>
      <c r="I55" s="31"/>
      <c r="J55" s="1"/>
      <c r="K55" s="1"/>
      <c r="L55" s="1"/>
      <c r="M55" s="1"/>
    </row>
    <row r="56">
      <c r="A56" s="1"/>
      <c r="B56" s="12" t="s">
        <v>93</v>
      </c>
      <c r="C56" s="4">
        <f>C48</f>
        <v>0.1045454545454545</v>
      </c>
      <c r="D56" s="4">
        <f>D48</f>
        <v>0.20610687022900764</v>
      </c>
      <c r="E56" s="4">
        <f>E48</f>
        <v>0.1431623931623931</v>
      </c>
      <c r="F56" s="4">
        <f>F48</f>
        <v>0.20650953984287312</v>
      </c>
      <c r="G56" s="4">
        <f>G48</f>
        <v>0.06479113384484236</v>
      </c>
      <c r="H56" s="16">
        <f>H48</f>
        <v>0.22013466481206545</v>
      </c>
      <c r="I56" s="31"/>
      <c r="J56" s="1"/>
      <c r="K56" s="1"/>
      <c r="L56" s="1"/>
      <c r="M56" s="1"/>
    </row>
    <row r="57">
      <c r="A57" s="1"/>
      <c r="B57" s="1"/>
      <c r="C57" s="1"/>
      <c r="D57" s="1"/>
      <c r="E57" s="1"/>
      <c r="F57" s="1"/>
      <c r="G57" s="1"/>
      <c r="H57" s="51"/>
      <c r="I57" s="31"/>
      <c r="J57" s="1"/>
      <c r="K57" s="1"/>
      <c r="L57" s="1"/>
      <c r="M57" s="1"/>
    </row>
    <row r="58">
      <c r="A58" s="1"/>
      <c r="B58" s="9" t="s">
        <v>375</v>
      </c>
      <c r="C58" s="68">
        <v>313</v>
      </c>
      <c r="D58" s="69">
        <f>G58-Inputs!I130</f>
        <v>290</v>
      </c>
      <c r="E58" s="68">
        <v>289</v>
      </c>
      <c r="F58" s="68">
        <v>330</v>
      </c>
      <c r="G58" s="68">
        <v>1173</v>
      </c>
      <c r="H58" s="67">
        <f>H62*'Income Statement'!H9</f>
        <v>364.06548380010986</v>
      </c>
      <c r="I58" s="31"/>
      <c r="J58" s="1"/>
      <c r="K58" s="1"/>
      <c r="L58" s="1"/>
      <c r="M58" s="1"/>
    </row>
    <row r="59">
      <c r="A59" s="1"/>
      <c r="B59" s="1" t="s">
        <v>81</v>
      </c>
      <c r="C59" s="32">
        <f>IF(AND(ISNUMBER(C58),ISNUMBER(Inputs!F130)),C58-Inputs!F130,"n/a")</f>
        <v>18</v>
      </c>
      <c r="D59" s="15">
        <f>IF(AND(ISNUMBER(D58),ISNUMBER(C58)),D58-C58,"n/a")</f>
        <v>-23</v>
      </c>
      <c r="E59" s="15">
        <f>IF(AND(ISNUMBER(E58),ISNUMBER(D58)),E58-D58,"n/a")</f>
        <v>-1</v>
      </c>
      <c r="F59" s="15">
        <f>IF(AND(ISNUMBER(F58),ISNUMBER(E58)),F58-E58,"n/a")</f>
        <v>41</v>
      </c>
      <c r="G59" s="15" t="s">
        <v>82</v>
      </c>
      <c r="H59" s="41">
        <f>IF(AND(ISNUMBER(H58),ISNUMBER(F58)),H58-F58,"n/a")</f>
        <v>34.06548380010986</v>
      </c>
      <c r="I59" s="31"/>
      <c r="J59" s="1"/>
      <c r="K59" s="1"/>
      <c r="L59" s="1"/>
      <c r="M59" s="1"/>
    </row>
    <row r="60">
      <c r="A60" s="1"/>
      <c r="B60" s="12" t="s">
        <v>84</v>
      </c>
      <c r="C60" s="13">
        <f>IFERROR(C58/Inputs!C130-1,"n/a")</f>
        <v>0</v>
      </c>
      <c r="D60" s="13">
        <f>IFERROR(D58/Inputs!D130-1,"n/a")</f>
        <v>0.04693140794223827</v>
      </c>
      <c r="E60" s="13">
        <f>IFERROR(E58/Inputs!E130-1,"n/a")</f>
        <v>0.050909090909091015</v>
      </c>
      <c r="F60" s="13">
        <f>IFERROR(F58/Inputs!F130-1,"n/a")</f>
        <v>0.11864406779661008</v>
      </c>
      <c r="G60" s="13">
        <f>IFERROR(G58/Inputs!G130-1,"n/a")</f>
        <v>-0.03217821782178221</v>
      </c>
      <c r="H60" s="16">
        <f>IFERROR(H58/C58-1,"n/a")</f>
        <v>0.163148510543482</v>
      </c>
      <c r="I60" s="31"/>
      <c r="J60" s="1"/>
      <c r="K60" s="1"/>
      <c r="L60" s="1"/>
      <c r="M60" s="1"/>
    </row>
    <row r="61">
      <c r="A61" s="1"/>
      <c r="B61" s="12" t="s">
        <v>85</v>
      </c>
      <c r="C61" s="13">
        <f>IFERROR(C58/Inputs!F130-1,"n/a")</f>
        <v>0.0610169491525423</v>
      </c>
      <c r="D61" s="4">
        <f>IFERROR(D58/C58-1,"n/a")</f>
        <v>-0.07348242811501593</v>
      </c>
      <c r="E61" s="4">
        <f>IFERROR(E58/D58-1,"n/a")</f>
        <v>-0.0034482758620689724</v>
      </c>
      <c r="F61" s="4">
        <f>IFERROR(F58/E58-1,"n/a")</f>
        <v>0.1418685121107266</v>
      </c>
      <c r="G61" s="4" t="s">
        <v>82</v>
      </c>
      <c r="H61" s="16">
        <f>IFERROR(H58/F58-1,"n/a")</f>
        <v>0.1032287387882116</v>
      </c>
      <c r="I61" s="31"/>
      <c r="J61" s="1"/>
      <c r="K61" s="1"/>
      <c r="L61" s="1"/>
      <c r="M61" s="1"/>
    </row>
    <row r="62">
      <c r="A62" s="1"/>
      <c r="B62" s="12" t="s">
        <v>371</v>
      </c>
      <c r="C62" s="4">
        <f>C58/C82</f>
        <v>0.06600590468156896</v>
      </c>
      <c r="D62" s="4">
        <f>D58/D82</f>
        <v>0.06556635767578567</v>
      </c>
      <c r="E62" s="4">
        <f>E58/E82</f>
        <v>0.05989637305699482</v>
      </c>
      <c r="F62" s="4">
        <f>F58/F82</f>
        <v>0.06040637012630423</v>
      </c>
      <c r="G62" s="4">
        <f>G58/G82</f>
        <v>0.0663386494740414</v>
      </c>
      <c r="H62" s="16">
        <f>F62</f>
        <v>0.06040637012630423</v>
      </c>
      <c r="I62" s="31"/>
      <c r="J62" s="1"/>
      <c r="K62" s="1"/>
      <c r="L62" s="1"/>
      <c r="M62" s="1"/>
    </row>
    <row r="63">
      <c r="A63" s="1"/>
      <c r="B63" s="12" t="s">
        <v>127</v>
      </c>
      <c r="C63" s="35">
        <f>IF(AND(ISNUMBER(C62),ISNUMBER((Inputs!F130/Inputs!F98))),(C62-(Inputs!F130/Inputs!F98))*10000,"n/a")</f>
        <v>-3.1603776447421126</v>
      </c>
      <c r="D63" s="22">
        <f>IF(AND(ISNUMBER(D62),ISNUMBER(C62)),(D62-C62)*10000,"n/a")</f>
        <v>-4.39547005783289</v>
      </c>
      <c r="E63" s="22">
        <f>IF(AND(ISNUMBER(E62),ISNUMBER(D62)),(E62-D62)*10000,"n/a")</f>
        <v>-56.69984618790848</v>
      </c>
      <c r="F63" s="22">
        <f>IF(AND(ISNUMBER(F62),ISNUMBER(E62)),(F62-E62)*10000,"n/a")</f>
        <v>5.099970693094106</v>
      </c>
      <c r="G63" s="22" t="s">
        <v>82</v>
      </c>
      <c r="H63" s="28">
        <f>IF(AND(ISNUMBER(H62),ISNUMBER(F62)),(H62-F62)*10000,"n/a")</f>
        <v>0</v>
      </c>
      <c r="I63" s="31"/>
      <c r="J63" s="1"/>
      <c r="K63" s="1"/>
      <c r="L63" s="1"/>
      <c r="M63" s="1"/>
    </row>
    <row r="64">
      <c r="A64" s="1"/>
      <c r="B64" s="12" t="s">
        <v>128</v>
      </c>
      <c r="C64" s="35">
        <f>IF(AND(ISNUMBER(C62),ISNUMBER((Inputs!C130/Inputs!C98))),(C62-(Inputs!C130/Inputs!C98))*10000,"n/a")</f>
        <v>-93.97612543196155</v>
      </c>
      <c r="D64" s="35">
        <f>IF(AND(ISNUMBER(D62),ISNUMBER((Inputs!D130/Inputs!D98))),(D62-(Inputs!D130/Inputs!D98))*10000,"n/a")</f>
        <v>-35.62666531850972</v>
      </c>
      <c r="E64" s="35">
        <f>IF(AND(ISNUMBER(E62),ISNUMBER((Inputs!E130/Inputs!E98))),(E62-(Inputs!E130/Inputs!E98))*10000,"n/a")</f>
        <v>-76.87799958488097</v>
      </c>
      <c r="F64" s="35">
        <f>IF(AND(ISNUMBER(F62),ISNUMBER((Inputs!F130/Inputs!F98))),(F62-(Inputs!F130/Inputs!F98))*10000,"n/a")</f>
        <v>-59.15572319738938</v>
      </c>
      <c r="G64" s="35">
        <f>IF(AND(ISNUMBER(G62),ISNUMBER((Inputs!G130/Inputs!G98))),(G62-(Inputs!G130/Inputs!G98))*10000,"n/a")</f>
        <v>-111.50002146698965</v>
      </c>
      <c r="H64" s="28">
        <f>IF(AND(ISNUMBER(H62),ISNUMBER(C62)),(H62-C62)*10000,"n/a")</f>
        <v>-55.995345552647265</v>
      </c>
      <c r="I64" s="31"/>
      <c r="J64" s="1"/>
      <c r="K64" s="1"/>
      <c r="L64" s="1"/>
      <c r="M64" s="1"/>
    </row>
    <row r="65">
      <c r="A65" s="1"/>
      <c r="B65" s="12" t="s">
        <v>87</v>
      </c>
      <c r="C65" s="40">
        <v>0</v>
      </c>
      <c r="D65" s="40">
        <v>0</v>
      </c>
      <c r="E65" s="40">
        <v>0</v>
      </c>
      <c r="F65" s="40">
        <v>0</v>
      </c>
      <c r="G65" s="40">
        <v>0</v>
      </c>
      <c r="H65" s="45">
        <v>0</v>
      </c>
      <c r="I65" s="31" t="s">
        <v>88</v>
      </c>
      <c r="J65" s="1"/>
      <c r="K65" s="1"/>
      <c r="L65" s="1"/>
      <c r="M65" s="1"/>
    </row>
    <row r="66">
      <c r="A66" s="1"/>
      <c r="B66" s="12" t="s">
        <v>89</v>
      </c>
      <c r="C66" s="4" t="s">
        <v>90</v>
      </c>
      <c r="D66" s="4" t="s">
        <v>90</v>
      </c>
      <c r="E66" s="4" t="s">
        <v>90</v>
      </c>
      <c r="F66" s="4" t="s">
        <v>90</v>
      </c>
      <c r="G66" s="4" t="s">
        <v>90</v>
      </c>
      <c r="H66" s="16" t="s">
        <v>90</v>
      </c>
      <c r="I66" s="31" t="s">
        <v>91</v>
      </c>
      <c r="J66" s="1"/>
      <c r="K66" s="1"/>
      <c r="L66" s="1"/>
      <c r="M66" s="1"/>
    </row>
    <row r="67">
      <c r="A67" s="1"/>
      <c r="B67" s="12" t="s">
        <v>92</v>
      </c>
      <c r="C67" s="4" t="str">
        <f>IF(AND(ISNUMBER(C60),ISNUMBER(C65),ISNUMBER(C66)),(1+C60)/((1+C65)*(1+C66))-1,"unavailable")</f>
        <v>unavailable</v>
      </c>
      <c r="D67" s="4" t="str">
        <f>IF(AND(ISNUMBER(D60),ISNUMBER(D65),ISNUMBER(D66)),(1+D60)/((1+D65)*(1+D66))-1,"unavailable")</f>
        <v>unavailable</v>
      </c>
      <c r="E67" s="4" t="str">
        <f>IF(AND(ISNUMBER(E60),ISNUMBER(E65),ISNUMBER(E66)),(1+E60)/((1+E65)*(1+E66))-1,"unavailable")</f>
        <v>unavailable</v>
      </c>
      <c r="F67" s="4" t="str">
        <f>IF(AND(ISNUMBER(F60),ISNUMBER(F65),ISNUMBER(F66)),(1+F60)/((1+F65)*(1+F66))-1,"unavailable")</f>
        <v>unavailable</v>
      </c>
      <c r="G67" s="4" t="str">
        <f>IF(AND(ISNUMBER(G60),ISNUMBER(G65),ISNUMBER(G66)),(1+G60)/((1+G65)*(1+G66))-1,"unavailable")</f>
        <v>unavailable</v>
      </c>
      <c r="H67" s="16" t="str">
        <f>IF(AND(ISNUMBER(H60),ISNUMBER(H65),ISNUMBER(H66)),(1+H60)/((1+H65)*(1+H66))-1,"unavailable")</f>
        <v>unavailable</v>
      </c>
      <c r="I67" s="31"/>
      <c r="J67" s="1"/>
      <c r="K67" s="1"/>
      <c r="L67" s="1"/>
      <c r="M67" s="1"/>
    </row>
    <row r="68">
      <c r="A68" s="1"/>
      <c r="B68" s="12" t="s">
        <v>93</v>
      </c>
      <c r="C68" s="4">
        <f>C60</f>
        <v>0</v>
      </c>
      <c r="D68" s="4">
        <f>D60</f>
        <v>0.04693140794223827</v>
      </c>
      <c r="E68" s="4">
        <f>E60</f>
        <v>0.050909090909091015</v>
      </c>
      <c r="F68" s="4">
        <f>F60</f>
        <v>0.11864406779661008</v>
      </c>
      <c r="G68" s="4">
        <f>G60</f>
        <v>-0.03217821782178221</v>
      </c>
      <c r="H68" s="16">
        <f>H60</f>
        <v>0.163148510543482</v>
      </c>
      <c r="I68" s="31"/>
      <c r="J68" s="1"/>
      <c r="K68" s="1"/>
      <c r="L68" s="1"/>
      <c r="M68" s="1"/>
    </row>
    <row r="69">
      <c r="A69" s="1"/>
      <c r="B69" s="1"/>
      <c r="C69" s="1"/>
      <c r="D69" s="1"/>
      <c r="E69" s="1"/>
      <c r="F69" s="1"/>
      <c r="G69" s="1"/>
      <c r="H69" s="51"/>
      <c r="I69" s="31"/>
      <c r="J69" s="1"/>
      <c r="K69" s="1"/>
      <c r="L69" s="1"/>
      <c r="M69" s="1"/>
    </row>
    <row r="70">
      <c r="A70" s="1"/>
      <c r="B70" s="9" t="s">
        <v>376</v>
      </c>
      <c r="C70" s="68">
        <v>74</v>
      </c>
      <c r="D70" s="69">
        <f>G70-Inputs!I131</f>
        <v>98</v>
      </c>
      <c r="E70" s="68">
        <v>91</v>
      </c>
      <c r="F70" s="68">
        <v>98</v>
      </c>
      <c r="G70" s="68">
        <v>331</v>
      </c>
      <c r="H70" s="67">
        <f>H74*'Income Statement'!H9</f>
        <v>108.11641640124475</v>
      </c>
      <c r="I70" s="31"/>
      <c r="J70" s="1"/>
      <c r="K70" s="1"/>
      <c r="L70" s="1"/>
      <c r="M70" s="1"/>
    </row>
    <row r="71">
      <c r="A71" s="1"/>
      <c r="B71" s="1" t="s">
        <v>81</v>
      </c>
      <c r="C71" s="32">
        <f>IF(AND(ISNUMBER(C70),ISNUMBER(Inputs!F131)),C70-Inputs!F131,"n/a")</f>
        <v>-9</v>
      </c>
      <c r="D71" s="15">
        <f>IF(AND(ISNUMBER(D70),ISNUMBER(C70)),D70-C70,"n/a")</f>
        <v>24</v>
      </c>
      <c r="E71" s="15">
        <f>IF(AND(ISNUMBER(E70),ISNUMBER(D70)),E70-D70,"n/a")</f>
        <v>-7</v>
      </c>
      <c r="F71" s="15">
        <f>IF(AND(ISNUMBER(F70),ISNUMBER(E70)),F70-E70,"n/a")</f>
        <v>7</v>
      </c>
      <c r="G71" s="15" t="s">
        <v>82</v>
      </c>
      <c r="H71" s="41">
        <f>IF(AND(ISNUMBER(H70),ISNUMBER(F70)),H70-F70,"n/a")</f>
        <v>10.116416401244749</v>
      </c>
      <c r="I71" s="31"/>
      <c r="J71" s="1"/>
      <c r="K71" s="1"/>
      <c r="L71" s="1"/>
      <c r="M71" s="1"/>
    </row>
    <row r="72">
      <c r="A72" s="1"/>
      <c r="B72" s="12" t="s">
        <v>84</v>
      </c>
      <c r="C72" s="13">
        <f>IFERROR(C70/Inputs!C131-1,"n/a")</f>
        <v>0.1384615384615384</v>
      </c>
      <c r="D72" s="13">
        <f>IFERROR(D70/Inputs!D131-1,"n/a")</f>
        <v>0.42028985507246386</v>
      </c>
      <c r="E72" s="13">
        <f>IFERROR(E70/Inputs!E131-1,"n/a")</f>
        <v>0.19736842105263164</v>
      </c>
      <c r="F72" s="13">
        <f>IFERROR(F70/Inputs!F131-1,"n/a")</f>
        <v>0.1807228915662651</v>
      </c>
      <c r="G72" s="13">
        <f>IFERROR(G70/Inputs!G131-1,"n/a")</f>
        <v>0.273076923076923</v>
      </c>
      <c r="H72" s="16">
        <f>IFERROR(H70/C70-1,"n/a")</f>
        <v>0.4610326540708749</v>
      </c>
      <c r="I72" s="31"/>
      <c r="J72" s="1"/>
      <c r="K72" s="1"/>
      <c r="L72" s="1"/>
      <c r="M72" s="1"/>
    </row>
    <row r="73">
      <c r="A73" s="1"/>
      <c r="B73" s="12" t="s">
        <v>85</v>
      </c>
      <c r="C73" s="13">
        <f>IFERROR(C70/Inputs!F131-1,"n/a")</f>
        <v>-0.10843373493975905</v>
      </c>
      <c r="D73" s="4">
        <f>IFERROR(D70/C70-1,"n/a")</f>
        <v>0.32432432432432434</v>
      </c>
      <c r="E73" s="4">
        <f>IFERROR(E70/D70-1,"n/a")</f>
        <v>-0.0714285714285714</v>
      </c>
      <c r="F73" s="4">
        <f>IFERROR(F70/E70-1,"n/a")</f>
        <v>0.07692307692307687</v>
      </c>
      <c r="G73" s="4" t="s">
        <v>82</v>
      </c>
      <c r="H73" s="16">
        <f>IFERROR(H70/F70-1,"n/a")</f>
        <v>0.10322873878821182</v>
      </c>
      <c r="I73" s="31"/>
      <c r="J73" s="1"/>
      <c r="K73" s="1"/>
      <c r="L73" s="1"/>
      <c r="M73" s="1"/>
    </row>
    <row r="74">
      <c r="A74" s="1"/>
      <c r="B74" s="12" t="s">
        <v>371</v>
      </c>
      <c r="C74" s="4">
        <f>C70/C82</f>
        <v>0.01560522986081822</v>
      </c>
      <c r="D74" s="4">
        <f>D70/D82</f>
        <v>0.022156907076644812</v>
      </c>
      <c r="E74" s="4">
        <f>E70/E82</f>
        <v>0.018860103626943004</v>
      </c>
      <c r="F74" s="4">
        <f>F70/F82</f>
        <v>0.017938861431447923</v>
      </c>
      <c r="G74" s="4">
        <f>G70/G82</f>
        <v>0.01871960185499378</v>
      </c>
      <c r="H74" s="16">
        <f>F74</f>
        <v>0.017938861431447923</v>
      </c>
      <c r="I74" s="31"/>
      <c r="J74" s="1"/>
      <c r="K74" s="1"/>
      <c r="L74" s="1"/>
      <c r="M74" s="1"/>
    </row>
    <row r="75">
      <c r="A75" s="1"/>
      <c r="B75" s="12" t="s">
        <v>127</v>
      </c>
      <c r="C75" s="35">
        <f>IF(AND(ISNUMBER(C74),ISNUMBER((Inputs!F131/Inputs!F98))),(C74-(Inputs!F131/Inputs!F98))*10000,"n/a")</f>
        <v>-30.548420816278213</v>
      </c>
      <c r="D75" s="22">
        <f>IF(AND(ISNUMBER(D74),ISNUMBER(C74)),(D74-C74)*10000,"n/a")</f>
        <v>65.51677215826591</v>
      </c>
      <c r="E75" s="22">
        <f>IF(AND(ISNUMBER(E74),ISNUMBER(D74)),(E74-D74)*10000,"n/a")</f>
        <v>-32.96803449701808</v>
      </c>
      <c r="F75" s="22">
        <f>IF(AND(ISNUMBER(F74),ISNUMBER(E74)),(F74-E74)*10000,"n/a")</f>
        <v>-9.21242195495081</v>
      </c>
      <c r="G75" s="22" t="s">
        <v>82</v>
      </c>
      <c r="H75" s="28">
        <f>IF(AND(ISNUMBER(H74),ISNUMBER(F74)),(H74-F74)*10000,"n/a")</f>
        <v>0</v>
      </c>
      <c r="I75" s="31"/>
      <c r="J75" s="1"/>
      <c r="K75" s="1"/>
      <c r="L75" s="1"/>
      <c r="M75" s="1"/>
    </row>
    <row r="76">
      <c r="A76" s="1"/>
      <c r="B76" s="12" t="s">
        <v>128</v>
      </c>
      <c r="C76" s="35">
        <f>IF(AND(ISNUMBER(C74),ISNUMBER((Inputs!C131/Inputs!C98))),(C74-(Inputs!C131/Inputs!C98))*10000,"n/a")</f>
        <v>-0.5364751812661148</v>
      </c>
      <c r="D76" s="35">
        <f>IF(AND(ISNUMBER(D74),ISNUMBER((Inputs!D131/Inputs!D98))),(D74-(Inputs!D131/Inputs!D98))*10000,"n/a")</f>
        <v>49.370418408075274</v>
      </c>
      <c r="E76" s="35">
        <f>IF(AND(ISNUMBER(E74),ISNUMBER((Inputs!E131/Inputs!E98))),(E74-(Inputs!E131/Inputs!E98))*10000,"n/a")</f>
        <v>1.8229581175499554</v>
      </c>
      <c r="F76" s="35">
        <f>IF(AND(ISNUMBER(F74),ISNUMBER((Inputs!F131/Inputs!F98))),(F74-(Inputs!F131/Inputs!F98))*10000,"n/a")</f>
        <v>-7.212105109981187</v>
      </c>
      <c r="G76" s="35">
        <f>IF(AND(ISNUMBER(G74),ISNUMBER((Inputs!G131/Inputs!G98))),(G74-(Inputs!G131/Inputs!G98))*10000,"n/a")</f>
        <v>20.966237845379265</v>
      </c>
      <c r="H76" s="28">
        <f>IF(AND(ISNUMBER(H74),ISNUMBER(C74)),(H74-C74)*10000,"n/a")</f>
        <v>23.336315706297025</v>
      </c>
      <c r="I76" s="31"/>
      <c r="J76" s="1"/>
      <c r="K76" s="1"/>
      <c r="L76" s="1"/>
      <c r="M76" s="1"/>
    </row>
    <row r="77">
      <c r="A77" s="1"/>
      <c r="B77" s="12" t="s">
        <v>87</v>
      </c>
      <c r="C77" s="40">
        <v>0</v>
      </c>
      <c r="D77" s="40">
        <v>0</v>
      </c>
      <c r="E77" s="40">
        <v>0</v>
      </c>
      <c r="F77" s="40">
        <v>0</v>
      </c>
      <c r="G77" s="40">
        <v>0</v>
      </c>
      <c r="H77" s="45">
        <v>0</v>
      </c>
      <c r="I77" s="31" t="s">
        <v>88</v>
      </c>
      <c r="J77" s="1"/>
      <c r="K77" s="1"/>
      <c r="L77" s="1"/>
      <c r="M77" s="1"/>
    </row>
    <row r="78">
      <c r="A78" s="1"/>
      <c r="B78" s="12" t="s">
        <v>89</v>
      </c>
      <c r="C78" s="4" t="s">
        <v>90</v>
      </c>
      <c r="D78" s="4" t="s">
        <v>90</v>
      </c>
      <c r="E78" s="4" t="s">
        <v>90</v>
      </c>
      <c r="F78" s="4" t="s">
        <v>90</v>
      </c>
      <c r="G78" s="4" t="s">
        <v>90</v>
      </c>
      <c r="H78" s="16" t="s">
        <v>90</v>
      </c>
      <c r="I78" s="31" t="s">
        <v>91</v>
      </c>
      <c r="J78" s="1"/>
      <c r="K78" s="1"/>
      <c r="L78" s="1"/>
      <c r="M78" s="1"/>
    </row>
    <row r="79">
      <c r="A79" s="1"/>
      <c r="B79" s="12" t="s">
        <v>92</v>
      </c>
      <c r="C79" s="4" t="str">
        <f>IF(AND(ISNUMBER(C72),ISNUMBER(C77),ISNUMBER(C78)),(1+C72)/((1+C77)*(1+C78))-1,"unavailable")</f>
        <v>unavailable</v>
      </c>
      <c r="D79" s="4" t="str">
        <f>IF(AND(ISNUMBER(D72),ISNUMBER(D77),ISNUMBER(D78)),(1+D72)/((1+D77)*(1+D78))-1,"unavailable")</f>
        <v>unavailable</v>
      </c>
      <c r="E79" s="4" t="str">
        <f>IF(AND(ISNUMBER(E72),ISNUMBER(E77),ISNUMBER(E78)),(1+E72)/((1+E77)*(1+E78))-1,"unavailable")</f>
        <v>unavailable</v>
      </c>
      <c r="F79" s="4" t="str">
        <f>IF(AND(ISNUMBER(F72),ISNUMBER(F77),ISNUMBER(F78)),(1+F72)/((1+F77)*(1+F78))-1,"unavailable")</f>
        <v>unavailable</v>
      </c>
      <c r="G79" s="4" t="str">
        <f>IF(AND(ISNUMBER(G72),ISNUMBER(G77),ISNUMBER(G78)),(1+G72)/((1+G77)*(1+G78))-1,"unavailable")</f>
        <v>unavailable</v>
      </c>
      <c r="H79" s="16" t="str">
        <f>IF(AND(ISNUMBER(H72),ISNUMBER(H77),ISNUMBER(H78)),(1+H72)/((1+H77)*(1+H78))-1,"unavailable")</f>
        <v>unavailable</v>
      </c>
      <c r="I79" s="31"/>
      <c r="J79" s="1"/>
      <c r="K79" s="1"/>
      <c r="L79" s="1"/>
      <c r="M79" s="1"/>
    </row>
    <row r="80">
      <c r="A80" s="1"/>
      <c r="B80" s="12" t="s">
        <v>93</v>
      </c>
      <c r="C80" s="4">
        <f>C72</f>
        <v>0.1384615384615384</v>
      </c>
      <c r="D80" s="4">
        <f>D72</f>
        <v>0.42028985507246386</v>
      </c>
      <c r="E80" s="4">
        <f>E72</f>
        <v>0.19736842105263164</v>
      </c>
      <c r="F80" s="4">
        <f>F72</f>
        <v>0.1807228915662651</v>
      </c>
      <c r="G80" s="4">
        <f>G72</f>
        <v>0.273076923076923</v>
      </c>
      <c r="H80" s="16">
        <f>H72</f>
        <v>0.4610326540708749</v>
      </c>
      <c r="I80" s="31"/>
      <c r="J80" s="1"/>
      <c r="K80" s="1"/>
      <c r="L80" s="1"/>
      <c r="M80" s="1"/>
    </row>
    <row r="81">
      <c r="A81" s="1"/>
      <c r="B81" s="1"/>
      <c r="C81" s="1"/>
      <c r="D81" s="1"/>
      <c r="E81" s="1"/>
      <c r="F81" s="1"/>
      <c r="G81" s="1"/>
      <c r="H81" s="51"/>
      <c r="I81" s="31"/>
      <c r="J81" s="1"/>
      <c r="K81" s="1"/>
      <c r="L81" s="1"/>
      <c r="M81" s="1"/>
    </row>
    <row r="82">
      <c r="A82" s="1"/>
      <c r="B82" s="9" t="s">
        <v>103</v>
      </c>
      <c r="C82" s="17">
        <f>C10+C22+C34+C46+C58+C70</f>
        <v>4742</v>
      </c>
      <c r="D82" s="17">
        <f>D10+D22+D34+D46+D58+D70</f>
        <v>4423</v>
      </c>
      <c r="E82" s="17">
        <f>E10+E22+E34+E46+E58+E70</f>
        <v>4825</v>
      </c>
      <c r="F82" s="17">
        <f>F10+F22+F34+F46+F58+F70</f>
        <v>5463</v>
      </c>
      <c r="G82" s="17">
        <f>G10+G22+G34+G46+G58+G70</f>
        <v>17682</v>
      </c>
      <c r="H82" s="38">
        <f>H10+H22+H34+H46+H58+H70</f>
        <v>6026.9386</v>
      </c>
      <c r="I82" s="31"/>
      <c r="J82" s="1"/>
      <c r="K82" s="1"/>
      <c r="L82" s="1"/>
      <c r="M82" s="1"/>
    </row>
    <row r="83">
      <c r="A83" s="1"/>
      <c r="B83" s="12" t="s">
        <v>84</v>
      </c>
      <c r="C83" s="13">
        <f>IFERROR(C82/Inputs!C98-1,"n/a")</f>
        <v>0.14237533124548296</v>
      </c>
      <c r="D83" s="13">
        <f>IFERROR(D82/Inputs!D98-1,"n/a")</f>
        <v>0.10381831794359875</v>
      </c>
      <c r="E83" s="13">
        <f>IFERROR(E82/Inputs!E98-1,"n/a")</f>
        <v>0.18579503563529132</v>
      </c>
      <c r="F83" s="13">
        <f>IFERROR(F82/Inputs!F98-1,"n/a")</f>
        <v>0.22819244604316546</v>
      </c>
      <c r="G83" s="13">
        <f>IFERROR(G82/Inputs!G98-1,"n/a")</f>
        <v>0.13049037785307838</v>
      </c>
      <c r="H83" s="16">
        <f>IFERROR(H82/C82-1,"n/a")</f>
        <v>0.2709697595951077</v>
      </c>
      <c r="I83" s="31"/>
      <c r="J83" s="1"/>
      <c r="K83" s="1"/>
      <c r="L83" s="1"/>
      <c r="M83" s="1"/>
    </row>
    <row r="84">
      <c r="A84" s="1"/>
      <c r="B84" s="12" t="s">
        <v>377</v>
      </c>
      <c r="C84" s="4">
        <f>C14+C26+C38+C50+C62+C74-1</f>
        <v>0</v>
      </c>
      <c r="D84" s="4">
        <f>D14+D26+D38+D50+D62+D74-1</f>
        <v>0</v>
      </c>
      <c r="E84" s="4">
        <f>E14+E26+E38+E50+E62+E74-1</f>
        <v>0</v>
      </c>
      <c r="F84" s="4">
        <f>F14+F26+F38+F50+F62+F74-1</f>
        <v>0</v>
      </c>
      <c r="G84" s="4">
        <f>G14+G26+G38+G50+G62+G74-1</f>
        <v>0</v>
      </c>
      <c r="H84" s="16">
        <f>H14+H26+H38+H50+H62+H74-1</f>
        <v>0</v>
      </c>
      <c r="I84" s="31"/>
      <c r="J84" s="1"/>
      <c r="K84" s="1"/>
      <c r="L84" s="1"/>
      <c r="M84" s="1"/>
    </row>
    <row r="85">
      <c r="A85" s="1"/>
      <c r="B85" s="9" t="s">
        <v>378</v>
      </c>
      <c r="C85" s="69">
        <f>C82-'Revenue summary'!C47</f>
        <v>0</v>
      </c>
      <c r="D85" s="69">
        <f>D82-'Revenue summary'!D47</f>
        <v>0</v>
      </c>
      <c r="E85" s="69">
        <f>E82-'Revenue summary'!E47</f>
        <v>0</v>
      </c>
      <c r="F85" s="69">
        <f>F82-'Revenue summary'!F47</f>
        <v>0</v>
      </c>
      <c r="G85" s="69">
        <f>G82-'Revenue summary'!G47</f>
        <v>0</v>
      </c>
      <c r="H85" s="67">
        <f>H82-'Revenue summary'!H47</f>
        <v>0</v>
      </c>
      <c r="I85" s="31"/>
      <c r="J85" s="1"/>
      <c r="K85" s="1"/>
      <c r="L85" s="1"/>
      <c r="M85" s="1"/>
    </row>
    <row r="86">
      <c r="A86" s="1"/>
      <c r="B86" s="12" t="s">
        <v>379</v>
      </c>
      <c r="C86" s="40">
        <v>0.1</v>
      </c>
      <c r="D86" s="4" t="s">
        <v>109</v>
      </c>
      <c r="E86" s="40">
        <v>0.1</v>
      </c>
      <c r="F86" s="40">
        <v>0.09</v>
      </c>
      <c r="G86" s="40">
        <v>0.1</v>
      </c>
      <c r="H86" s="16" t="s">
        <v>109</v>
      </c>
      <c r="I86" s="31"/>
      <c r="J86" s="1"/>
      <c r="K86" s="1"/>
      <c r="L86" s="1"/>
      <c r="M86" s="1"/>
    </row>
    <row r="87">
      <c r="A87" s="1"/>
      <c r="B87" s="1" t="s">
        <v>380</v>
      </c>
      <c r="C87" s="15"/>
      <c r="D87" s="15"/>
      <c r="E87" s="15"/>
      <c r="F87" s="15"/>
      <c r="G87" s="32">
        <f>Inputs!H126+C10+D10-G10</f>
        <v>0</v>
      </c>
      <c r="H87" s="41"/>
      <c r="I87" s="31"/>
      <c r="J87" s="1"/>
      <c r="K87" s="1"/>
      <c r="L87" s="1"/>
      <c r="M87" s="1"/>
    </row>
    <row r="88">
      <c r="A88" s="1"/>
      <c r="B88" s="1"/>
      <c r="C88" s="1"/>
      <c r="D88" s="1"/>
      <c r="E88" s="1"/>
      <c r="F88" s="1"/>
      <c r="G88" s="1"/>
      <c r="H88" s="51"/>
      <c r="I88" s="31"/>
      <c r="J88" s="1"/>
      <c r="K88" s="1"/>
      <c r="L88" s="1"/>
      <c r="M88" s="1"/>
    </row>
    <row r="8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</row>
    <row r="90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</row>
    <row r="9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</row>
    <row r="9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</row>
    <row r="9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</row>
  </sheetData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:M80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8" width="12" customWidth="1"/>
    <col min="9" max="9" width="6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>
      <c r="A2" s="1"/>
      <c r="B2" s="47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>
      <c r="A3" s="1"/>
      <c r="B3" s="9" t="s">
        <v>381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>
      <c r="A4" s="1"/>
      <c r="B4" s="12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>
      <c r="A5" s="1"/>
      <c r="B5" s="23" t="s">
        <v>3</v>
      </c>
      <c r="C5" s="27" t="s">
        <v>74</v>
      </c>
      <c r="D5" s="27" t="s">
        <v>75</v>
      </c>
      <c r="E5" s="27" t="s">
        <v>76</v>
      </c>
      <c r="F5" s="27" t="s">
        <v>77</v>
      </c>
      <c r="G5" s="27" t="s">
        <v>78</v>
      </c>
      <c r="H5" s="66" t="s">
        <v>4</v>
      </c>
      <c r="I5" s="49" t="s">
        <v>32</v>
      </c>
      <c r="J5" s="1"/>
      <c r="K5" s="1"/>
      <c r="L5" s="1"/>
      <c r="M5" s="1"/>
    </row>
    <row r="6">
      <c r="A6" s="1"/>
      <c r="B6" s="29" t="s">
        <v>5</v>
      </c>
      <c r="C6" s="39">
        <f>DATE(2025,9,30)</f>
        <v>45930</v>
      </c>
      <c r="D6" s="39">
        <f>DATE(2025,12,31)</f>
        <v>46022</v>
      </c>
      <c r="E6" s="39">
        <f>DATE(2026,3,31)</f>
        <v>46112</v>
      </c>
      <c r="F6" s="39">
        <f>DATE(2026,6,30)</f>
        <v>46203</v>
      </c>
      <c r="G6" s="39">
        <f>DATE(2025,12,31)</f>
        <v>46022</v>
      </c>
      <c r="H6" s="64">
        <f>DATE(2026,9,30)</f>
        <v>46295</v>
      </c>
      <c r="I6" s="29"/>
      <c r="J6" s="1"/>
      <c r="K6" s="1"/>
      <c r="L6" s="1"/>
      <c r="M6" s="1"/>
    </row>
    <row r="7">
      <c r="A7" s="1"/>
      <c r="B7" s="18" t="s">
        <v>6</v>
      </c>
      <c r="C7" s="42">
        <f>C6-EOMONTH(C6,-3)</f>
        <v>92</v>
      </c>
      <c r="D7" s="42">
        <f>D6-EOMONTH(D6,-3)</f>
        <v>92</v>
      </c>
      <c r="E7" s="42">
        <f>E6-EOMONTH(E6,-3)</f>
        <v>90</v>
      </c>
      <c r="F7" s="42">
        <f>F6-EOMONTH(F6,-3)</f>
        <v>91</v>
      </c>
      <c r="G7" s="42">
        <f>G6-EOMONTH(G6,-12)</f>
        <v>365</v>
      </c>
      <c r="H7" s="55">
        <f>H6-EOMONTH(H6,-3)</f>
        <v>92</v>
      </c>
      <c r="I7" s="18"/>
      <c r="J7" s="1"/>
      <c r="K7" s="1"/>
      <c r="L7" s="1"/>
      <c r="M7" s="1"/>
    </row>
    <row r="8">
      <c r="A8" s="1"/>
      <c r="B8" s="1"/>
      <c r="C8" s="1"/>
      <c r="D8" s="1"/>
      <c r="E8" s="1"/>
      <c r="F8" s="1"/>
      <c r="G8" s="1"/>
      <c r="H8" s="51"/>
      <c r="I8" s="1"/>
      <c r="J8" s="1"/>
      <c r="K8" s="1"/>
      <c r="L8" s="1"/>
      <c r="M8" s="1"/>
    </row>
    <row r="9">
      <c r="A9" s="1"/>
      <c r="B9" s="25" t="s">
        <v>382</v>
      </c>
      <c r="C9" s="1"/>
      <c r="D9" s="1"/>
      <c r="E9" s="1"/>
      <c r="F9" s="1"/>
      <c r="G9" s="1"/>
      <c r="H9" s="51"/>
      <c r="I9" s="31"/>
      <c r="J9" s="1"/>
      <c r="K9" s="1"/>
      <c r="L9" s="1"/>
      <c r="M9" s="1"/>
    </row>
    <row r="10">
      <c r="A10" s="1"/>
      <c r="B10" s="1" t="s">
        <v>383</v>
      </c>
      <c r="C10" s="24">
        <v>1741</v>
      </c>
      <c r="D10" s="24">
        <v>1741</v>
      </c>
      <c r="E10" s="24">
        <v>1741</v>
      </c>
      <c r="F10" s="24">
        <v>1741</v>
      </c>
      <c r="G10" s="15">
        <f>D10</f>
        <v>1741</v>
      </c>
      <c r="H10" s="41">
        <f>F10</f>
        <v>1741</v>
      </c>
      <c r="I10" s="31"/>
      <c r="J10" s="1"/>
      <c r="K10" s="1"/>
      <c r="L10" s="1"/>
      <c r="M10" s="1"/>
    </row>
    <row r="11">
      <c r="A11" s="1"/>
      <c r="B11" s="1" t="s">
        <v>384</v>
      </c>
      <c r="C11" s="24">
        <v>832</v>
      </c>
      <c r="D11" s="24">
        <v>834</v>
      </c>
      <c r="E11" s="24">
        <v>831</v>
      </c>
      <c r="F11" s="24">
        <v>828</v>
      </c>
      <c r="G11" s="15">
        <f>D11</f>
        <v>834</v>
      </c>
      <c r="H11" s="41">
        <f>F11+H16-H21</f>
        <v>827.1923076923077</v>
      </c>
      <c r="I11" s="31"/>
      <c r="J11" s="1"/>
      <c r="K11" s="1"/>
      <c r="L11" s="1"/>
      <c r="M11" s="1"/>
    </row>
    <row r="12">
      <c r="A12" s="1"/>
      <c r="B12" s="9" t="s">
        <v>385</v>
      </c>
      <c r="C12" s="17">
        <f>C10-C11</f>
        <v>909</v>
      </c>
      <c r="D12" s="17">
        <f>D10-D11</f>
        <v>907</v>
      </c>
      <c r="E12" s="17">
        <f>E10-E11</f>
        <v>910</v>
      </c>
      <c r="F12" s="17">
        <f>F10-F11</f>
        <v>913</v>
      </c>
      <c r="G12" s="17">
        <f>G10-G11</f>
        <v>907</v>
      </c>
      <c r="H12" s="38">
        <f>H10-H11</f>
        <v>913.8076923076923</v>
      </c>
      <c r="I12" s="31"/>
      <c r="J12" s="1"/>
      <c r="K12" s="1"/>
      <c r="L12" s="1"/>
      <c r="M12" s="1"/>
    </row>
    <row r="13">
      <c r="A13" s="1"/>
      <c r="B13" s="1" t="s">
        <v>386</v>
      </c>
      <c r="C13" s="15"/>
      <c r="D13" s="15">
        <f>D12-C12</f>
        <v>-2</v>
      </c>
      <c r="E13" s="15">
        <f>E12-D12</f>
        <v>3</v>
      </c>
      <c r="F13" s="15">
        <f>F12-E12</f>
        <v>3</v>
      </c>
      <c r="G13" s="15"/>
      <c r="H13" s="41">
        <f>H12-F12</f>
        <v>0.807692307692264</v>
      </c>
      <c r="I13" s="31"/>
      <c r="J13" s="1"/>
      <c r="K13" s="1"/>
      <c r="L13" s="1"/>
      <c r="M13" s="1"/>
    </row>
    <row r="14">
      <c r="A14" s="1"/>
      <c r="B14" s="1"/>
      <c r="C14" s="1"/>
      <c r="D14" s="1"/>
      <c r="E14" s="1"/>
      <c r="F14" s="1"/>
      <c r="G14" s="1"/>
      <c r="H14" s="51"/>
      <c r="I14" s="31"/>
      <c r="J14" s="1"/>
      <c r="K14" s="1"/>
      <c r="L14" s="1"/>
      <c r="M14" s="1"/>
    </row>
    <row r="15">
      <c r="A15" s="1"/>
      <c r="B15" s="25" t="s">
        <v>387</v>
      </c>
      <c r="C15" s="1"/>
      <c r="D15" s="1"/>
      <c r="E15" s="1"/>
      <c r="F15" s="1"/>
      <c r="G15" s="1"/>
      <c r="H15" s="51"/>
      <c r="I15" s="31"/>
      <c r="J15" s="1"/>
      <c r="K15" s="1"/>
      <c r="L15" s="1"/>
      <c r="M15" s="1"/>
    </row>
    <row r="16">
      <c r="A16" s="1"/>
      <c r="B16" s="1" t="s">
        <v>388</v>
      </c>
      <c r="C16" s="24">
        <v>0.659384</v>
      </c>
      <c r="D16" s="24">
        <v>2.435903</v>
      </c>
      <c r="E16" s="24">
        <v>0.813096</v>
      </c>
      <c r="F16" s="24">
        <v>0.114386</v>
      </c>
      <c r="G16" s="24">
        <v>8.5</v>
      </c>
      <c r="H16" s="41">
        <f>H17/H18</f>
        <v>0.19230769230769232</v>
      </c>
      <c r="I16" s="31" t="s">
        <v>389</v>
      </c>
      <c r="J16" s="1"/>
      <c r="K16" s="1"/>
      <c r="L16" s="1"/>
      <c r="M16" s="1"/>
    </row>
    <row r="17">
      <c r="A17" s="1"/>
      <c r="B17" s="1" t="s">
        <v>390</v>
      </c>
      <c r="C17" s="32">
        <f>-'Cash Flow Statement'!C43</f>
        <v>119</v>
      </c>
      <c r="D17" s="32">
        <f>-'Cash Flow Statement'!D43</f>
        <v>403</v>
      </c>
      <c r="E17" s="32">
        <f>-'Cash Flow Statement'!E43</f>
        <v>158</v>
      </c>
      <c r="F17" s="32">
        <f>-'Cash Flow Statement'!F43</f>
        <v>27</v>
      </c>
      <c r="G17" s="32">
        <f>-'Cash Flow Statement'!G43</f>
        <v>1477</v>
      </c>
      <c r="H17" s="56">
        <f>-'Cash Flow Statement'!H43</f>
        <v>50</v>
      </c>
      <c r="I17" s="31"/>
      <c r="J17" s="1"/>
      <c r="K17" s="1"/>
      <c r="L17" s="1"/>
      <c r="M17" s="1"/>
    </row>
    <row r="18">
      <c r="A18" s="1"/>
      <c r="B18" s="1" t="s">
        <v>391</v>
      </c>
      <c r="C18" s="97">
        <f>C17/C16</f>
        <v>180.4714703420162</v>
      </c>
      <c r="D18" s="97">
        <f>D17/D16</f>
        <v>165.44172735942277</v>
      </c>
      <c r="E18" s="97">
        <f>E17/E16</f>
        <v>194.31899800269585</v>
      </c>
      <c r="F18" s="97">
        <f>F17/F16</f>
        <v>236.042872379487</v>
      </c>
      <c r="G18" s="97">
        <f>G17/G16</f>
        <v>173.76470588235293</v>
      </c>
      <c r="H18" s="99">
        <v>260</v>
      </c>
      <c r="I18" s="31" t="s">
        <v>392</v>
      </c>
      <c r="J18" s="1"/>
      <c r="K18" s="1"/>
      <c r="L18" s="1"/>
      <c r="M18" s="1"/>
    </row>
    <row r="19">
      <c r="A19" s="1"/>
      <c r="B19" s="1" t="s">
        <v>393</v>
      </c>
      <c r="C19" s="97"/>
      <c r="D19" s="97">
        <f>D18-C18</f>
        <v>-15.029742982593433</v>
      </c>
      <c r="E19" s="97">
        <f>E18-D18</f>
        <v>28.87727064327308</v>
      </c>
      <c r="F19" s="97">
        <f>F18-E18</f>
        <v>41.723874376791144</v>
      </c>
      <c r="G19" s="97"/>
      <c r="H19" s="101">
        <f>H18-F18</f>
        <v>23.957127620513006</v>
      </c>
      <c r="I19" s="31"/>
      <c r="J19" s="1"/>
      <c r="K19" s="1"/>
      <c r="L19" s="1"/>
      <c r="M19" s="1"/>
    </row>
    <row r="20">
      <c r="A20" s="1"/>
      <c r="B20" s="12" t="s">
        <v>84</v>
      </c>
      <c r="C20" s="4" t="s">
        <v>82</v>
      </c>
      <c r="D20" s="4" t="s">
        <v>82</v>
      </c>
      <c r="E20" s="4" t="s">
        <v>82</v>
      </c>
      <c r="F20" s="4" t="s">
        <v>82</v>
      </c>
      <c r="G20" s="4" t="s">
        <v>82</v>
      </c>
      <c r="H20" s="16">
        <f>H18/C18-1</f>
        <v>0.44067092436974775</v>
      </c>
      <c r="I20" s="31"/>
      <c r="J20" s="1"/>
      <c r="K20" s="1"/>
      <c r="L20" s="1"/>
      <c r="M20" s="1"/>
    </row>
    <row r="21">
      <c r="A21" s="1"/>
      <c r="B21" s="1" t="s">
        <v>394</v>
      </c>
      <c r="C21" s="24">
        <v>1</v>
      </c>
      <c r="D21" s="15" t="s">
        <v>109</v>
      </c>
      <c r="E21" s="24">
        <v>4</v>
      </c>
      <c r="F21" s="24">
        <v>3</v>
      </c>
      <c r="G21" s="24">
        <v>4</v>
      </c>
      <c r="H21" s="61">
        <v>1</v>
      </c>
      <c r="I21" s="31" t="s">
        <v>395</v>
      </c>
      <c r="J21" s="1"/>
      <c r="K21" s="1"/>
      <c r="L21" s="1"/>
      <c r="M21" s="1"/>
    </row>
    <row r="22">
      <c r="A22" s="1"/>
      <c r="B22" s="1" t="s">
        <v>396</v>
      </c>
      <c r="C22" s="32">
        <f>'Cash Flow Statement'!C44</f>
        <v>125</v>
      </c>
      <c r="D22" s="32">
        <f>'Cash Flow Statement'!D44</f>
        <v>42</v>
      </c>
      <c r="E22" s="32">
        <f>'Cash Flow Statement'!E44</f>
        <v>309</v>
      </c>
      <c r="F22" s="32">
        <f>'Cash Flow Statement'!F44</f>
        <v>445</v>
      </c>
      <c r="G22" s="32">
        <f>'Cash Flow Statement'!G44</f>
        <v>400</v>
      </c>
      <c r="H22" s="56">
        <f>'Cash Flow Statement'!H44</f>
        <v>150</v>
      </c>
      <c r="I22" s="31"/>
      <c r="J22" s="1"/>
      <c r="K22" s="1"/>
      <c r="L22" s="1"/>
      <c r="M22" s="1"/>
    </row>
    <row r="23">
      <c r="A23" s="1"/>
      <c r="B23" s="1"/>
      <c r="C23" s="1"/>
      <c r="D23" s="1"/>
      <c r="E23" s="1"/>
      <c r="F23" s="1"/>
      <c r="G23" s="1"/>
      <c r="H23" s="51"/>
      <c r="I23" s="31"/>
      <c r="J23" s="1"/>
      <c r="K23" s="1"/>
      <c r="L23" s="1"/>
      <c r="M23" s="1"/>
    </row>
    <row r="24">
      <c r="A24" s="1"/>
      <c r="B24" s="25" t="s">
        <v>397</v>
      </c>
      <c r="C24" s="1"/>
      <c r="D24" s="1"/>
      <c r="E24" s="1"/>
      <c r="F24" s="1"/>
      <c r="G24" s="1"/>
      <c r="H24" s="51"/>
      <c r="I24" s="31"/>
      <c r="J24" s="1"/>
      <c r="K24" s="1"/>
      <c r="L24" s="1"/>
      <c r="M24" s="1"/>
    </row>
    <row r="25">
      <c r="A25" s="1"/>
      <c r="B25" s="1" t="s">
        <v>398</v>
      </c>
      <c r="C25" s="24">
        <v>909</v>
      </c>
      <c r="D25" s="24">
        <v>907</v>
      </c>
      <c r="E25" s="24">
        <v>909</v>
      </c>
      <c r="F25" s="24">
        <v>912</v>
      </c>
      <c r="G25" s="24">
        <v>909</v>
      </c>
      <c r="H25" s="41">
        <f>AVERAGE(F12,H12)</f>
        <v>913.4038461538462</v>
      </c>
      <c r="I25" s="31" t="s">
        <v>399</v>
      </c>
      <c r="J25" s="1"/>
      <c r="K25" s="1"/>
      <c r="L25" s="1"/>
      <c r="M25" s="1"/>
    </row>
    <row r="26">
      <c r="A26" s="1"/>
      <c r="B26" s="1" t="s">
        <v>386</v>
      </c>
      <c r="C26" s="15"/>
      <c r="D26" s="15">
        <f>D25-C25</f>
        <v>-2</v>
      </c>
      <c r="E26" s="15">
        <f>E25-D25</f>
        <v>2</v>
      </c>
      <c r="F26" s="15">
        <f>F25-E25</f>
        <v>3</v>
      </c>
      <c r="G26" s="15"/>
      <c r="H26" s="41">
        <f>H25-F25</f>
        <v>1.4038461538461888</v>
      </c>
      <c r="I26" s="31"/>
      <c r="J26" s="1"/>
      <c r="K26" s="1"/>
      <c r="L26" s="1"/>
      <c r="M26" s="1"/>
    </row>
    <row r="27">
      <c r="A27" s="1"/>
      <c r="B27" s="1" t="s">
        <v>400</v>
      </c>
      <c r="C27" s="15">
        <f>C30-C25</f>
        <v>5</v>
      </c>
      <c r="D27" s="15">
        <f>D30-D25</f>
        <v>4</v>
      </c>
      <c r="E27" s="15">
        <f>E30-E25</f>
        <v>5</v>
      </c>
      <c r="F27" s="15">
        <f>F30-F25</f>
        <v>8</v>
      </c>
      <c r="G27" s="15">
        <f>G30-G25</f>
        <v>4</v>
      </c>
      <c r="H27" s="41">
        <f>F27</f>
        <v>8</v>
      </c>
      <c r="I27" s="31" t="s">
        <v>401</v>
      </c>
      <c r="J27" s="1"/>
      <c r="K27" s="1"/>
      <c r="L27" s="1"/>
      <c r="M27" s="1"/>
    </row>
    <row r="28">
      <c r="A28" s="1"/>
      <c r="B28" s="1" t="s">
        <v>386</v>
      </c>
      <c r="C28" s="15"/>
      <c r="D28" s="15">
        <f>D27-C27</f>
        <v>-1</v>
      </c>
      <c r="E28" s="15">
        <f>E27-D27</f>
        <v>1</v>
      </c>
      <c r="F28" s="15">
        <f>F27-E27</f>
        <v>3</v>
      </c>
      <c r="G28" s="15"/>
      <c r="H28" s="41">
        <f>H27-F27</f>
        <v>0</v>
      </c>
      <c r="I28" s="31"/>
      <c r="J28" s="1"/>
      <c r="K28" s="1"/>
      <c r="L28" s="1"/>
      <c r="M28" s="1"/>
    </row>
    <row r="29">
      <c r="A29" s="1"/>
      <c r="B29" s="1" t="s">
        <v>402</v>
      </c>
      <c r="C29" s="15" t="s">
        <v>82</v>
      </c>
      <c r="D29" s="15" t="s">
        <v>82</v>
      </c>
      <c r="E29" s="15" t="s">
        <v>82</v>
      </c>
      <c r="F29" s="15" t="s">
        <v>82</v>
      </c>
      <c r="G29" s="15" t="s">
        <v>82</v>
      </c>
      <c r="H29" s="41">
        <f>H27-C27</f>
        <v>3</v>
      </c>
      <c r="I29" s="31"/>
      <c r="J29" s="1"/>
      <c r="K29" s="1"/>
      <c r="L29" s="1"/>
      <c r="M29" s="1"/>
    </row>
    <row r="30">
      <c r="A30" s="1"/>
      <c r="B30" s="9" t="s">
        <v>403</v>
      </c>
      <c r="C30" s="48">
        <v>914</v>
      </c>
      <c r="D30" s="48">
        <v>911</v>
      </c>
      <c r="E30" s="48">
        <v>914</v>
      </c>
      <c r="F30" s="48">
        <v>920</v>
      </c>
      <c r="G30" s="48">
        <v>913</v>
      </c>
      <c r="H30" s="38">
        <f>H25+H27</f>
        <v>921.4038461538462</v>
      </c>
      <c r="I30" s="31"/>
      <c r="J30" s="1"/>
      <c r="K30" s="1"/>
      <c r="L30" s="1"/>
      <c r="M30" s="1"/>
    </row>
    <row r="31">
      <c r="A31" s="1"/>
      <c r="B31" s="1" t="s">
        <v>386</v>
      </c>
      <c r="C31" s="15"/>
      <c r="D31" s="15">
        <f>D30-C30</f>
        <v>-3</v>
      </c>
      <c r="E31" s="15">
        <f>E30-D30</f>
        <v>3</v>
      </c>
      <c r="F31" s="15">
        <f>F30-E30</f>
        <v>6</v>
      </c>
      <c r="G31" s="15"/>
      <c r="H31" s="41">
        <f>H30-F30</f>
        <v>1.4038461538461888</v>
      </c>
      <c r="I31" s="31"/>
      <c r="J31" s="1"/>
      <c r="K31" s="1"/>
      <c r="L31" s="1"/>
      <c r="M31" s="1"/>
    </row>
    <row r="32">
      <c r="A32" s="1"/>
      <c r="B32" s="12" t="s">
        <v>84</v>
      </c>
      <c r="C32" s="13">
        <f>IFERROR(C30/Inputs!C115-1,"n/a")</f>
        <v>-0.006521739130434745</v>
      </c>
      <c r="D32" s="13">
        <f>IFERROR(D30/Inputs!D115-1,"n/a")</f>
        <v>-0.008705114254624613</v>
      </c>
      <c r="E32" s="13">
        <f>IFERROR(E30/Inputs!E115-1,"n/a")</f>
        <v>-0.0021834061135370675</v>
      </c>
      <c r="F32" s="13">
        <f>IFERROR(F30/Inputs!F115-1,"n/a")</f>
        <v>0.00877192982456143</v>
      </c>
      <c r="G32" s="13">
        <f>IFERROR(G30/Inputs!G115-1,"n/a")</f>
        <v>-0.006528835690968404</v>
      </c>
      <c r="H32" s="16">
        <f>IFERROR(H30/C30-1,"n/a")</f>
        <v>0.00810048813331088</v>
      </c>
      <c r="I32" s="31"/>
      <c r="J32" s="1"/>
      <c r="K32" s="1"/>
      <c r="L32" s="1"/>
      <c r="M32" s="1"/>
    </row>
    <row r="33">
      <c r="A33" s="1"/>
      <c r="B33" s="1"/>
      <c r="C33" s="1"/>
      <c r="D33" s="1"/>
      <c r="E33" s="1"/>
      <c r="F33" s="1"/>
      <c r="G33" s="1"/>
      <c r="H33" s="51"/>
      <c r="I33" s="31"/>
      <c r="J33" s="1"/>
      <c r="K33" s="1"/>
      <c r="L33" s="1"/>
      <c r="M33" s="1"/>
    </row>
    <row r="34">
      <c r="A34" s="1"/>
      <c r="B34" s="25" t="s">
        <v>404</v>
      </c>
      <c r="C34" s="1"/>
      <c r="D34" s="1"/>
      <c r="E34" s="1"/>
      <c r="F34" s="1"/>
      <c r="G34" s="1"/>
      <c r="H34" s="51"/>
      <c r="I34" s="31"/>
      <c r="J34" s="1"/>
      <c r="K34" s="1"/>
      <c r="L34" s="1"/>
      <c r="M34" s="1"/>
    </row>
    <row r="35">
      <c r="A35" s="1"/>
      <c r="B35" s="1" t="s">
        <v>405</v>
      </c>
      <c r="C35" s="100">
        <v>1.36</v>
      </c>
      <c r="D35" s="100">
        <v>1.42</v>
      </c>
      <c r="E35" s="100">
        <v>1.42</v>
      </c>
      <c r="F35" s="100">
        <v>1.42</v>
      </c>
      <c r="G35" s="100">
        <v>5.5</v>
      </c>
      <c r="H35" s="99">
        <v>1.42</v>
      </c>
      <c r="I35" s="31" t="s">
        <v>406</v>
      </c>
      <c r="J35" s="1"/>
      <c r="K35" s="1"/>
      <c r="L35" s="1"/>
      <c r="M35" s="1"/>
    </row>
    <row r="36">
      <c r="A36" s="1"/>
      <c r="B36" s="1" t="s">
        <v>407</v>
      </c>
      <c r="C36" s="32">
        <f>-'Cash Flow Statement'!C42</f>
        <v>1236</v>
      </c>
      <c r="D36" s="32">
        <f>-'Cash Flow Statement'!D42</f>
        <v>1290</v>
      </c>
      <c r="E36" s="32">
        <f>-'Cash Flow Statement'!E42</f>
        <v>1291</v>
      </c>
      <c r="F36" s="32">
        <f>-'Cash Flow Statement'!F42</f>
        <v>1295</v>
      </c>
      <c r="G36" s="32">
        <f>-'Cash Flow Statement'!G42</f>
        <v>4999</v>
      </c>
      <c r="H36" s="56">
        <f>-'Cash Flow Statement'!H42</f>
        <v>1296.46</v>
      </c>
      <c r="I36" s="31"/>
      <c r="J36" s="1"/>
      <c r="K36" s="1"/>
      <c r="L36" s="1"/>
      <c r="M36" s="1"/>
    </row>
    <row r="37">
      <c r="A37" s="1"/>
      <c r="B37" s="1"/>
      <c r="C37" s="1"/>
      <c r="D37" s="1"/>
      <c r="E37" s="1"/>
      <c r="F37" s="1"/>
      <c r="G37" s="1"/>
      <c r="H37" s="51"/>
      <c r="I37" s="31"/>
      <c r="J37" s="1"/>
      <c r="K37" s="1"/>
      <c r="L37" s="1"/>
      <c r="M37" s="1"/>
    </row>
    <row r="38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  <row r="4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</row>
    <row r="50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</row>
    <row r="5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</row>
    <row r="5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</row>
    <row r="5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</row>
    <row r="5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</row>
    <row r="57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  <row r="60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  <row r="6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</row>
    <row r="7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</row>
    <row r="77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</sheetData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M80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3" width="12" customWidth="1"/>
    <col min="4" max="4" width="24" customWidth="1"/>
    <col min="5" max="12" width="12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>
      <c r="A2" s="1"/>
      <c r="B2" s="47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>
      <c r="A3" s="1"/>
      <c r="B3" s="9" t="s">
        <v>408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>
      <c r="A4" s="1"/>
      <c r="B4" s="12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>
      <c r="A5" s="1"/>
      <c r="B5" s="23" t="s">
        <v>3</v>
      </c>
      <c r="C5" s="27" t="s">
        <v>4</v>
      </c>
      <c r="D5" s="23"/>
      <c r="E5" s="23"/>
      <c r="F5" s="23"/>
      <c r="G5" s="23"/>
      <c r="H5" s="23"/>
      <c r="I5" s="23"/>
      <c r="J5" s="23"/>
      <c r="K5" s="23"/>
      <c r="L5" s="23"/>
      <c r="M5" s="1"/>
    </row>
    <row r="6">
      <c r="A6" s="1"/>
      <c r="B6" s="29" t="s">
        <v>5</v>
      </c>
      <c r="C6" s="39">
        <f>DATE(2026,9,30)</f>
        <v>46295</v>
      </c>
      <c r="D6" s="29"/>
      <c r="E6" s="29"/>
      <c r="F6" s="29"/>
      <c r="G6" s="29"/>
      <c r="H6" s="29"/>
      <c r="I6" s="29"/>
      <c r="J6" s="29"/>
      <c r="K6" s="29"/>
      <c r="L6" s="29"/>
      <c r="M6" s="1"/>
    </row>
    <row r="7">
      <c r="A7" s="1"/>
      <c r="B7" s="18" t="s">
        <v>6</v>
      </c>
      <c r="C7" s="42">
        <f>C6-EOMONTH(C6,-3)</f>
        <v>92</v>
      </c>
      <c r="D7" s="18"/>
      <c r="E7" s="18"/>
      <c r="F7" s="18"/>
      <c r="G7" s="18"/>
      <c r="H7" s="18"/>
      <c r="I7" s="18"/>
      <c r="J7" s="18"/>
      <c r="K7" s="18"/>
      <c r="L7" s="18"/>
      <c r="M7" s="1"/>
    </row>
    <row r="8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ht="27">
      <c r="A9" s="1"/>
      <c r="B9" s="104" t="s">
        <v>409</v>
      </c>
      <c r="C9" s="110" t="s">
        <v>3</v>
      </c>
      <c r="D9" s="112" t="s">
        <v>25</v>
      </c>
      <c r="E9" s="110" t="s">
        <v>410</v>
      </c>
      <c r="F9" s="110" t="s">
        <v>411</v>
      </c>
      <c r="G9" s="110" t="s">
        <v>412</v>
      </c>
      <c r="H9" s="110" t="s">
        <v>413</v>
      </c>
      <c r="I9" s="110" t="s">
        <v>414</v>
      </c>
      <c r="J9" s="110" t="s">
        <v>415</v>
      </c>
      <c r="K9" s="110" t="s">
        <v>68</v>
      </c>
      <c r="L9" s="110" t="s">
        <v>416</v>
      </c>
      <c r="M9" s="1"/>
    </row>
    <row r="10">
      <c r="A10" s="1"/>
      <c r="B10" s="2">
        <v>45680</v>
      </c>
      <c r="C10" s="106" t="s">
        <v>417</v>
      </c>
      <c r="D10" s="1" t="s">
        <v>33</v>
      </c>
      <c r="E10" s="102">
        <v>3740</v>
      </c>
      <c r="F10" s="102">
        <v>4060</v>
      </c>
      <c r="G10" s="103">
        <f>AVERAGE(E10:F10)</f>
        <v>3900</v>
      </c>
      <c r="H10" s="109">
        <f>Inputs!E98</f>
        <v>4069</v>
      </c>
      <c r="I10" s="105">
        <f>IFERROR(H10/G10-1,"pending")</f>
        <v>0.043333333333333224</v>
      </c>
      <c r="J10" s="7" t="str">
        <f>IF(ISNUMBER(H10),IF(H10&gt;G10,"Beat",IF(H10&lt;G10,"Miss","In line")),"pending")</f>
        <v>Beat</v>
      </c>
      <c r="K10" s="7" t="s">
        <v>418</v>
      </c>
      <c r="L10" s="103"/>
      <c r="M10" s="1"/>
    </row>
    <row r="11">
      <c r="A11" s="1"/>
      <c r="B11" s="2">
        <v>45680</v>
      </c>
      <c r="C11" s="106" t="s">
        <v>417</v>
      </c>
      <c r="D11" s="1" t="s">
        <v>211</v>
      </c>
      <c r="E11" s="100">
        <v>0.94</v>
      </c>
      <c r="F11" s="100">
        <v>1.16</v>
      </c>
      <c r="G11" s="97">
        <f>AVERAGE(E11:F11)</f>
        <v>1.0499999999999998</v>
      </c>
      <c r="H11" s="94">
        <f>Inputs!E114</f>
        <v>1.28</v>
      </c>
      <c r="I11" s="105">
        <f>IFERROR(H11/G11-1,"pending")</f>
        <v>0.21904761904761938</v>
      </c>
      <c r="J11" s="7" t="str">
        <f>IF(ISNUMBER(H11),IF(H11&gt;G11,"Beat",IF(H11&lt;G11,"Miss","In line")),"pending")</f>
        <v>Beat</v>
      </c>
      <c r="K11" s="7" t="s">
        <v>418</v>
      </c>
      <c r="L11" s="97"/>
      <c r="M11" s="1"/>
    </row>
    <row r="12">
      <c r="A12" s="1"/>
      <c r="B12" s="2">
        <v>45770</v>
      </c>
      <c r="C12" s="106" t="s">
        <v>419</v>
      </c>
      <c r="D12" s="1" t="s">
        <v>33</v>
      </c>
      <c r="E12" s="102">
        <v>4170</v>
      </c>
      <c r="F12" s="102">
        <v>4530</v>
      </c>
      <c r="G12" s="103">
        <f>AVERAGE(E12:F12)</f>
        <v>4350</v>
      </c>
      <c r="H12" s="109">
        <f>Inputs!F98</f>
        <v>4448</v>
      </c>
      <c r="I12" s="105">
        <f>IFERROR(H12/G12-1,"pending")</f>
        <v>0.022528735632183938</v>
      </c>
      <c r="J12" s="7" t="str">
        <f>IF(ISNUMBER(H12),IF(H12&gt;G12,"Beat",IF(H12&lt;G12,"Miss","In line")),"pending")</f>
        <v>Beat</v>
      </c>
      <c r="K12" s="7" t="s">
        <v>420</v>
      </c>
      <c r="L12" s="103"/>
      <c r="M12" s="1"/>
    </row>
    <row r="13">
      <c r="A13" s="1"/>
      <c r="B13" s="2">
        <v>45770</v>
      </c>
      <c r="C13" s="106" t="s">
        <v>419</v>
      </c>
      <c r="D13" s="1" t="s">
        <v>211</v>
      </c>
      <c r="E13" s="100">
        <v>1.21</v>
      </c>
      <c r="F13" s="100">
        <v>1.47</v>
      </c>
      <c r="G13" s="97">
        <f>AVERAGE(E13:F13)</f>
        <v>1.3399999999999999</v>
      </c>
      <c r="H13" s="94">
        <f>Inputs!F114</f>
        <v>1.41</v>
      </c>
      <c r="I13" s="105">
        <f>IFERROR(H13/G13-1,"pending")</f>
        <v>0.052238805970149294</v>
      </c>
      <c r="J13" s="7" t="str">
        <f>IF(ISNUMBER(H13),IF(H13&gt;G13,"Beat",IF(H13&lt;G13,"Miss","In line")),"pending")</f>
        <v>Beat</v>
      </c>
      <c r="K13" s="7" t="s">
        <v>420</v>
      </c>
      <c r="L13" s="97"/>
      <c r="M13" s="1"/>
    </row>
    <row r="14">
      <c r="A14" s="1"/>
      <c r="B14" s="2">
        <v>45860</v>
      </c>
      <c r="C14" s="106" t="s">
        <v>74</v>
      </c>
      <c r="D14" s="1" t="s">
        <v>33</v>
      </c>
      <c r="E14" s="102">
        <v>4450</v>
      </c>
      <c r="F14" s="102">
        <v>4800</v>
      </c>
      <c r="G14" s="103">
        <f>AVERAGE(E14:F14)</f>
        <v>4625</v>
      </c>
      <c r="H14" s="109">
        <f>'Income Statement'!C9</f>
        <v>4742</v>
      </c>
      <c r="I14" s="105">
        <f>IFERROR(H14/G14-1,"pending")</f>
        <v>0.02529729729729735</v>
      </c>
      <c r="J14" s="7" t="str">
        <f>IF(ISNUMBER(H14),IF(H14&gt;G14,"Beat",IF(H14&lt;G14,"Miss","In line")),"pending")</f>
        <v>Beat</v>
      </c>
      <c r="K14" s="7" t="s">
        <v>421</v>
      </c>
      <c r="L14" s="103"/>
      <c r="M14" s="1"/>
    </row>
    <row r="15">
      <c r="A15" s="1"/>
      <c r="B15" s="2">
        <v>45860</v>
      </c>
      <c r="C15" s="106" t="s">
        <v>74</v>
      </c>
      <c r="D15" s="1" t="s">
        <v>211</v>
      </c>
      <c r="E15" s="100">
        <v>1.36</v>
      </c>
      <c r="F15" s="100">
        <v>1.6</v>
      </c>
      <c r="G15" s="97">
        <f>AVERAGE(E15:F15)</f>
        <v>1.48</v>
      </c>
      <c r="H15" s="94">
        <f>'Income Statement'!C70</f>
        <v>1.48</v>
      </c>
      <c r="I15" s="105">
        <f>IFERROR(H15/G15-1,"pending")</f>
        <v>0</v>
      </c>
      <c r="J15" s="7" t="str">
        <f>IF(ISNUMBER(H15),IF(H15&gt;G15,"Beat",IF(H15&lt;G15,"Miss","In line")),"pending")</f>
        <v>In line</v>
      </c>
      <c r="K15" s="7" t="s">
        <v>421</v>
      </c>
      <c r="L15" s="97"/>
      <c r="M15" s="1"/>
    </row>
    <row r="16">
      <c r="A16" s="1"/>
      <c r="B16" s="2">
        <v>45951</v>
      </c>
      <c r="C16" s="106" t="s">
        <v>75</v>
      </c>
      <c r="D16" s="1" t="s">
        <v>33</v>
      </c>
      <c r="E16" s="102">
        <v>4220</v>
      </c>
      <c r="F16" s="102">
        <v>4580</v>
      </c>
      <c r="G16" s="103">
        <f>AVERAGE(E16:F16)</f>
        <v>4400</v>
      </c>
      <c r="H16" s="109">
        <f>'Income Statement'!D9</f>
        <v>4423</v>
      </c>
      <c r="I16" s="105">
        <f>IFERROR(H16/G16-1,"pending")</f>
        <v>0.005227272727272636</v>
      </c>
      <c r="J16" s="7" t="str">
        <f>IF(ISNUMBER(H16),IF(H16&gt;G16,"Beat",IF(H16&lt;G16,"Miss","In line")),"pending")</f>
        <v>Beat</v>
      </c>
      <c r="K16" s="7" t="s">
        <v>422</v>
      </c>
      <c r="L16" s="103"/>
      <c r="M16" s="1"/>
    </row>
    <row r="17">
      <c r="A17" s="1"/>
      <c r="B17" s="2">
        <v>45951</v>
      </c>
      <c r="C17" s="106" t="s">
        <v>75</v>
      </c>
      <c r="D17" s="1" t="s">
        <v>211</v>
      </c>
      <c r="E17" s="100">
        <v>1.13</v>
      </c>
      <c r="F17" s="100">
        <v>1.39</v>
      </c>
      <c r="G17" s="97">
        <f>AVERAGE(E17:F17)</f>
        <v>1.2599999999999998</v>
      </c>
      <c r="H17" s="94">
        <f>'Income Statement'!D70</f>
        <v>1.27</v>
      </c>
      <c r="I17" s="105">
        <f>IFERROR(H17/G17-1,"pending")</f>
        <v>0.00793650793650813</v>
      </c>
      <c r="J17" s="7" t="str">
        <f>IF(ISNUMBER(H17),IF(H17&gt;G17,"Beat",IF(H17&lt;G17,"Miss","In line")),"pending")</f>
        <v>Beat</v>
      </c>
      <c r="K17" s="7" t="s">
        <v>422</v>
      </c>
      <c r="L17" s="97"/>
      <c r="M17" s="1"/>
    </row>
    <row r="18">
      <c r="A18" s="1"/>
      <c r="B18" s="2">
        <v>46049</v>
      </c>
      <c r="C18" s="106" t="s">
        <v>76</v>
      </c>
      <c r="D18" s="1" t="s">
        <v>33</v>
      </c>
      <c r="E18" s="102">
        <v>4320</v>
      </c>
      <c r="F18" s="102">
        <v>4680</v>
      </c>
      <c r="G18" s="103">
        <f>AVERAGE(E18:F18)</f>
        <v>4500</v>
      </c>
      <c r="H18" s="109">
        <f>'Income Statement'!E9</f>
        <v>4825</v>
      </c>
      <c r="I18" s="105">
        <f>IFERROR(H18/G18-1,"pending")</f>
        <v>0.07222222222222219</v>
      </c>
      <c r="J18" s="7" t="str">
        <f>IF(ISNUMBER(H18),IF(H18&gt;G18,"Beat",IF(H18&lt;G18,"Miss","In line")),"pending")</f>
        <v>Beat</v>
      </c>
      <c r="K18" s="7" t="s">
        <v>423</v>
      </c>
      <c r="L18" s="103"/>
      <c r="M18" s="1"/>
    </row>
    <row r="19">
      <c r="A19" s="1"/>
      <c r="B19" s="2">
        <v>46049</v>
      </c>
      <c r="C19" s="106" t="s">
        <v>76</v>
      </c>
      <c r="D19" s="1" t="s">
        <v>211</v>
      </c>
      <c r="E19" s="100">
        <v>1.22</v>
      </c>
      <c r="F19" s="100">
        <v>1.48</v>
      </c>
      <c r="G19" s="97">
        <f>AVERAGE(E19:F19)</f>
        <v>1.35</v>
      </c>
      <c r="H19" s="94">
        <f>'Income Statement'!E70</f>
        <v>1.68</v>
      </c>
      <c r="I19" s="105">
        <f>IFERROR(H19/G19-1,"pending")</f>
        <v>0.24444444444444424</v>
      </c>
      <c r="J19" s="7" t="str">
        <f>IF(ISNUMBER(H19),IF(H19&gt;G19,"Beat",IF(H19&lt;G19,"Miss","In line")),"pending")</f>
        <v>Beat</v>
      </c>
      <c r="K19" s="7" t="s">
        <v>423</v>
      </c>
      <c r="L19" s="97"/>
      <c r="M19" s="1"/>
    </row>
    <row r="20">
      <c r="A20" s="1"/>
      <c r="B20" s="2">
        <v>46134</v>
      </c>
      <c r="C20" s="106" t="s">
        <v>77</v>
      </c>
      <c r="D20" s="1" t="s">
        <v>33</v>
      </c>
      <c r="E20" s="102">
        <v>5000</v>
      </c>
      <c r="F20" s="102">
        <v>5400</v>
      </c>
      <c r="G20" s="103">
        <f>AVERAGE(E20:F20)</f>
        <v>5200</v>
      </c>
      <c r="H20" s="109">
        <f>'Income Statement'!F9</f>
        <v>5463</v>
      </c>
      <c r="I20" s="105">
        <f>IFERROR(H20/G20-1,"pending")</f>
        <v>0.050576923076923075</v>
      </c>
      <c r="J20" s="7" t="str">
        <f>IF(ISNUMBER(H20),IF(H20&gt;G20,"Beat",IF(H20&lt;G20,"Miss","In line")),"pending")</f>
        <v>Beat</v>
      </c>
      <c r="K20" s="7" t="s">
        <v>424</v>
      </c>
      <c r="L20" s="103"/>
      <c r="M20" s="1"/>
    </row>
    <row r="21">
      <c r="A21" s="1"/>
      <c r="B21" s="2">
        <v>46134</v>
      </c>
      <c r="C21" s="106" t="s">
        <v>77</v>
      </c>
      <c r="D21" s="1" t="s">
        <v>211</v>
      </c>
      <c r="E21" s="100">
        <v>1.77</v>
      </c>
      <c r="F21" s="100">
        <v>2.05</v>
      </c>
      <c r="G21" s="97">
        <f>AVERAGE(E21:F21)</f>
        <v>1.91</v>
      </c>
      <c r="H21" s="94">
        <f>'Income Statement'!F70</f>
        <v>2.14</v>
      </c>
      <c r="I21" s="105">
        <f>IFERROR(H21/G21-1,"pending")</f>
        <v>0.12041884816753945</v>
      </c>
      <c r="J21" s="7" t="str">
        <f>IF(ISNUMBER(H21),IF(H21&gt;G21,"Beat",IF(H21&lt;G21,"Miss","In line")),"pending")</f>
        <v>Beat</v>
      </c>
      <c r="K21" s="7" t="s">
        <v>424</v>
      </c>
      <c r="L21" s="97"/>
      <c r="M21" s="1"/>
    </row>
    <row r="22">
      <c r="A22" s="1"/>
      <c r="B22" s="2">
        <v>46225</v>
      </c>
      <c r="C22" s="106" t="s">
        <v>4</v>
      </c>
      <c r="D22" s="1" t="s">
        <v>33</v>
      </c>
      <c r="E22" s="102">
        <v>5650</v>
      </c>
      <c r="F22" s="102">
        <v>6150</v>
      </c>
      <c r="G22" s="103">
        <f>AVERAGE(E22:F22)</f>
        <v>5900</v>
      </c>
      <c r="H22" s="103" t="s">
        <v>425</v>
      </c>
      <c r="I22" s="105" t="str">
        <f>IFERROR(H22/G22-1,"pending")</f>
        <v>pending</v>
      </c>
      <c r="J22" s="7" t="str">
        <f>IF(ISNUMBER(H22),IF(H22&gt;G22,"Beat",IF(H22&lt;G22,"Miss","In line")),"pending")</f>
        <v>pending</v>
      </c>
      <c r="K22" s="7" t="s">
        <v>426</v>
      </c>
      <c r="L22" s="109">
        <f>'Income Statement'!H9</f>
        <v>6026.9386</v>
      </c>
      <c r="M22" s="1"/>
    </row>
    <row r="23">
      <c r="A23" s="1"/>
      <c r="B23" s="2">
        <v>46225</v>
      </c>
      <c r="C23" s="106" t="s">
        <v>4</v>
      </c>
      <c r="D23" s="1" t="s">
        <v>211</v>
      </c>
      <c r="E23" s="100">
        <v>2.23</v>
      </c>
      <c r="F23" s="100">
        <v>2.57</v>
      </c>
      <c r="G23" s="97">
        <f>AVERAGE(E23:F23)</f>
        <v>2.4</v>
      </c>
      <c r="H23" s="97" t="s">
        <v>425</v>
      </c>
      <c r="I23" s="105" t="str">
        <f>IFERROR(H23/G23-1,"pending")</f>
        <v>pending</v>
      </c>
      <c r="J23" s="7" t="str">
        <f>IF(ISNUMBER(H23),IF(H23&gt;G23,"Beat",IF(H23&lt;G23,"Miss","In line")),"pending")</f>
        <v>pending</v>
      </c>
      <c r="K23" s="7" t="s">
        <v>426</v>
      </c>
      <c r="L23" s="94">
        <f>'Income Statement'!H68</f>
        <v>2.507553759543503</v>
      </c>
      <c r="M23" s="1"/>
    </row>
    <row r="24">
      <c r="A24" s="1"/>
      <c r="B24" s="2">
        <v>46225</v>
      </c>
      <c r="C24" s="106" t="s">
        <v>4</v>
      </c>
      <c r="D24" s="1" t="s">
        <v>65</v>
      </c>
      <c r="E24" s="108">
        <v>0.13</v>
      </c>
      <c r="F24" s="108">
        <v>0.13</v>
      </c>
      <c r="G24" s="105">
        <f>AVERAGE(E24:F24)</f>
        <v>0.13</v>
      </c>
      <c r="H24" s="105" t="s">
        <v>425</v>
      </c>
      <c r="I24" s="105" t="str">
        <f>IFERROR(H24/G24-1,"pending")</f>
        <v>pending</v>
      </c>
      <c r="J24" s="7" t="str">
        <f>IF(ISNUMBER(H24),IF(H24&gt;G24,"Beat",IF(H24&lt;G24,"Miss","In line")),"pending")</f>
        <v>pending</v>
      </c>
      <c r="K24" s="7" t="s">
        <v>427</v>
      </c>
      <c r="L24" s="111">
        <f>'Income Statement'!H52</f>
        <v>0.13</v>
      </c>
      <c r="M24" s="1"/>
    </row>
    <row r="25">
      <c r="A25" s="1"/>
      <c r="B25" s="2">
        <v>46225</v>
      </c>
      <c r="C25" s="106" t="s">
        <v>428</v>
      </c>
      <c r="D25" s="1" t="s">
        <v>429</v>
      </c>
      <c r="E25" s="102">
        <v>2000</v>
      </c>
      <c r="F25" s="102">
        <v>3000</v>
      </c>
      <c r="G25" s="103">
        <f>AVERAGE(E25:F25)</f>
        <v>2500</v>
      </c>
      <c r="H25" s="103" t="s">
        <v>425</v>
      </c>
      <c r="I25" s="105" t="str">
        <f>IFERROR(H25/G25-1,"pending")</f>
        <v>pending</v>
      </c>
      <c r="J25" s="7" t="str">
        <f>IF(ISNUMBER(H25),IF(H25&gt;G25,"Beat",IF(H25&lt;G25,"Miss","In line")),"pending")</f>
        <v>pending</v>
      </c>
      <c r="K25" s="7" t="s">
        <v>430</v>
      </c>
      <c r="L25" s="103"/>
      <c r="M25" s="1"/>
    </row>
    <row r="26">
      <c r="A26" s="1"/>
      <c r="B26" s="1"/>
      <c r="C26" s="1"/>
      <c r="D26" s="1"/>
      <c r="E26" s="1"/>
      <c r="F26" s="1"/>
      <c r="G26" s="1"/>
      <c r="H26" s="1"/>
      <c r="I26" s="1"/>
      <c r="J26" s="7"/>
      <c r="K26" s="1"/>
      <c r="L26" s="1"/>
      <c r="M26" s="1"/>
    </row>
    <row r="27">
      <c r="A27" s="1"/>
      <c r="B27" s="25" t="s">
        <v>431</v>
      </c>
      <c r="C27" s="1"/>
      <c r="D27" s="1"/>
      <c r="E27" s="1"/>
      <c r="F27" s="1"/>
      <c r="G27" s="1"/>
      <c r="H27" s="1"/>
      <c r="I27" s="1"/>
      <c r="J27" s="7"/>
      <c r="K27" s="1"/>
      <c r="L27" s="1"/>
      <c r="M27" s="1"/>
    </row>
    <row r="28">
      <c r="A28" s="1"/>
      <c r="B28" s="1" t="s">
        <v>432</v>
      </c>
      <c r="C28" s="1"/>
      <c r="D28" s="1"/>
      <c r="E28" s="1"/>
      <c r="F28" s="1"/>
      <c r="G28" s="19">
        <f>AVERAGE(I10,I12,I14,I16,I18,I20)</f>
        <v>0.036530964048205404</v>
      </c>
      <c r="H28" s="1"/>
      <c r="I28" s="1"/>
      <c r="J28" s="7"/>
      <c r="K28" s="1"/>
      <c r="L28" s="1"/>
      <c r="M28" s="1"/>
    </row>
    <row r="29">
      <c r="A29" s="1"/>
      <c r="B29" s="1" t="s">
        <v>433</v>
      </c>
      <c r="C29" s="1"/>
      <c r="D29" s="1"/>
      <c r="E29" s="1"/>
      <c r="F29" s="1"/>
      <c r="G29" s="19">
        <f>MIN(I10,I12,I14,I16,I18,I20)</f>
        <v>0.005227272727272636</v>
      </c>
      <c r="H29" s="1"/>
      <c r="I29" s="1"/>
      <c r="J29" s="7"/>
      <c r="K29" s="1"/>
      <c r="L29" s="1"/>
      <c r="M29" s="1"/>
    </row>
    <row r="30">
      <c r="A30" s="1"/>
      <c r="B30" s="1" t="s">
        <v>434</v>
      </c>
      <c r="C30" s="1"/>
      <c r="D30" s="1"/>
      <c r="E30" s="1"/>
      <c r="F30" s="1"/>
      <c r="G30" s="44">
        <f>SUMPRODUCT((D10:D20="Revenue ($m)")*(J10:J20="Beat"))</f>
        <v>6</v>
      </c>
      <c r="H30" s="1"/>
      <c r="I30" s="1"/>
      <c r="J30" s="7"/>
      <c r="K30" s="1"/>
      <c r="L30" s="1"/>
      <c r="M30" s="1"/>
    </row>
    <row r="31">
      <c r="A31" s="1"/>
      <c r="B31" s="1" t="s">
        <v>435</v>
      </c>
      <c r="C31" s="1"/>
      <c r="D31" s="1"/>
      <c r="E31" s="1"/>
      <c r="F31" s="1"/>
      <c r="G31" s="19">
        <f>AVERAGE(I11,I13,I15,I17,I19,I21)</f>
        <v>0.10734770426104341</v>
      </c>
      <c r="H31" s="1"/>
      <c r="I31" s="1"/>
      <c r="J31" s="7"/>
      <c r="K31" s="1"/>
      <c r="L31" s="1"/>
      <c r="M31" s="1"/>
    </row>
    <row r="32">
      <c r="A32" s="1"/>
      <c r="B32" s="1" t="s">
        <v>436</v>
      </c>
      <c r="C32" s="1"/>
      <c r="D32" s="1"/>
      <c r="E32" s="1"/>
      <c r="F32" s="1"/>
      <c r="G32" s="1"/>
      <c r="H32" s="1"/>
      <c r="I32" s="1"/>
      <c r="J32" s="7"/>
      <c r="K32" s="1"/>
      <c r="L32" s="1"/>
      <c r="M32" s="1"/>
    </row>
    <row r="33">
      <c r="A33" s="1"/>
      <c r="B33" s="1" t="s">
        <v>437</v>
      </c>
      <c r="C33" s="1"/>
      <c r="D33" s="1"/>
      <c r="E33" s="1"/>
      <c r="F33" s="1"/>
      <c r="G33" s="1"/>
      <c r="H33" s="1"/>
      <c r="I33" s="1"/>
      <c r="J33" s="7"/>
      <c r="K33" s="1"/>
      <c r="L33" s="1"/>
      <c r="M33" s="1"/>
    </row>
    <row r="34">
      <c r="A34" s="1"/>
      <c r="B34" s="1"/>
      <c r="C34" s="1"/>
      <c r="D34" s="1"/>
      <c r="E34" s="1"/>
      <c r="F34" s="1"/>
      <c r="G34" s="1"/>
      <c r="H34" s="1"/>
      <c r="I34" s="1"/>
      <c r="J34" s="7"/>
      <c r="K34" s="1"/>
      <c r="L34" s="1"/>
      <c r="M34" s="1"/>
    </row>
    <row r="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  <row r="4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</row>
    <row r="50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</row>
    <row r="5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</row>
    <row r="5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</row>
    <row r="5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</row>
    <row r="5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</row>
    <row r="57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  <row r="60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  <row r="6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</row>
    <row r="7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</row>
    <row r="77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</sheetData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M80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3" width="12" customWidth="1"/>
    <col min="4" max="4" width="34" customWidth="1"/>
    <col min="5" max="5" width="60" customWidth="1"/>
    <col min="6" max="6" width="64" customWidth="1"/>
    <col min="7" max="7" width="14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>
      <c r="A2" s="1"/>
      <c r="B2" s="47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>
      <c r="A3" s="1"/>
      <c r="B3" s="9" t="s">
        <v>438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>
      <c r="A4" s="1"/>
      <c r="B4" s="12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>
      <c r="A5" s="1"/>
      <c r="B5" s="23" t="s">
        <v>3</v>
      </c>
      <c r="C5" s="27" t="s">
        <v>4</v>
      </c>
      <c r="D5" s="23"/>
      <c r="E5" s="23"/>
      <c r="F5" s="23"/>
      <c r="G5" s="23"/>
      <c r="H5" s="1"/>
      <c r="I5" s="1"/>
      <c r="J5" s="1"/>
      <c r="K5" s="1"/>
      <c r="L5" s="1"/>
      <c r="M5" s="1"/>
    </row>
    <row r="6">
      <c r="A6" s="1"/>
      <c r="B6" s="29" t="s">
        <v>5</v>
      </c>
      <c r="C6" s="39">
        <f>DATE(2026,9,30)</f>
        <v>46295</v>
      </c>
      <c r="D6" s="29"/>
      <c r="E6" s="29"/>
      <c r="F6" s="29"/>
      <c r="G6" s="29"/>
      <c r="H6" s="1"/>
      <c r="I6" s="1"/>
      <c r="J6" s="1"/>
      <c r="K6" s="1"/>
      <c r="L6" s="1"/>
      <c r="M6" s="1"/>
    </row>
    <row r="7">
      <c r="A7" s="1"/>
      <c r="B7" s="18" t="s">
        <v>6</v>
      </c>
      <c r="C7" s="42">
        <f>C6-EOMONTH(C6,-3)</f>
        <v>92</v>
      </c>
      <c r="D7" s="18"/>
      <c r="E7" s="18"/>
      <c r="F7" s="18"/>
      <c r="G7" s="18"/>
      <c r="H7" s="1"/>
      <c r="I7" s="1"/>
      <c r="J7" s="1"/>
      <c r="K7" s="1"/>
      <c r="L7" s="1"/>
      <c r="M7" s="1"/>
    </row>
    <row r="8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>
      <c r="A9" s="1"/>
      <c r="B9" s="60" t="s">
        <v>439</v>
      </c>
      <c r="C9" s="90" t="s">
        <v>440</v>
      </c>
      <c r="D9" s="60" t="s">
        <v>441</v>
      </c>
      <c r="E9" s="60" t="s">
        <v>442</v>
      </c>
      <c r="F9" s="60" t="s">
        <v>443</v>
      </c>
      <c r="G9" s="90" t="s">
        <v>444</v>
      </c>
      <c r="H9" s="1"/>
      <c r="I9" s="1"/>
      <c r="J9" s="1"/>
      <c r="K9" s="1"/>
      <c r="L9" s="1"/>
      <c r="M9" s="1"/>
    </row>
    <row r="10" ht="36">
      <c r="A10" s="1"/>
      <c r="B10" s="71" t="s">
        <v>445</v>
      </c>
      <c r="C10" s="73">
        <v>46313</v>
      </c>
      <c r="D10" s="75" t="s">
        <v>446</v>
      </c>
      <c r="E10" s="75" t="s">
        <v>447</v>
      </c>
      <c r="F10" s="75" t="s">
        <v>448</v>
      </c>
      <c r="G10" s="73">
        <v>46314</v>
      </c>
      <c r="H10" s="1"/>
      <c r="I10" s="1"/>
      <c r="J10" s="1"/>
      <c r="K10" s="1"/>
      <c r="L10" s="1"/>
      <c r="M10" s="1"/>
    </row>
    <row r="11" ht="36">
      <c r="A11" s="1"/>
      <c r="B11" s="71" t="s">
        <v>449</v>
      </c>
      <c r="C11" s="73">
        <v>46313</v>
      </c>
      <c r="D11" s="75" t="s">
        <v>446</v>
      </c>
      <c r="E11" s="75" t="s">
        <v>450</v>
      </c>
      <c r="F11" s="75" t="s">
        <v>451</v>
      </c>
      <c r="G11" s="73">
        <v>46314</v>
      </c>
      <c r="H11" s="1"/>
      <c r="I11" s="1"/>
      <c r="J11" s="1"/>
      <c r="K11" s="1"/>
      <c r="L11" s="1"/>
      <c r="M11" s="1"/>
    </row>
    <row r="12" ht="36">
      <c r="A12" s="1"/>
      <c r="B12" s="71" t="s">
        <v>430</v>
      </c>
      <c r="C12" s="73">
        <v>46227</v>
      </c>
      <c r="D12" s="75" t="s">
        <v>452</v>
      </c>
      <c r="E12" s="75" t="s">
        <v>453</v>
      </c>
      <c r="F12" s="75" t="s">
        <v>454</v>
      </c>
      <c r="G12" s="73">
        <v>46314</v>
      </c>
      <c r="H12" s="1"/>
      <c r="I12" s="1"/>
      <c r="J12" s="1"/>
      <c r="K12" s="1"/>
      <c r="L12" s="1"/>
      <c r="M12" s="1"/>
    </row>
    <row r="13" ht="36">
      <c r="A13" s="1"/>
      <c r="B13" s="71" t="s">
        <v>426</v>
      </c>
      <c r="C13" s="73">
        <v>46225</v>
      </c>
      <c r="D13" s="75" t="s">
        <v>455</v>
      </c>
      <c r="E13" s="75" t="s">
        <v>456</v>
      </c>
      <c r="F13" s="75" t="s">
        <v>457</v>
      </c>
      <c r="G13" s="73">
        <v>46314</v>
      </c>
      <c r="H13" s="1"/>
      <c r="I13" s="1"/>
      <c r="J13" s="1"/>
      <c r="K13" s="1"/>
      <c r="L13" s="1"/>
      <c r="M13" s="1"/>
    </row>
    <row r="14" ht="36">
      <c r="A14" s="1"/>
      <c r="B14" s="71" t="s">
        <v>427</v>
      </c>
      <c r="C14" s="73">
        <v>46225</v>
      </c>
      <c r="D14" s="75" t="s">
        <v>458</v>
      </c>
      <c r="E14" s="75" t="s">
        <v>459</v>
      </c>
      <c r="F14" s="75" t="s">
        <v>460</v>
      </c>
      <c r="G14" s="73">
        <v>46314</v>
      </c>
      <c r="H14" s="1"/>
      <c r="I14" s="1"/>
      <c r="J14" s="1"/>
      <c r="K14" s="1"/>
      <c r="L14" s="1"/>
      <c r="M14" s="1"/>
    </row>
    <row r="15" ht="36">
      <c r="A15" s="1"/>
      <c r="B15" s="71" t="s">
        <v>461</v>
      </c>
      <c r="C15" s="73">
        <v>46136</v>
      </c>
      <c r="D15" s="75" t="s">
        <v>462</v>
      </c>
      <c r="E15" s="75" t="s">
        <v>463</v>
      </c>
      <c r="F15" s="75" t="s">
        <v>464</v>
      </c>
      <c r="G15" s="73">
        <v>46314</v>
      </c>
      <c r="H15" s="1"/>
      <c r="I15" s="1"/>
      <c r="J15" s="1"/>
      <c r="K15" s="1"/>
      <c r="L15" s="1"/>
      <c r="M15" s="1"/>
    </row>
    <row r="16" ht="36">
      <c r="A16" s="1"/>
      <c r="B16" s="71" t="s">
        <v>424</v>
      </c>
      <c r="C16" s="73">
        <v>46134</v>
      </c>
      <c r="D16" s="75" t="s">
        <v>455</v>
      </c>
      <c r="E16" s="75" t="s">
        <v>465</v>
      </c>
      <c r="F16" s="75" t="s">
        <v>466</v>
      </c>
      <c r="G16" s="73">
        <v>46314</v>
      </c>
      <c r="H16" s="1"/>
      <c r="I16" s="1"/>
      <c r="J16" s="1"/>
      <c r="K16" s="1"/>
      <c r="L16" s="1"/>
      <c r="M16" s="1"/>
    </row>
    <row r="17" ht="36">
      <c r="A17" s="1"/>
      <c r="B17" s="71" t="s">
        <v>467</v>
      </c>
      <c r="C17" s="73">
        <v>46059</v>
      </c>
      <c r="D17" s="75" t="s">
        <v>468</v>
      </c>
      <c r="E17" s="75" t="s">
        <v>469</v>
      </c>
      <c r="F17" s="75" t="s">
        <v>470</v>
      </c>
      <c r="G17" s="73">
        <v>46314</v>
      </c>
      <c r="H17" s="1"/>
      <c r="I17" s="1"/>
      <c r="J17" s="1"/>
      <c r="K17" s="1"/>
      <c r="L17" s="1"/>
      <c r="M17" s="1"/>
    </row>
    <row r="18" ht="36">
      <c r="A18" s="1"/>
      <c r="B18" s="71" t="s">
        <v>423</v>
      </c>
      <c r="C18" s="73">
        <v>46049</v>
      </c>
      <c r="D18" s="75" t="s">
        <v>455</v>
      </c>
      <c r="E18" s="75" t="s">
        <v>471</v>
      </c>
      <c r="F18" s="75" t="s">
        <v>472</v>
      </c>
      <c r="G18" s="73">
        <v>46314</v>
      </c>
      <c r="H18" s="1"/>
      <c r="I18" s="1"/>
      <c r="J18" s="1"/>
      <c r="K18" s="1"/>
      <c r="L18" s="1"/>
      <c r="M18" s="1"/>
    </row>
    <row r="19" ht="36">
      <c r="A19" s="1"/>
      <c r="B19" s="71" t="s">
        <v>473</v>
      </c>
      <c r="C19" s="73">
        <v>46049</v>
      </c>
      <c r="D19" s="75" t="s">
        <v>458</v>
      </c>
      <c r="E19" s="75" t="s">
        <v>474</v>
      </c>
      <c r="F19" s="75" t="s">
        <v>475</v>
      </c>
      <c r="G19" s="73">
        <v>46314</v>
      </c>
      <c r="H19" s="1"/>
      <c r="I19" s="1"/>
      <c r="J19" s="1"/>
      <c r="K19" s="1"/>
      <c r="L19" s="1"/>
      <c r="M19" s="1"/>
    </row>
    <row r="20" ht="36">
      <c r="A20" s="1"/>
      <c r="B20" s="71" t="s">
        <v>476</v>
      </c>
      <c r="C20" s="73">
        <v>45953</v>
      </c>
      <c r="D20" s="75" t="s">
        <v>477</v>
      </c>
      <c r="E20" s="75" t="s">
        <v>478</v>
      </c>
      <c r="F20" s="75" t="s">
        <v>479</v>
      </c>
      <c r="G20" s="73">
        <v>46314</v>
      </c>
      <c r="H20" s="1"/>
      <c r="I20" s="1"/>
      <c r="J20" s="1"/>
      <c r="K20" s="1"/>
      <c r="L20" s="1"/>
      <c r="M20" s="1"/>
    </row>
    <row r="21" ht="36">
      <c r="A21" s="1"/>
      <c r="B21" s="71" t="s">
        <v>422</v>
      </c>
      <c r="C21" s="73">
        <v>45951</v>
      </c>
      <c r="D21" s="75" t="s">
        <v>455</v>
      </c>
      <c r="E21" s="75" t="s">
        <v>480</v>
      </c>
      <c r="F21" s="75" t="s">
        <v>481</v>
      </c>
      <c r="G21" s="73">
        <v>46314</v>
      </c>
      <c r="H21" s="1"/>
      <c r="I21" s="1"/>
      <c r="J21" s="1"/>
      <c r="K21" s="1"/>
      <c r="L21" s="1"/>
      <c r="M21" s="1"/>
    </row>
    <row r="22" ht="36">
      <c r="A22" s="1"/>
      <c r="B22" s="71" t="s">
        <v>418</v>
      </c>
      <c r="C22" s="73">
        <v>45680</v>
      </c>
      <c r="D22" s="75" t="s">
        <v>455</v>
      </c>
      <c r="E22" s="75" t="s">
        <v>482</v>
      </c>
      <c r="F22" s="75" t="s">
        <v>483</v>
      </c>
      <c r="G22" s="73">
        <v>46314</v>
      </c>
      <c r="H22" s="1"/>
      <c r="I22" s="1"/>
      <c r="J22" s="1"/>
      <c r="K22" s="1"/>
      <c r="L22" s="1"/>
      <c r="M22" s="1"/>
    </row>
    <row r="23" ht="36">
      <c r="A23" s="1"/>
      <c r="B23" s="71" t="s">
        <v>420</v>
      </c>
      <c r="C23" s="73">
        <v>45770</v>
      </c>
      <c r="D23" s="75" t="s">
        <v>455</v>
      </c>
      <c r="E23" s="75" t="s">
        <v>484</v>
      </c>
      <c r="F23" s="75" t="s">
        <v>485</v>
      </c>
      <c r="G23" s="73">
        <v>46314</v>
      </c>
      <c r="H23" s="1"/>
      <c r="I23" s="1"/>
      <c r="J23" s="1"/>
      <c r="K23" s="1"/>
      <c r="L23" s="1"/>
      <c r="M23" s="1"/>
    </row>
    <row r="24" ht="36">
      <c r="A24" s="1"/>
      <c r="B24" s="71" t="s">
        <v>421</v>
      </c>
      <c r="C24" s="73">
        <v>45860</v>
      </c>
      <c r="D24" s="75" t="s">
        <v>455</v>
      </c>
      <c r="E24" s="75" t="s">
        <v>486</v>
      </c>
      <c r="F24" s="75" t="s">
        <v>487</v>
      </c>
      <c r="G24" s="73">
        <v>46314</v>
      </c>
      <c r="H24" s="1"/>
      <c r="I24" s="1"/>
      <c r="J24" s="1"/>
      <c r="K24" s="1"/>
      <c r="L24" s="1"/>
      <c r="M24" s="1"/>
    </row>
    <row r="25" ht="36">
      <c r="A25" s="1"/>
      <c r="B25" s="71" t="s">
        <v>488</v>
      </c>
      <c r="C25" s="73">
        <v>46313</v>
      </c>
      <c r="D25" s="75" t="s">
        <v>455</v>
      </c>
      <c r="E25" s="75" t="s">
        <v>489</v>
      </c>
      <c r="F25" s="75" t="s">
        <v>490</v>
      </c>
      <c r="G25" s="73">
        <v>46314</v>
      </c>
      <c r="H25" s="1"/>
      <c r="I25" s="1"/>
      <c r="J25" s="1"/>
      <c r="K25" s="1"/>
      <c r="L25" s="1"/>
      <c r="M25" s="1"/>
    </row>
    <row r="26" ht="36">
      <c r="A26" s="1"/>
      <c r="B26" s="71" t="s">
        <v>491</v>
      </c>
      <c r="C26" s="73">
        <v>46296</v>
      </c>
      <c r="D26" s="75" t="s">
        <v>492</v>
      </c>
      <c r="E26" s="75" t="s">
        <v>493</v>
      </c>
      <c r="F26" s="75" t="s">
        <v>494</v>
      </c>
      <c r="G26" s="73">
        <v>46314</v>
      </c>
      <c r="H26" s="1"/>
      <c r="I26" s="1"/>
      <c r="J26" s="1"/>
      <c r="K26" s="1"/>
      <c r="L26" s="1"/>
      <c r="M26" s="1"/>
    </row>
    <row r="27" ht="36">
      <c r="A27" s="1"/>
      <c r="B27" s="71" t="s">
        <v>495</v>
      </c>
      <c r="C27" s="73">
        <v>46282</v>
      </c>
      <c r="D27" s="75" t="s">
        <v>496</v>
      </c>
      <c r="E27" s="75" t="s">
        <v>497</v>
      </c>
      <c r="F27" s="75" t="s">
        <v>498</v>
      </c>
      <c r="G27" s="73">
        <v>46314</v>
      </c>
      <c r="H27" s="1"/>
      <c r="I27" s="1"/>
      <c r="J27" s="1"/>
      <c r="K27" s="1"/>
      <c r="L27" s="1"/>
      <c r="M27" s="1"/>
    </row>
    <row r="28" ht="36">
      <c r="A28" s="1"/>
      <c r="B28" s="71" t="s">
        <v>499</v>
      </c>
      <c r="C28" s="73">
        <v>46278</v>
      </c>
      <c r="D28" s="75" t="s">
        <v>500</v>
      </c>
      <c r="E28" s="75" t="s">
        <v>501</v>
      </c>
      <c r="F28" s="75" t="s">
        <v>502</v>
      </c>
      <c r="G28" s="73">
        <v>46314</v>
      </c>
      <c r="H28" s="1"/>
      <c r="I28" s="1"/>
      <c r="J28" s="1"/>
      <c r="K28" s="1"/>
      <c r="L28" s="1"/>
      <c r="M28" s="1"/>
    </row>
    <row r="29" ht="36">
      <c r="A29" s="1"/>
      <c r="B29" s="71" t="s">
        <v>503</v>
      </c>
      <c r="C29" s="73">
        <v>46267</v>
      </c>
      <c r="D29" s="75" t="s">
        <v>504</v>
      </c>
      <c r="E29" s="75" t="s">
        <v>505</v>
      </c>
      <c r="F29" s="75" t="s">
        <v>506</v>
      </c>
      <c r="G29" s="73">
        <v>46314</v>
      </c>
      <c r="H29" s="1"/>
      <c r="I29" s="1"/>
      <c r="J29" s="1"/>
      <c r="K29" s="1"/>
      <c r="L29" s="1"/>
      <c r="M29" s="1"/>
    </row>
    <row r="30" ht="36">
      <c r="A30" s="1"/>
      <c r="B30" s="71" t="s">
        <v>507</v>
      </c>
      <c r="C30" s="73">
        <v>46274</v>
      </c>
      <c r="D30" s="75" t="s">
        <v>508</v>
      </c>
      <c r="E30" s="75" t="s">
        <v>509</v>
      </c>
      <c r="F30" s="75" t="s">
        <v>510</v>
      </c>
      <c r="G30" s="73">
        <v>46314</v>
      </c>
      <c r="H30" s="1"/>
      <c r="I30" s="1"/>
      <c r="J30" s="1"/>
      <c r="K30" s="1"/>
      <c r="L30" s="1"/>
      <c r="M30" s="1"/>
    </row>
    <row r="31" ht="36">
      <c r="A31" s="1"/>
      <c r="B31" s="71" t="s">
        <v>511</v>
      </c>
      <c r="C31" s="73">
        <v>46253</v>
      </c>
      <c r="D31" s="75" t="s">
        <v>512</v>
      </c>
      <c r="E31" s="75" t="s">
        <v>513</v>
      </c>
      <c r="F31" s="75" t="s">
        <v>514</v>
      </c>
      <c r="G31" s="73">
        <v>46314</v>
      </c>
      <c r="H31" s="1"/>
      <c r="I31" s="1"/>
      <c r="J31" s="1"/>
      <c r="K31" s="1"/>
      <c r="L31" s="1"/>
      <c r="M31" s="1"/>
    </row>
    <row r="32" ht="36">
      <c r="A32" s="1"/>
      <c r="B32" s="71" t="s">
        <v>515</v>
      </c>
      <c r="C32" s="73">
        <v>46313</v>
      </c>
      <c r="D32" s="75" t="s">
        <v>516</v>
      </c>
      <c r="E32" s="75" t="s">
        <v>517</v>
      </c>
      <c r="F32" s="75" t="s">
        <v>518</v>
      </c>
      <c r="G32" s="73">
        <v>46314</v>
      </c>
      <c r="H32" s="1"/>
      <c r="I32" s="1"/>
      <c r="J32" s="1"/>
      <c r="K32" s="1"/>
      <c r="L32" s="1"/>
      <c r="M32" s="1"/>
    </row>
    <row r="33" ht="36">
      <c r="A33" s="1"/>
      <c r="B33" s="71" t="s">
        <v>519</v>
      </c>
      <c r="C33" s="73">
        <v>46311</v>
      </c>
      <c r="D33" s="75" t="s">
        <v>520</v>
      </c>
      <c r="E33" s="75" t="s">
        <v>521</v>
      </c>
      <c r="F33" s="75" t="s">
        <v>522</v>
      </c>
      <c r="G33" s="73">
        <v>46314</v>
      </c>
      <c r="H33" s="1"/>
      <c r="I33" s="1"/>
      <c r="J33" s="1"/>
      <c r="K33" s="1"/>
      <c r="L33" s="1"/>
      <c r="M33" s="1"/>
    </row>
    <row r="34" ht="36">
      <c r="A34" s="1"/>
      <c r="B34" s="71" t="s">
        <v>523</v>
      </c>
      <c r="C34" s="73">
        <v>46311</v>
      </c>
      <c r="D34" s="75" t="s">
        <v>524</v>
      </c>
      <c r="E34" s="75" t="s">
        <v>525</v>
      </c>
      <c r="F34" s="75" t="s">
        <v>526</v>
      </c>
      <c r="G34" s="73">
        <v>46314</v>
      </c>
      <c r="H34" s="1"/>
      <c r="I34" s="1"/>
      <c r="J34" s="1"/>
      <c r="K34" s="1"/>
      <c r="L34" s="1"/>
      <c r="M34" s="1"/>
    </row>
    <row r="35" ht="36">
      <c r="A35" s="1"/>
      <c r="B35" s="71" t="s">
        <v>527</v>
      </c>
      <c r="C35" s="73">
        <v>44446</v>
      </c>
      <c r="D35" s="75" t="s">
        <v>528</v>
      </c>
      <c r="E35" s="75" t="s">
        <v>529</v>
      </c>
      <c r="F35" s="75" t="s">
        <v>530</v>
      </c>
      <c r="G35" s="73">
        <v>46314</v>
      </c>
      <c r="H35" s="1"/>
      <c r="I35" s="1"/>
      <c r="J35" s="1"/>
      <c r="K35" s="1"/>
      <c r="L35" s="1"/>
      <c r="M35" s="1"/>
    </row>
    <row r="36" ht="36">
      <c r="A36" s="1"/>
      <c r="B36" s="71" t="s">
        <v>531</v>
      </c>
      <c r="C36" s="73">
        <v>46234</v>
      </c>
      <c r="D36" s="75" t="s">
        <v>532</v>
      </c>
      <c r="E36" s="75" t="s">
        <v>533</v>
      </c>
      <c r="F36" s="75" t="s">
        <v>534</v>
      </c>
      <c r="G36" s="73">
        <v>46314</v>
      </c>
      <c r="H36" s="1"/>
      <c r="I36" s="1"/>
      <c r="J36" s="1"/>
      <c r="K36" s="1"/>
      <c r="L36" s="1"/>
      <c r="M36" s="1"/>
    </row>
    <row r="37" ht="36">
      <c r="A37" s="1"/>
      <c r="B37" s="71" t="s">
        <v>535</v>
      </c>
      <c r="C37" s="73">
        <v>46300</v>
      </c>
      <c r="D37" s="75" t="s">
        <v>536</v>
      </c>
      <c r="E37" s="75" t="s">
        <v>537</v>
      </c>
      <c r="F37" s="75" t="s">
        <v>538</v>
      </c>
      <c r="G37" s="73">
        <v>46314</v>
      </c>
      <c r="H37" s="1"/>
      <c r="I37" s="1"/>
      <c r="J37" s="1"/>
      <c r="K37" s="1"/>
      <c r="L37" s="1"/>
      <c r="M37" s="1"/>
    </row>
    <row r="38" ht="36">
      <c r="A38" s="1"/>
      <c r="B38" s="71" t="s">
        <v>539</v>
      </c>
      <c r="C38" s="73">
        <v>46170</v>
      </c>
      <c r="D38" s="75" t="s">
        <v>540</v>
      </c>
      <c r="E38" s="75" t="s">
        <v>541</v>
      </c>
      <c r="F38" s="75" t="s">
        <v>542</v>
      </c>
      <c r="G38" s="73">
        <v>46314</v>
      </c>
      <c r="H38" s="1"/>
      <c r="I38" s="1"/>
      <c r="J38" s="1"/>
      <c r="K38" s="1"/>
      <c r="L38" s="1"/>
      <c r="M38" s="1"/>
    </row>
    <row r="39">
      <c r="A39" s="1"/>
      <c r="B39" s="71"/>
      <c r="C39" s="74"/>
      <c r="D39" s="71"/>
      <c r="E39" s="75"/>
      <c r="F39" s="75"/>
      <c r="G39" s="71"/>
      <c r="H39" s="1"/>
      <c r="I39" s="1"/>
      <c r="J39" s="1"/>
      <c r="K39" s="1"/>
      <c r="L39" s="1"/>
      <c r="M39" s="1"/>
    </row>
    <row r="40" ht="14.624267578125">
      <c r="A40" s="1"/>
      <c r="B40" s="71" t="s">
        <v>543</v>
      </c>
      <c r="C40" s="74"/>
      <c r="D40" s="71"/>
      <c r="E40" s="75"/>
      <c r="F40" s="75"/>
      <c r="G40" s="71"/>
      <c r="H40" s="1"/>
      <c r="I40" s="1"/>
      <c r="J40" s="1"/>
      <c r="K40" s="1"/>
      <c r="L40" s="1"/>
      <c r="M40" s="1"/>
    </row>
    <row r="41" ht="14.624267578125">
      <c r="A41" s="1"/>
      <c r="B41" s="71" t="s">
        <v>544</v>
      </c>
      <c r="C41" s="74"/>
      <c r="D41" s="71"/>
      <c r="E41" s="75"/>
      <c r="F41" s="75"/>
      <c r="G41" s="71"/>
      <c r="H41" s="1"/>
      <c r="I41" s="1"/>
      <c r="J41" s="1"/>
      <c r="K41" s="1"/>
      <c r="L41" s="1"/>
      <c r="M41" s="1"/>
    </row>
    <row r="42" ht="14.624267578125">
      <c r="A42" s="1"/>
      <c r="B42" s="71" t="s">
        <v>545</v>
      </c>
      <c r="C42" s="74"/>
      <c r="D42" s="71"/>
      <c r="E42" s="75"/>
      <c r="F42" s="75"/>
      <c r="G42" s="71"/>
      <c r="H42" s="1"/>
      <c r="I42" s="1"/>
      <c r="J42" s="1"/>
      <c r="K42" s="1"/>
      <c r="L42" s="1"/>
      <c r="M42" s="1"/>
    </row>
    <row r="43" ht="14.624267578125">
      <c r="A43" s="1"/>
      <c r="B43" s="71" t="s">
        <v>546</v>
      </c>
      <c r="C43" s="74"/>
      <c r="D43" s="71"/>
      <c r="E43" s="75"/>
      <c r="F43" s="75"/>
      <c r="G43" s="71"/>
      <c r="H43" s="1"/>
      <c r="I43" s="1"/>
      <c r="J43" s="1"/>
      <c r="K43" s="1"/>
      <c r="L43" s="1"/>
      <c r="M43" s="1"/>
    </row>
    <row r="44">
      <c r="A44" s="1"/>
      <c r="B44" s="71"/>
      <c r="C44" s="74"/>
      <c r="D44" s="71"/>
      <c r="E44" s="75"/>
      <c r="F44" s="75"/>
      <c r="G44" s="71"/>
      <c r="H44" s="1"/>
      <c r="I44" s="1"/>
      <c r="J44" s="1"/>
      <c r="K44" s="1"/>
      <c r="L44" s="1"/>
      <c r="M44" s="1"/>
    </row>
    <row r="4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  <row r="4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</row>
    <row r="50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</row>
    <row r="5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</row>
    <row r="5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</row>
    <row r="5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</row>
    <row r="5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</row>
    <row r="57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  <row r="60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  <row r="6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</row>
    <row r="7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</row>
    <row r="77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</sheetData>
</worksheet>
</file>

<file path=xl/worksheets/sheet12.xml><?xml version="1.0" encoding="utf-8"?>
<worksheet xmlns="http://schemas.openxmlformats.org/spreadsheetml/2006/main" xmlns:r="http://schemas.openxmlformats.org/officeDocument/2006/relationships">
  <dimension ref="A1:M154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11" width="12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>
      <c r="A2" s="1"/>
      <c r="B2" s="47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>
      <c r="A3" s="1"/>
      <c r="B3" s="9" t="s">
        <v>547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>
      <c r="A4" s="1"/>
      <c r="B4" s="12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>
      <c r="A5" s="1"/>
      <c r="B5" s="23" t="s">
        <v>3</v>
      </c>
      <c r="C5" s="27" t="s">
        <v>4</v>
      </c>
      <c r="D5" s="23"/>
      <c r="E5" s="23"/>
      <c r="F5" s="23"/>
      <c r="G5" s="23"/>
      <c r="H5" s="23"/>
      <c r="I5" s="23"/>
      <c r="J5" s="1"/>
      <c r="K5" s="1"/>
      <c r="L5" s="1"/>
      <c r="M5" s="1"/>
    </row>
    <row r="6">
      <c r="A6" s="1"/>
      <c r="B6" s="29" t="s">
        <v>5</v>
      </c>
      <c r="C6" s="39">
        <f>DATE(2026,9,30)</f>
        <v>46295</v>
      </c>
      <c r="D6" s="29"/>
      <c r="E6" s="29"/>
      <c r="F6" s="29"/>
      <c r="G6" s="29"/>
      <c r="H6" s="29"/>
      <c r="I6" s="29"/>
      <c r="J6" s="1"/>
      <c r="K6" s="1"/>
      <c r="L6" s="1"/>
      <c r="M6" s="1"/>
    </row>
    <row r="7">
      <c r="A7" s="1"/>
      <c r="B7" s="18" t="s">
        <v>6</v>
      </c>
      <c r="C7" s="42">
        <f>C6-EOMONTH(C6,-3)</f>
        <v>92</v>
      </c>
      <c r="D7" s="18"/>
      <c r="E7" s="18"/>
      <c r="F7" s="18"/>
      <c r="G7" s="18"/>
      <c r="H7" s="18"/>
      <c r="I7" s="18"/>
      <c r="J7" s="1"/>
      <c r="K7" s="1"/>
      <c r="L7" s="1"/>
      <c r="M7" s="1"/>
    </row>
    <row r="8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>
      <c r="A9" s="1"/>
      <c r="B9" s="25" t="s">
        <v>548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>
      <c r="A10" s="1"/>
      <c r="B10" s="60" t="s">
        <v>549</v>
      </c>
      <c r="C10" s="90" t="s">
        <v>550</v>
      </c>
      <c r="D10" s="1"/>
      <c r="E10" s="1"/>
      <c r="F10" s="1"/>
      <c r="G10" s="1"/>
      <c r="H10" s="1"/>
      <c r="I10" s="1"/>
      <c r="J10" s="1"/>
      <c r="K10" s="1"/>
      <c r="L10" s="1"/>
      <c r="M10" s="1"/>
    </row>
    <row r="11">
      <c r="A11" s="1"/>
      <c r="B11" s="1" t="s">
        <v>551</v>
      </c>
      <c r="C11" s="76" t="s">
        <v>552</v>
      </c>
      <c r="D11" s="1"/>
      <c r="E11" s="1"/>
      <c r="F11" s="1"/>
      <c r="G11" s="1"/>
      <c r="H11" s="1"/>
      <c r="I11" s="1"/>
      <c r="J11" s="1"/>
      <c r="K11" s="1"/>
      <c r="L11" s="1"/>
      <c r="M11" s="1"/>
    </row>
    <row r="12">
      <c r="A12" s="1"/>
      <c r="B12" s="1" t="s">
        <v>553</v>
      </c>
      <c r="C12" s="92" t="s">
        <v>8</v>
      </c>
      <c r="D12" s="1"/>
      <c r="E12" s="1"/>
      <c r="F12" s="1"/>
      <c r="G12" s="1"/>
      <c r="H12" s="1"/>
      <c r="I12" s="1"/>
      <c r="J12" s="1"/>
      <c r="K12" s="1"/>
      <c r="L12" s="1"/>
      <c r="M12" s="1"/>
    </row>
    <row r="13">
      <c r="A13" s="1"/>
      <c r="B13" s="1" t="s">
        <v>554</v>
      </c>
      <c r="C13" s="76" t="s">
        <v>555</v>
      </c>
      <c r="D13" s="1"/>
      <c r="E13" s="1"/>
      <c r="F13" s="1"/>
      <c r="G13" s="1"/>
      <c r="H13" s="1"/>
      <c r="I13" s="1"/>
      <c r="J13" s="1"/>
      <c r="K13" s="1"/>
      <c r="L13" s="1"/>
      <c r="M13" s="1"/>
    </row>
    <row r="14">
      <c r="A14" s="1"/>
      <c r="B14" s="1" t="s">
        <v>556</v>
      </c>
      <c r="C14" s="83">
        <v>140283</v>
      </c>
      <c r="D14" s="1"/>
      <c r="E14" s="1"/>
      <c r="F14" s="1"/>
      <c r="G14" s="1"/>
      <c r="H14" s="1"/>
      <c r="I14" s="1"/>
      <c r="J14" s="1"/>
      <c r="K14" s="1"/>
      <c r="L14" s="1"/>
      <c r="M14" s="1"/>
    </row>
    <row r="15">
      <c r="A15" s="1"/>
      <c r="B15" s="1" t="s">
        <v>557</v>
      </c>
      <c r="C15" s="76" t="s">
        <v>558</v>
      </c>
      <c r="D15" s="1"/>
      <c r="E15" s="1"/>
      <c r="F15" s="1"/>
      <c r="G15" s="1"/>
      <c r="H15" s="1"/>
      <c r="I15" s="1"/>
      <c r="J15" s="1"/>
      <c r="K15" s="1"/>
      <c r="L15" s="1"/>
      <c r="M15" s="1"/>
    </row>
    <row r="16">
      <c r="A16" s="1"/>
      <c r="B16" s="1" t="s">
        <v>559</v>
      </c>
      <c r="C16" s="76" t="s">
        <v>560</v>
      </c>
      <c r="D16" s="1"/>
      <c r="E16" s="1"/>
      <c r="F16" s="1"/>
      <c r="G16" s="1"/>
      <c r="H16" s="1"/>
      <c r="I16" s="1"/>
      <c r="J16" s="1"/>
      <c r="K16" s="1"/>
      <c r="L16" s="1"/>
      <c r="M16" s="1"/>
    </row>
    <row r="17">
      <c r="A17" s="1"/>
      <c r="B17" s="1" t="s">
        <v>561</v>
      </c>
      <c r="C17" s="92" t="s">
        <v>562</v>
      </c>
      <c r="D17" s="1"/>
      <c r="E17" s="1"/>
      <c r="F17" s="1"/>
      <c r="G17" s="1"/>
      <c r="H17" s="1"/>
      <c r="I17" s="1"/>
      <c r="J17" s="1"/>
      <c r="K17" s="1"/>
      <c r="L17" s="1"/>
      <c r="M17" s="1"/>
    </row>
    <row r="18">
      <c r="A18" s="1"/>
      <c r="B18" s="1" t="s">
        <v>563</v>
      </c>
      <c r="C18" s="2">
        <v>46295</v>
      </c>
      <c r="D18" s="1"/>
      <c r="E18" s="1"/>
      <c r="F18" s="1"/>
      <c r="G18" s="1"/>
      <c r="H18" s="1"/>
      <c r="I18" s="1"/>
      <c r="J18" s="1"/>
      <c r="K18" s="1"/>
      <c r="L18" s="1"/>
      <c r="M18" s="1"/>
    </row>
    <row r="19">
      <c r="A19" s="1"/>
      <c r="B19" s="1" t="s">
        <v>564</v>
      </c>
      <c r="C19" s="2">
        <v>46314</v>
      </c>
      <c r="D19" s="1"/>
      <c r="E19" s="1"/>
      <c r="F19" s="1"/>
      <c r="G19" s="1"/>
      <c r="H19" s="1"/>
      <c r="I19" s="1"/>
      <c r="J19" s="1"/>
      <c r="K19" s="1"/>
      <c r="L19" s="1"/>
      <c r="M19" s="1"/>
    </row>
    <row r="20">
      <c r="A20" s="1"/>
      <c r="B20" s="1" t="s">
        <v>565</v>
      </c>
      <c r="C20" s="92" t="s">
        <v>566</v>
      </c>
      <c r="D20" s="1"/>
      <c r="E20" s="1"/>
      <c r="F20" s="1"/>
      <c r="G20" s="1"/>
      <c r="H20" s="1"/>
      <c r="I20" s="1"/>
      <c r="J20" s="1"/>
      <c r="K20" s="1"/>
      <c r="L20" s="1"/>
      <c r="M20" s="1"/>
    </row>
    <row r="21">
      <c r="A21" s="1"/>
      <c r="B21" s="1" t="s">
        <v>567</v>
      </c>
      <c r="C21" s="81">
        <v>10</v>
      </c>
      <c r="D21" s="1"/>
      <c r="E21" s="1"/>
      <c r="F21" s="1"/>
      <c r="G21" s="1"/>
      <c r="H21" s="1"/>
      <c r="I21" s="1"/>
      <c r="J21" s="1"/>
      <c r="K21" s="1"/>
      <c r="L21" s="1"/>
      <c r="M21" s="1"/>
    </row>
    <row r="22">
      <c r="A22" s="1"/>
      <c r="B22" s="1" t="s">
        <v>568</v>
      </c>
      <c r="C22" s="81">
        <v>15</v>
      </c>
      <c r="D22" s="1"/>
      <c r="E22" s="1"/>
      <c r="F22" s="1"/>
      <c r="G22" s="1"/>
      <c r="H22" s="1"/>
      <c r="I22" s="1"/>
      <c r="J22" s="1"/>
      <c r="K22" s="1"/>
      <c r="L22" s="1"/>
      <c r="M22" s="1"/>
    </row>
    <row r="23">
      <c r="A23" s="1"/>
      <c r="B23" s="1" t="s">
        <v>569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>
      <c r="A24" s="1"/>
      <c r="B24" s="1" t="s">
        <v>570</v>
      </c>
      <c r="C24" s="100">
        <v>2.42</v>
      </c>
      <c r="D24" s="1"/>
      <c r="E24" s="1"/>
      <c r="F24" s="1"/>
      <c r="G24" s="1"/>
      <c r="H24" s="1"/>
      <c r="I24" s="1"/>
      <c r="J24" s="1"/>
      <c r="K24" s="1"/>
      <c r="L24" s="1"/>
      <c r="M24" s="1"/>
    </row>
    <row r="25">
      <c r="A25" s="1"/>
      <c r="B25" s="1" t="s">
        <v>571</v>
      </c>
      <c r="C25" s="100">
        <v>2.43</v>
      </c>
      <c r="D25" s="1"/>
      <c r="E25" s="1"/>
      <c r="F25" s="1"/>
      <c r="G25" s="1"/>
      <c r="H25" s="1"/>
      <c r="I25" s="1"/>
      <c r="J25" s="1"/>
      <c r="K25" s="1"/>
      <c r="L25" s="1"/>
      <c r="M25" s="1"/>
    </row>
    <row r="26">
      <c r="A26" s="1"/>
      <c r="B26" s="1" t="s">
        <v>572</v>
      </c>
      <c r="C26" s="100">
        <v>2.54</v>
      </c>
      <c r="D26" s="1"/>
      <c r="E26" s="1"/>
      <c r="F26" s="1"/>
      <c r="G26" s="1"/>
      <c r="H26" s="1"/>
      <c r="I26" s="1"/>
      <c r="J26" s="1"/>
      <c r="K26" s="1"/>
      <c r="L26" s="1"/>
      <c r="M26" s="1"/>
    </row>
    <row r="27">
      <c r="A27" s="1"/>
      <c r="B27" s="1" t="s">
        <v>573</v>
      </c>
      <c r="C27" s="100">
        <v>2.24</v>
      </c>
      <c r="D27" s="1"/>
      <c r="E27" s="1"/>
      <c r="F27" s="1"/>
      <c r="G27" s="1"/>
      <c r="H27" s="1"/>
      <c r="I27" s="1"/>
      <c r="J27" s="1"/>
      <c r="K27" s="1"/>
      <c r="L27" s="1"/>
      <c r="M27" s="1"/>
    </row>
    <row r="28">
      <c r="A28" s="1"/>
      <c r="B28" s="1" t="s">
        <v>574</v>
      </c>
      <c r="C28" s="100">
        <v>0.08</v>
      </c>
      <c r="D28" s="1"/>
      <c r="E28" s="1"/>
      <c r="F28" s="1"/>
      <c r="G28" s="1"/>
      <c r="H28" s="1"/>
      <c r="I28" s="1"/>
      <c r="J28" s="1"/>
      <c r="K28" s="1"/>
      <c r="L28" s="1"/>
      <c r="M28" s="1"/>
    </row>
    <row r="29">
      <c r="A29" s="1"/>
      <c r="B29" s="1" t="s">
        <v>575</v>
      </c>
      <c r="C29" s="81">
        <v>10</v>
      </c>
      <c r="D29" s="1"/>
      <c r="E29" s="1"/>
      <c r="F29" s="1"/>
      <c r="G29" s="1"/>
      <c r="H29" s="1"/>
      <c r="I29" s="1"/>
      <c r="J29" s="1"/>
      <c r="K29" s="1"/>
      <c r="L29" s="1"/>
      <c r="M29" s="1"/>
    </row>
    <row r="30">
      <c r="A30" s="1"/>
      <c r="B30" s="1" t="s">
        <v>576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>
      <c r="A31" s="1"/>
      <c r="B31" s="1" t="s">
        <v>577</v>
      </c>
      <c r="C31" s="100">
        <v>2.23</v>
      </c>
      <c r="D31" s="1"/>
      <c r="E31" s="1"/>
      <c r="F31" s="1"/>
      <c r="G31" s="1"/>
      <c r="H31" s="1"/>
      <c r="I31" s="1"/>
      <c r="J31" s="1"/>
      <c r="K31" s="1"/>
      <c r="L31" s="1"/>
      <c r="M31" s="1"/>
    </row>
    <row r="32">
      <c r="A32" s="1"/>
      <c r="B32" s="1" t="s">
        <v>578</v>
      </c>
      <c r="C32" s="100">
        <v>2.57</v>
      </c>
      <c r="D32" s="1"/>
      <c r="E32" s="1"/>
      <c r="F32" s="1"/>
      <c r="G32" s="1"/>
      <c r="H32" s="1"/>
      <c r="I32" s="1"/>
      <c r="J32" s="1"/>
      <c r="K32" s="1"/>
      <c r="L32" s="1"/>
      <c r="M32" s="1"/>
    </row>
    <row r="33">
      <c r="A33" s="1"/>
      <c r="B33" s="1" t="s">
        <v>579</v>
      </c>
      <c r="C33" s="100">
        <v>2.42</v>
      </c>
      <c r="D33" s="1"/>
      <c r="E33" s="1"/>
      <c r="F33" s="1"/>
      <c r="G33" s="1"/>
      <c r="H33" s="1"/>
      <c r="I33" s="1"/>
      <c r="J33" s="1"/>
      <c r="K33" s="1"/>
      <c r="L33" s="1"/>
      <c r="M33" s="1"/>
    </row>
    <row r="34">
      <c r="A34" s="1"/>
      <c r="B34" s="1" t="s">
        <v>580</v>
      </c>
      <c r="C34" s="100">
        <v>2.4</v>
      </c>
      <c r="D34" s="1"/>
      <c r="E34" s="1"/>
      <c r="F34" s="1"/>
      <c r="G34" s="1"/>
      <c r="H34" s="1"/>
      <c r="I34" s="1"/>
      <c r="J34" s="1"/>
      <c r="K34" s="1"/>
      <c r="L34" s="1"/>
      <c r="M34" s="1"/>
    </row>
    <row r="35">
      <c r="A35" s="1"/>
      <c r="B35" s="1" t="s">
        <v>581</v>
      </c>
      <c r="C35" s="100">
        <v>2.51</v>
      </c>
      <c r="D35" s="1"/>
      <c r="E35" s="1"/>
      <c r="F35" s="1"/>
      <c r="G35" s="1"/>
      <c r="H35" s="1"/>
      <c r="I35" s="1"/>
      <c r="J35" s="1"/>
      <c r="K35" s="1"/>
      <c r="L35" s="1"/>
      <c r="M35" s="1"/>
    </row>
    <row r="36">
      <c r="A36" s="1"/>
      <c r="B36" s="1" t="s">
        <v>582</v>
      </c>
      <c r="C36" s="100">
        <v>2.26</v>
      </c>
      <c r="D36" s="1"/>
      <c r="E36" s="1"/>
      <c r="F36" s="1"/>
      <c r="G36" s="1"/>
      <c r="H36" s="1"/>
      <c r="I36" s="1"/>
      <c r="J36" s="1"/>
      <c r="K36" s="1"/>
      <c r="L36" s="1"/>
      <c r="M36" s="1"/>
    </row>
    <row r="37">
      <c r="A37" s="1"/>
      <c r="B37" s="1" t="s">
        <v>583</v>
      </c>
      <c r="C37" s="100">
        <v>0.05</v>
      </c>
      <c r="D37" s="1"/>
      <c r="E37" s="1"/>
      <c r="F37" s="1"/>
      <c r="G37" s="1"/>
      <c r="H37" s="1"/>
      <c r="I37" s="1"/>
      <c r="J37" s="1"/>
      <c r="K37" s="1"/>
      <c r="L37" s="1"/>
      <c r="M37" s="1"/>
    </row>
    <row r="38">
      <c r="A38" s="1"/>
      <c r="B38" s="1" t="s">
        <v>584</v>
      </c>
      <c r="C38" s="81">
        <v>23</v>
      </c>
      <c r="D38" s="1"/>
      <c r="E38" s="1"/>
      <c r="F38" s="1"/>
      <c r="G38" s="1"/>
      <c r="H38" s="1"/>
      <c r="I38" s="1"/>
      <c r="J38" s="1"/>
      <c r="K38" s="1"/>
      <c r="L38" s="1"/>
      <c r="M38" s="1"/>
    </row>
    <row r="39">
      <c r="A39" s="1"/>
      <c r="B39" s="1" t="s">
        <v>585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>
      <c r="A40" s="1"/>
      <c r="B40" s="1" t="s">
        <v>586</v>
      </c>
      <c r="C40" s="100">
        <v>2.23</v>
      </c>
      <c r="D40" s="1"/>
      <c r="E40" s="1"/>
      <c r="F40" s="1"/>
      <c r="G40" s="1"/>
      <c r="H40" s="1"/>
      <c r="I40" s="1"/>
      <c r="J40" s="1"/>
      <c r="K40" s="1"/>
      <c r="L40" s="1"/>
      <c r="M40" s="1"/>
    </row>
    <row r="41">
      <c r="A41" s="1"/>
      <c r="B41" s="1" t="s">
        <v>587</v>
      </c>
      <c r="C41" s="100">
        <v>2.57</v>
      </c>
      <c r="D41" s="1"/>
      <c r="E41" s="1"/>
      <c r="F41" s="1"/>
      <c r="G41" s="1"/>
      <c r="H41" s="1"/>
      <c r="I41" s="1"/>
      <c r="J41" s="1"/>
      <c r="K41" s="1"/>
      <c r="L41" s="1"/>
      <c r="M41" s="1"/>
    </row>
    <row r="42">
      <c r="A42" s="1"/>
      <c r="B42" s="1" t="s">
        <v>588</v>
      </c>
      <c r="C42" s="24">
        <v>5908.85</v>
      </c>
      <c r="D42" s="1"/>
      <c r="E42" s="1"/>
      <c r="F42" s="1"/>
      <c r="G42" s="1"/>
      <c r="H42" s="1"/>
      <c r="I42" s="1"/>
      <c r="J42" s="1"/>
      <c r="K42" s="1"/>
      <c r="L42" s="1"/>
      <c r="M42" s="1"/>
    </row>
    <row r="43">
      <c r="A43" s="1"/>
      <c r="B43" s="1" t="s">
        <v>589</v>
      </c>
      <c r="C43" s="24">
        <v>5900.8</v>
      </c>
      <c r="D43" s="1"/>
      <c r="E43" s="1"/>
      <c r="F43" s="1"/>
      <c r="G43" s="1"/>
      <c r="H43" s="1"/>
      <c r="I43" s="1"/>
      <c r="J43" s="1"/>
      <c r="K43" s="1"/>
      <c r="L43" s="1"/>
      <c r="M43" s="1"/>
    </row>
    <row r="44">
      <c r="A44" s="1"/>
      <c r="B44" s="1" t="s">
        <v>590</v>
      </c>
      <c r="C44" s="24">
        <v>6063.93</v>
      </c>
      <c r="D44" s="1"/>
      <c r="E44" s="1"/>
      <c r="F44" s="1"/>
      <c r="G44" s="1"/>
      <c r="H44" s="1"/>
      <c r="I44" s="1"/>
      <c r="J44" s="1"/>
      <c r="K44" s="1"/>
      <c r="L44" s="1"/>
      <c r="M44" s="1"/>
    </row>
    <row r="45">
      <c r="A45" s="1"/>
      <c r="B45" s="1" t="s">
        <v>591</v>
      </c>
      <c r="C45" s="24">
        <v>5701.95</v>
      </c>
      <c r="D45" s="1"/>
      <c r="E45" s="1"/>
      <c r="F45" s="1"/>
      <c r="G45" s="1"/>
      <c r="H45" s="1"/>
      <c r="I45" s="1"/>
      <c r="J45" s="1"/>
      <c r="K45" s="1"/>
      <c r="L45" s="1"/>
      <c r="M45" s="1"/>
    </row>
    <row r="46">
      <c r="A46" s="1"/>
      <c r="B46" s="1" t="s">
        <v>592</v>
      </c>
      <c r="C46" s="24">
        <v>73.06</v>
      </c>
      <c r="D46" s="1"/>
      <c r="E46" s="1"/>
      <c r="F46" s="1"/>
      <c r="G46" s="1"/>
      <c r="H46" s="1"/>
      <c r="I46" s="1"/>
      <c r="J46" s="1"/>
      <c r="K46" s="1"/>
      <c r="L46" s="1"/>
      <c r="M46" s="1"/>
    </row>
    <row r="47">
      <c r="A47" s="1"/>
      <c r="B47" s="1" t="s">
        <v>593</v>
      </c>
      <c r="C47" s="81">
        <v>25</v>
      </c>
      <c r="D47" s="1"/>
      <c r="E47" s="1"/>
      <c r="F47" s="1"/>
      <c r="G47" s="1"/>
      <c r="H47" s="1"/>
      <c r="I47" s="1"/>
      <c r="J47" s="1"/>
      <c r="K47" s="1"/>
      <c r="L47" s="1"/>
      <c r="M47" s="1"/>
    </row>
    <row r="48">
      <c r="A48" s="1"/>
      <c r="B48" s="1" t="s">
        <v>594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  <row r="49">
      <c r="A49" s="1"/>
      <c r="B49" s="1" t="s">
        <v>595</v>
      </c>
      <c r="C49" s="24">
        <v>5650</v>
      </c>
      <c r="D49" s="1"/>
      <c r="E49" s="1"/>
      <c r="F49" s="1"/>
      <c r="G49" s="1"/>
      <c r="H49" s="1"/>
      <c r="I49" s="1"/>
      <c r="J49" s="1"/>
      <c r="K49" s="1"/>
      <c r="L49" s="1"/>
      <c r="M49" s="1"/>
    </row>
    <row r="50">
      <c r="A50" s="1"/>
      <c r="B50" s="1" t="s">
        <v>596</v>
      </c>
      <c r="C50" s="24">
        <v>6150</v>
      </c>
      <c r="D50" s="1"/>
      <c r="E50" s="1"/>
      <c r="F50" s="1"/>
      <c r="G50" s="1"/>
      <c r="H50" s="1"/>
      <c r="I50" s="1"/>
      <c r="J50" s="1"/>
      <c r="K50" s="1"/>
      <c r="L50" s="1"/>
      <c r="M50" s="1"/>
    </row>
    <row r="51">
      <c r="A51" s="1"/>
      <c r="B51" s="1" t="s">
        <v>597</v>
      </c>
      <c r="C51" s="24">
        <v>3336.72</v>
      </c>
      <c r="D51" s="1"/>
      <c r="E51" s="1"/>
      <c r="F51" s="1"/>
      <c r="G51" s="1"/>
      <c r="H51" s="1"/>
      <c r="I51" s="1"/>
      <c r="J51" s="1"/>
      <c r="K51" s="1"/>
      <c r="L51" s="1"/>
      <c r="M51" s="1"/>
    </row>
    <row r="52">
      <c r="A52" s="1"/>
      <c r="B52" s="1" t="s">
        <v>598</v>
      </c>
      <c r="C52" s="24">
        <v>2604.4</v>
      </c>
      <c r="D52" s="1"/>
      <c r="E52" s="1"/>
      <c r="F52" s="1"/>
      <c r="G52" s="1"/>
      <c r="H52" s="1"/>
      <c r="I52" s="1"/>
      <c r="J52" s="1"/>
      <c r="K52" s="1"/>
      <c r="L52" s="1"/>
      <c r="M52" s="1"/>
    </row>
    <row r="53">
      <c r="A53" s="1"/>
      <c r="B53" s="1" t="s">
        <v>599</v>
      </c>
      <c r="C53" s="24">
        <v>2600.34</v>
      </c>
      <c r="D53" s="1"/>
      <c r="E53" s="1"/>
      <c r="F53" s="1"/>
      <c r="G53" s="1"/>
      <c r="H53" s="1"/>
      <c r="I53" s="1"/>
      <c r="J53" s="1"/>
      <c r="K53" s="1"/>
      <c r="L53" s="1"/>
      <c r="M53" s="1"/>
    </row>
    <row r="54">
      <c r="A54" s="1"/>
      <c r="B54" s="1" t="s">
        <v>600</v>
      </c>
      <c r="C54" s="24">
        <v>2525.51</v>
      </c>
      <c r="D54" s="1"/>
      <c r="E54" s="1"/>
      <c r="F54" s="1"/>
      <c r="G54" s="1"/>
      <c r="H54" s="1"/>
      <c r="I54" s="1"/>
      <c r="J54" s="1"/>
      <c r="K54" s="1"/>
      <c r="L54" s="1"/>
      <c r="M54" s="1"/>
    </row>
    <row r="55">
      <c r="A55" s="1"/>
      <c r="B55" s="1" t="s">
        <v>601</v>
      </c>
      <c r="C55" s="24">
        <v>2245.17</v>
      </c>
      <c r="D55" s="1"/>
      <c r="E55" s="1"/>
      <c r="F55" s="1"/>
      <c r="G55" s="1"/>
      <c r="H55" s="1"/>
      <c r="I55" s="1"/>
      <c r="J55" s="1"/>
      <c r="K55" s="1"/>
      <c r="L55" s="1"/>
      <c r="M55" s="1"/>
    </row>
    <row r="56">
      <c r="A56" s="1"/>
      <c r="B56" s="1" t="s">
        <v>602</v>
      </c>
      <c r="C56" s="24">
        <v>2212.19</v>
      </c>
      <c r="D56" s="1"/>
      <c r="E56" s="1"/>
      <c r="F56" s="1"/>
      <c r="G56" s="1"/>
      <c r="H56" s="1"/>
      <c r="I56" s="1"/>
      <c r="J56" s="1"/>
      <c r="K56" s="1"/>
      <c r="L56" s="1"/>
      <c r="M56" s="1"/>
    </row>
    <row r="57">
      <c r="A57" s="1"/>
      <c r="B57" s="1" t="s">
        <v>603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>
      <c r="A58" s="1"/>
      <c r="B58" s="1" t="s">
        <v>604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>
      <c r="A59" s="1"/>
      <c r="B59" s="1" t="s">
        <v>605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  <row r="60">
      <c r="A60" s="1"/>
      <c r="B60" s="1" t="s">
        <v>606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  <row r="61">
      <c r="A61" s="1"/>
      <c r="B61" s="1" t="s">
        <v>607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>
      <c r="A62" s="1"/>
      <c r="B62" s="1" t="s">
        <v>608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>
      <c r="A63" s="1"/>
      <c r="B63" s="1" t="s">
        <v>609</v>
      </c>
      <c r="C63" s="24">
        <v>-140.33</v>
      </c>
      <c r="D63" s="1"/>
      <c r="E63" s="1"/>
      <c r="F63" s="1"/>
      <c r="G63" s="1"/>
      <c r="H63" s="1"/>
      <c r="I63" s="1"/>
      <c r="J63" s="1"/>
      <c r="K63" s="1"/>
      <c r="L63" s="1"/>
      <c r="M63" s="1"/>
    </row>
    <row r="64">
      <c r="A64" s="1"/>
      <c r="B64" s="1" t="s">
        <v>610</v>
      </c>
      <c r="C64" s="24">
        <v>5732.71</v>
      </c>
      <c r="D64" s="1"/>
      <c r="E64" s="1"/>
      <c r="F64" s="1"/>
      <c r="G64" s="1"/>
      <c r="H64" s="1"/>
      <c r="I64" s="1"/>
      <c r="J64" s="1"/>
      <c r="K64" s="1"/>
      <c r="L64" s="1"/>
      <c r="M64" s="1"/>
    </row>
    <row r="65">
      <c r="A65" s="1"/>
      <c r="B65" s="1" t="s">
        <v>611</v>
      </c>
      <c r="C65" s="24">
        <v>14257</v>
      </c>
      <c r="D65" s="1"/>
      <c r="E65" s="1"/>
      <c r="F65" s="1"/>
      <c r="G65" s="1"/>
      <c r="H65" s="1"/>
      <c r="I65" s="1"/>
      <c r="J65" s="1"/>
      <c r="K65" s="1"/>
      <c r="L65" s="1"/>
      <c r="M65" s="1"/>
    </row>
    <row r="66">
      <c r="A66" s="1"/>
      <c r="B66" s="1" t="s">
        <v>612</v>
      </c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>
      <c r="A67" s="1"/>
      <c r="B67" s="1" t="s">
        <v>613</v>
      </c>
      <c r="C67" s="100">
        <v>324.71</v>
      </c>
      <c r="D67" s="1"/>
      <c r="E67" s="1"/>
      <c r="F67" s="1"/>
      <c r="G67" s="1"/>
      <c r="H67" s="1"/>
      <c r="I67" s="1"/>
      <c r="J67" s="1"/>
      <c r="K67" s="1"/>
      <c r="L67" s="1"/>
      <c r="M67" s="1"/>
    </row>
    <row r="68">
      <c r="A68" s="1"/>
      <c r="B68" s="1" t="s">
        <v>614</v>
      </c>
      <c r="C68" s="100">
        <v>340</v>
      </c>
      <c r="D68" s="1"/>
      <c r="E68" s="1"/>
      <c r="F68" s="1"/>
      <c r="G68" s="1"/>
      <c r="H68" s="1"/>
      <c r="I68" s="1"/>
      <c r="J68" s="1"/>
      <c r="K68" s="1"/>
      <c r="L68" s="1"/>
      <c r="M68" s="1"/>
    </row>
    <row r="69">
      <c r="A69" s="1"/>
      <c r="B69" s="1" t="s">
        <v>615</v>
      </c>
      <c r="C69" s="100">
        <v>400</v>
      </c>
      <c r="D69" s="1"/>
      <c r="E69" s="1"/>
      <c r="F69" s="1"/>
      <c r="G69" s="1"/>
      <c r="H69" s="1"/>
      <c r="I69" s="1"/>
      <c r="J69" s="1"/>
      <c r="K69" s="1"/>
      <c r="L69" s="1"/>
      <c r="M69" s="1"/>
    </row>
    <row r="70">
      <c r="A70" s="1"/>
      <c r="B70" s="1" t="s">
        <v>616</v>
      </c>
      <c r="C70" s="100">
        <v>225</v>
      </c>
      <c r="D70" s="1"/>
      <c r="E70" s="1"/>
      <c r="F70" s="1"/>
      <c r="G70" s="1"/>
      <c r="H70" s="1"/>
      <c r="I70" s="1"/>
      <c r="J70" s="1"/>
      <c r="K70" s="1"/>
      <c r="L70" s="1"/>
      <c r="M70" s="1"/>
    </row>
    <row r="71">
      <c r="A71" s="1"/>
      <c r="B71" s="1" t="s">
        <v>617</v>
      </c>
      <c r="C71" s="100">
        <v>47.81</v>
      </c>
      <c r="D71" s="1"/>
      <c r="E71" s="1"/>
      <c r="F71" s="1"/>
      <c r="G71" s="1"/>
      <c r="H71" s="1"/>
      <c r="I71" s="1"/>
      <c r="J71" s="1"/>
      <c r="K71" s="1"/>
      <c r="L71" s="1"/>
      <c r="M71" s="1"/>
    </row>
    <row r="72">
      <c r="A72" s="1"/>
      <c r="B72" s="1" t="s">
        <v>618</v>
      </c>
      <c r="C72" s="81">
        <v>31</v>
      </c>
      <c r="D72" s="1"/>
      <c r="E72" s="1"/>
      <c r="F72" s="1"/>
      <c r="G72" s="1"/>
      <c r="H72" s="1"/>
      <c r="I72" s="1"/>
      <c r="J72" s="1"/>
      <c r="K72" s="1"/>
      <c r="L72" s="1"/>
      <c r="M72" s="1"/>
    </row>
    <row r="73">
      <c r="A73" s="1"/>
      <c r="B73" s="1" t="s">
        <v>619</v>
      </c>
      <c r="C73" s="76" t="s">
        <v>620</v>
      </c>
      <c r="D73" s="1"/>
      <c r="E73" s="1"/>
      <c r="F73" s="1"/>
      <c r="G73" s="1"/>
      <c r="H73" s="1"/>
      <c r="I73" s="1"/>
      <c r="J73" s="1"/>
      <c r="K73" s="1"/>
      <c r="L73" s="1"/>
      <c r="M73" s="1"/>
    </row>
    <row r="74">
      <c r="A74" s="1"/>
      <c r="B74" s="1" t="s">
        <v>621</v>
      </c>
      <c r="C74" s="24">
        <v>2.11</v>
      </c>
      <c r="D74" s="1"/>
      <c r="E74" s="1"/>
      <c r="F74" s="1"/>
      <c r="G74" s="1"/>
      <c r="H74" s="1"/>
      <c r="I74" s="1"/>
      <c r="J74" s="1"/>
      <c r="K74" s="1"/>
      <c r="L74" s="1"/>
      <c r="M74" s="1"/>
    </row>
    <row r="75">
      <c r="A75" s="1"/>
      <c r="B75" s="1" t="s">
        <v>622</v>
      </c>
      <c r="C75" s="100">
        <v>276.48</v>
      </c>
      <c r="D75" s="1"/>
      <c r="E75" s="1"/>
      <c r="F75" s="1"/>
      <c r="G75" s="1"/>
      <c r="H75" s="1"/>
      <c r="I75" s="1"/>
      <c r="J75" s="1"/>
      <c r="K75" s="1"/>
      <c r="L75" s="1"/>
      <c r="M75" s="1"/>
    </row>
    <row r="76">
      <c r="A76" s="1"/>
      <c r="B76" s="1" t="s">
        <v>623</v>
      </c>
      <c r="C76" s="76" t="s">
        <v>624</v>
      </c>
      <c r="D76" s="1"/>
      <c r="E76" s="1"/>
      <c r="F76" s="1"/>
      <c r="G76" s="1"/>
      <c r="H76" s="1"/>
      <c r="I76" s="1"/>
      <c r="J76" s="1"/>
      <c r="K76" s="1"/>
      <c r="L76" s="1"/>
      <c r="M76" s="1"/>
    </row>
    <row r="77">
      <c r="A77" s="1"/>
      <c r="B77" s="1" t="s">
        <v>625</v>
      </c>
      <c r="C77" s="2">
        <v>46313</v>
      </c>
      <c r="D77" s="1"/>
      <c r="E77" s="1"/>
      <c r="F77" s="1"/>
      <c r="G77" s="1"/>
      <c r="H77" s="1"/>
      <c r="I77" s="1"/>
      <c r="J77" s="1"/>
      <c r="K77" s="1"/>
      <c r="L77" s="1"/>
      <c r="M77" s="1"/>
    </row>
    <row r="78">
      <c r="A78" s="1"/>
      <c r="B78" s="1" t="s">
        <v>626</v>
      </c>
      <c r="C78" s="92" t="s">
        <v>627</v>
      </c>
      <c r="D78" s="1"/>
      <c r="E78" s="1"/>
      <c r="F78" s="1"/>
      <c r="G78" s="1"/>
      <c r="H78" s="1"/>
      <c r="I78" s="1"/>
      <c r="J78" s="1"/>
      <c r="K78" s="1"/>
      <c r="L78" s="1"/>
      <c r="M78" s="1"/>
    </row>
    <row r="79">
      <c r="A79" s="1"/>
      <c r="B79" s="1" t="s">
        <v>628</v>
      </c>
      <c r="C79" s="2">
        <v>46313</v>
      </c>
      <c r="D79" s="1"/>
      <c r="E79" s="1"/>
      <c r="F79" s="1"/>
      <c r="G79" s="1"/>
      <c r="H79" s="1"/>
      <c r="I79" s="1"/>
      <c r="J79" s="1"/>
      <c r="K79" s="1"/>
      <c r="L79" s="1"/>
      <c r="M79" s="1"/>
    </row>
    <row r="80">
      <c r="A80" s="1"/>
      <c r="B80" s="1" t="s">
        <v>629</v>
      </c>
      <c r="C80" s="81">
        <v>10</v>
      </c>
      <c r="D80" s="1"/>
      <c r="E80" s="1"/>
      <c r="F80" s="1"/>
      <c r="G80" s="1"/>
      <c r="H80" s="1"/>
      <c r="I80" s="1"/>
      <c r="J80" s="1"/>
      <c r="K80" s="1"/>
      <c r="L80" s="1"/>
      <c r="M80" s="1"/>
    </row>
    <row r="81">
      <c r="A81" s="1"/>
      <c r="B81" s="1" t="s">
        <v>630</v>
      </c>
      <c r="C81" s="100">
        <v>2.42</v>
      </c>
      <c r="D81" s="1"/>
      <c r="E81" s="1"/>
      <c r="F81" s="1"/>
      <c r="G81" s="1"/>
      <c r="H81" s="1"/>
      <c r="I81" s="1"/>
      <c r="J81" s="1"/>
      <c r="K81" s="1"/>
      <c r="L81" s="1"/>
      <c r="M81" s="1"/>
    </row>
    <row r="82">
      <c r="A82" s="1"/>
      <c r="B82" s="1" t="s">
        <v>631</v>
      </c>
      <c r="C82" s="24">
        <v>5908.85</v>
      </c>
      <c r="D82" s="1"/>
      <c r="E82" s="1"/>
      <c r="F82" s="1"/>
      <c r="G82" s="1"/>
      <c r="H82" s="1"/>
      <c r="I82" s="1"/>
      <c r="J82" s="1"/>
      <c r="K82" s="1"/>
      <c r="L82" s="1"/>
      <c r="M82" s="1"/>
    </row>
    <row r="83">
      <c r="A83" s="1"/>
      <c r="B83" s="1" t="s">
        <v>632</v>
      </c>
      <c r="C83" s="7" t="s">
        <v>558</v>
      </c>
      <c r="D83" s="1"/>
      <c r="E83" s="1"/>
      <c r="F83" s="1"/>
      <c r="G83" s="1"/>
      <c r="H83" s="1"/>
      <c r="I83" s="1"/>
      <c r="J83" s="1"/>
      <c r="K83" s="1"/>
      <c r="L83" s="1"/>
      <c r="M83" s="1"/>
    </row>
    <row r="84">
      <c r="A84" s="1"/>
      <c r="B84" s="1" t="s">
        <v>633</v>
      </c>
      <c r="C84" s="93" t="s">
        <v>634</v>
      </c>
      <c r="D84" s="1"/>
      <c r="E84" s="1"/>
      <c r="F84" s="1"/>
      <c r="G84" s="1"/>
      <c r="H84" s="1"/>
      <c r="I84" s="1"/>
      <c r="J84" s="1"/>
      <c r="K84" s="1"/>
      <c r="L84" s="1"/>
      <c r="M84" s="1"/>
    </row>
    <row r="85">
      <c r="A85" s="1"/>
      <c r="B85" s="1" t="s">
        <v>635</v>
      </c>
      <c r="C85" s="93" t="s">
        <v>636</v>
      </c>
      <c r="D85" s="1"/>
      <c r="E85" s="1"/>
      <c r="F85" s="1"/>
      <c r="G85" s="1"/>
      <c r="H85" s="1"/>
      <c r="I85" s="1"/>
      <c r="J85" s="1"/>
      <c r="K85" s="1"/>
      <c r="L85" s="1"/>
      <c r="M85" s="1"/>
    </row>
    <row r="8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</row>
    <row r="87">
      <c r="A87" s="1"/>
      <c r="B87" s="25" t="s">
        <v>637</v>
      </c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</row>
    <row r="88" ht="27">
      <c r="A88" s="1"/>
      <c r="B88" s="6" t="s">
        <v>638</v>
      </c>
      <c r="C88" s="6" t="s">
        <v>639</v>
      </c>
      <c r="D88" s="6" t="s">
        <v>640</v>
      </c>
      <c r="E88" s="6" t="s">
        <v>641</v>
      </c>
      <c r="F88" s="6" t="s">
        <v>642</v>
      </c>
      <c r="G88" s="6" t="s">
        <v>643</v>
      </c>
      <c r="H88" s="6" t="s">
        <v>644</v>
      </c>
      <c r="I88" s="6" t="s">
        <v>645</v>
      </c>
      <c r="J88" s="6" t="s">
        <v>646</v>
      </c>
      <c r="K88" s="6" t="s">
        <v>647</v>
      </c>
      <c r="L88" s="1"/>
      <c r="M88" s="1"/>
    </row>
    <row r="89">
      <c r="A89" s="1"/>
      <c r="B89" s="2">
        <v>45747</v>
      </c>
      <c r="C89" s="2">
        <v>45770</v>
      </c>
      <c r="D89" s="96">
        <v>1.1</v>
      </c>
      <c r="E89" s="96">
        <v>1.28</v>
      </c>
      <c r="F89" s="96">
        <v>1.06</v>
      </c>
      <c r="G89" s="96">
        <v>1.28</v>
      </c>
      <c r="H89" s="10">
        <v>3910.97</v>
      </c>
      <c r="I89" s="10">
        <v>4069</v>
      </c>
      <c r="J89" s="113">
        <f>E89-D89</f>
        <v>0.17999999999999994</v>
      </c>
      <c r="K89" s="1" t="b">
        <f>E89&gt;D89</f>
        <v>1</v>
      </c>
      <c r="L89" s="1"/>
      <c r="M89" s="1"/>
    </row>
    <row r="90">
      <c r="A90" s="1"/>
      <c r="B90" s="2">
        <v>45838</v>
      </c>
      <c r="C90" s="2">
        <v>45860</v>
      </c>
      <c r="D90" s="96">
        <v>1.37</v>
      </c>
      <c r="E90" s="96">
        <v>1.41</v>
      </c>
      <c r="F90" s="96">
        <v>1.33</v>
      </c>
      <c r="G90" s="96">
        <v>1.41</v>
      </c>
      <c r="H90" s="10">
        <v>4315.2</v>
      </c>
      <c r="I90" s="10">
        <v>4448</v>
      </c>
      <c r="J90" s="113">
        <f>E90-D90</f>
        <v>0.039999999999999813</v>
      </c>
      <c r="K90" s="1" t="b">
        <f>E90&gt;D90</f>
        <v>1</v>
      </c>
      <c r="L90" s="1"/>
      <c r="M90" s="1"/>
    </row>
    <row r="91">
      <c r="A91" s="1"/>
      <c r="B91" s="2">
        <v>45930</v>
      </c>
      <c r="C91" s="2">
        <v>45951</v>
      </c>
      <c r="D91" s="96">
        <v>1.49</v>
      </c>
      <c r="E91" s="96">
        <v>1.57</v>
      </c>
      <c r="F91" s="96">
        <v>1.49</v>
      </c>
      <c r="G91" s="96">
        <v>1.48</v>
      </c>
      <c r="H91" s="10">
        <v>4640.41</v>
      </c>
      <c r="I91" s="10">
        <v>4742</v>
      </c>
      <c r="J91" s="113">
        <f>E91-D91</f>
        <v>0.08000000000000007</v>
      </c>
      <c r="K91" s="1" t="b">
        <f>E91&gt;D91</f>
        <v>1</v>
      </c>
      <c r="L91" s="1"/>
      <c r="M91" s="1"/>
    </row>
    <row r="92">
      <c r="A92" s="1"/>
      <c r="B92" s="2">
        <v>46022</v>
      </c>
      <c r="C92" s="2">
        <v>46049</v>
      </c>
      <c r="D92" s="96">
        <v>1.28</v>
      </c>
      <c r="E92" s="96">
        <v>1.31</v>
      </c>
      <c r="F92" s="96">
        <v>1.31</v>
      </c>
      <c r="G92" s="96">
        <v>1.27</v>
      </c>
      <c r="H92" s="10">
        <v>4440.56</v>
      </c>
      <c r="I92" s="10">
        <v>4423</v>
      </c>
      <c r="J92" s="113">
        <f>E92-D92</f>
        <v>0.030000000000000027</v>
      </c>
      <c r="K92" s="1" t="b">
        <f>E92&gt;D92</f>
        <v>1</v>
      </c>
      <c r="L92" s="1"/>
      <c r="M92" s="1"/>
    </row>
    <row r="93">
      <c r="A93" s="1"/>
      <c r="B93" s="2">
        <v>46112</v>
      </c>
      <c r="C93" s="2">
        <v>46134</v>
      </c>
      <c r="D93" s="96">
        <v>1.37</v>
      </c>
      <c r="E93" s="96">
        <v>1.71</v>
      </c>
      <c r="F93" s="96">
        <v>1.37</v>
      </c>
      <c r="G93" s="96">
        <v>1.68</v>
      </c>
      <c r="H93" s="10">
        <v>4527.02</v>
      </c>
      <c r="I93" s="10">
        <v>4825</v>
      </c>
      <c r="J93" s="113">
        <f>E93-D93</f>
        <v>0.33999999999999986</v>
      </c>
      <c r="K93" s="1" t="b">
        <f>E93&gt;D93</f>
        <v>1</v>
      </c>
      <c r="L93" s="1"/>
      <c r="M93" s="1"/>
    </row>
    <row r="94">
      <c r="A94" s="1"/>
      <c r="B94" s="2">
        <v>46203</v>
      </c>
      <c r="C94" s="2">
        <v>46225</v>
      </c>
      <c r="D94" s="96">
        <v>1.95</v>
      </c>
      <c r="E94" s="96">
        <v>2.17</v>
      </c>
      <c r="F94" s="96">
        <v>1.94</v>
      </c>
      <c r="G94" s="96">
        <v>2.14</v>
      </c>
      <c r="H94" s="10">
        <v>5252.67</v>
      </c>
      <c r="I94" s="10">
        <v>5463</v>
      </c>
      <c r="J94" s="113">
        <f>E94-D94</f>
        <v>0.21999999999999997</v>
      </c>
      <c r="K94" s="1" t="b">
        <f>E94&gt;D94</f>
        <v>1</v>
      </c>
      <c r="L94" s="1"/>
      <c r="M94" s="1"/>
    </row>
    <row r="9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</row>
    <row r="96">
      <c r="A96" s="1"/>
      <c r="B96" s="25" t="s">
        <v>648</v>
      </c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</row>
    <row r="97">
      <c r="A97" s="1"/>
      <c r="B97" s="20" t="s">
        <v>649</v>
      </c>
      <c r="C97" s="33" t="s">
        <v>650</v>
      </c>
      <c r="D97" s="33" t="s">
        <v>651</v>
      </c>
      <c r="E97" s="33" t="s">
        <v>417</v>
      </c>
      <c r="F97" s="33" t="s">
        <v>419</v>
      </c>
      <c r="G97" s="33" t="s">
        <v>652</v>
      </c>
      <c r="H97" s="33" t="s">
        <v>653</v>
      </c>
      <c r="I97" s="33" t="s">
        <v>654</v>
      </c>
      <c r="J97" s="33" t="s">
        <v>655</v>
      </c>
      <c r="K97" s="1"/>
      <c r="L97" s="1"/>
      <c r="M97" s="1"/>
    </row>
    <row r="98">
      <c r="A98" s="1"/>
      <c r="B98" s="1" t="s">
        <v>179</v>
      </c>
      <c r="C98" s="10">
        <v>4151</v>
      </c>
      <c r="D98" s="10">
        <v>4007</v>
      </c>
      <c r="E98" s="10">
        <v>4069</v>
      </c>
      <c r="F98" s="10">
        <v>4448</v>
      </c>
      <c r="G98" s="10">
        <v>15641</v>
      </c>
      <c r="H98" s="10">
        <v>8517</v>
      </c>
      <c r="I98" s="10">
        <v>13259</v>
      </c>
      <c r="J98" s="10">
        <v>11634</v>
      </c>
      <c r="K98" s="1"/>
      <c r="L98" s="1"/>
      <c r="M98" s="1"/>
    </row>
    <row r="99">
      <c r="A99" s="1"/>
      <c r="B99" s="1" t="s">
        <v>148</v>
      </c>
      <c r="C99" s="10">
        <v>3223</v>
      </c>
      <c r="D99" s="10">
        <v>3174</v>
      </c>
      <c r="E99" s="10">
        <v>3210</v>
      </c>
      <c r="F99" s="10">
        <v>3452</v>
      </c>
      <c r="G99" s="10">
        <v>12161</v>
      </c>
      <c r="H99" s="10">
        <v>6662</v>
      </c>
      <c r="I99" s="10">
        <v>10391</v>
      </c>
      <c r="J99" s="10">
        <v>8987</v>
      </c>
      <c r="K99" s="1"/>
      <c r="L99" s="1"/>
      <c r="M99" s="1"/>
    </row>
    <row r="100">
      <c r="A100" s="1"/>
      <c r="B100" s="1" t="s">
        <v>656</v>
      </c>
      <c r="C100" s="10">
        <v>653</v>
      </c>
      <c r="D100" s="10">
        <v>613</v>
      </c>
      <c r="E100" s="10">
        <v>647</v>
      </c>
      <c r="F100" s="10">
        <v>679</v>
      </c>
      <c r="G100" s="10">
        <v>2533</v>
      </c>
      <c r="H100" s="10">
        <v>1326</v>
      </c>
      <c r="I100" s="10">
        <v>2035</v>
      </c>
      <c r="J100" s="10">
        <v>1920</v>
      </c>
      <c r="K100" s="1"/>
      <c r="L100" s="1"/>
      <c r="M100" s="1"/>
    </row>
    <row r="101">
      <c r="A101" s="1"/>
      <c r="B101" s="1" t="s">
        <v>657</v>
      </c>
      <c r="C101" s="10">
        <v>275</v>
      </c>
      <c r="D101" s="10">
        <v>220</v>
      </c>
      <c r="E101" s="10">
        <v>212</v>
      </c>
      <c r="F101" s="10">
        <v>317</v>
      </c>
      <c r="G101" s="10">
        <v>947</v>
      </c>
      <c r="H101" s="10">
        <v>529</v>
      </c>
      <c r="I101" s="10">
        <v>833</v>
      </c>
      <c r="J101" s="10">
        <v>727</v>
      </c>
      <c r="K101" s="1"/>
      <c r="L101" s="1"/>
      <c r="M101" s="1"/>
    </row>
    <row r="102">
      <c r="A102" s="1"/>
      <c r="B102" s="1" t="s">
        <v>156</v>
      </c>
      <c r="C102" s="10">
        <v>1677</v>
      </c>
      <c r="D102" s="10">
        <v>1693</v>
      </c>
      <c r="E102" s="10">
        <v>1756</v>
      </c>
      <c r="F102" s="10">
        <v>1873</v>
      </c>
      <c r="G102" s="10">
        <v>6547</v>
      </c>
      <c r="H102" s="10">
        <v>3629</v>
      </c>
      <c r="I102" s="10">
        <v>5648</v>
      </c>
      <c r="J102" s="10">
        <v>4854</v>
      </c>
      <c r="K102" s="1"/>
      <c r="L102" s="1"/>
      <c r="M102" s="1"/>
    </row>
    <row r="103">
      <c r="A103" s="1"/>
      <c r="B103" s="1" t="s">
        <v>158</v>
      </c>
      <c r="C103" s="8">
        <f>C98-C102</f>
        <v>2474</v>
      </c>
      <c r="D103" s="8">
        <f>D98-D102</f>
        <v>2314</v>
      </c>
      <c r="E103" s="8">
        <f>E98-E102</f>
        <v>2313</v>
      </c>
      <c r="F103" s="8">
        <f>F98-F102</f>
        <v>2575</v>
      </c>
      <c r="G103" s="8">
        <f>G98-G102</f>
        <v>9094</v>
      </c>
      <c r="H103" s="8">
        <f>H98-H102</f>
        <v>4888</v>
      </c>
      <c r="I103" s="8">
        <f>I98-I102</f>
        <v>7611</v>
      </c>
      <c r="J103" s="8">
        <f>J98-J102</f>
        <v>6780</v>
      </c>
      <c r="K103" s="1"/>
      <c r="L103" s="1"/>
      <c r="M103" s="1"/>
    </row>
    <row r="104">
      <c r="A104" s="1"/>
      <c r="B104" s="1" t="s">
        <v>658</v>
      </c>
      <c r="C104" s="10">
        <v>492</v>
      </c>
      <c r="D104" s="10">
        <v>491</v>
      </c>
      <c r="E104" s="10">
        <v>517</v>
      </c>
      <c r="F104" s="10">
        <v>527</v>
      </c>
      <c r="G104" s="10">
        <v>1959</v>
      </c>
      <c r="H104" s="10">
        <v>1044</v>
      </c>
      <c r="I104" s="10">
        <v>1562</v>
      </c>
      <c r="J104" s="10">
        <v>1468</v>
      </c>
      <c r="K104" s="1"/>
      <c r="L104" s="1"/>
      <c r="M104" s="1"/>
    </row>
    <row r="105">
      <c r="A105" s="1"/>
      <c r="B105" s="1" t="s">
        <v>659</v>
      </c>
      <c r="C105" s="10">
        <v>428</v>
      </c>
      <c r="D105" s="10">
        <v>446</v>
      </c>
      <c r="E105" s="10">
        <v>472</v>
      </c>
      <c r="F105" s="10">
        <v>485</v>
      </c>
      <c r="G105" s="10">
        <v>1794</v>
      </c>
      <c r="H105" s="10">
        <v>957</v>
      </c>
      <c r="I105" s="10">
        <v>1414</v>
      </c>
      <c r="J105" s="10">
        <v>1348</v>
      </c>
      <c r="K105" s="1"/>
      <c r="L105" s="1"/>
      <c r="M105" s="1"/>
    </row>
    <row r="106">
      <c r="A106" s="1"/>
      <c r="B106" s="1" t="s">
        <v>182</v>
      </c>
      <c r="C106" s="10">
        <v>0</v>
      </c>
      <c r="D106" s="10">
        <v>0</v>
      </c>
      <c r="E106" s="10">
        <v>0</v>
      </c>
      <c r="F106" s="10">
        <v>0</v>
      </c>
      <c r="G106" s="10">
        <v>-124</v>
      </c>
      <c r="H106" s="10">
        <v>0</v>
      </c>
      <c r="I106" s="10">
        <v>85</v>
      </c>
      <c r="J106" s="10">
        <v>-124</v>
      </c>
      <c r="K106" s="1"/>
      <c r="L106" s="1"/>
      <c r="M106" s="1"/>
    </row>
    <row r="107">
      <c r="A107" s="1"/>
      <c r="B107" s="1" t="s">
        <v>186</v>
      </c>
      <c r="C107" s="10">
        <v>1554</v>
      </c>
      <c r="D107" s="10">
        <v>1377</v>
      </c>
      <c r="E107" s="10">
        <v>1324</v>
      </c>
      <c r="F107" s="10">
        <v>1563</v>
      </c>
      <c r="G107" s="10">
        <v>5465</v>
      </c>
      <c r="H107" s="10">
        <v>2887</v>
      </c>
      <c r="I107" s="10">
        <v>4550</v>
      </c>
      <c r="J107" s="10">
        <v>4088</v>
      </c>
      <c r="K107" s="1"/>
      <c r="L107" s="1"/>
      <c r="M107" s="1"/>
    </row>
    <row r="108">
      <c r="A108" s="1"/>
      <c r="B108" s="1" t="s">
        <v>660</v>
      </c>
      <c r="C108" s="10">
        <v>131</v>
      </c>
      <c r="D108" s="10">
        <v>112</v>
      </c>
      <c r="E108" s="10">
        <v>80</v>
      </c>
      <c r="F108" s="10">
        <v>48</v>
      </c>
      <c r="G108" s="10">
        <v>496</v>
      </c>
      <c r="H108" s="10">
        <v>128</v>
      </c>
      <c r="I108" s="10">
        <v>190</v>
      </c>
      <c r="J108" s="10">
        <v>384</v>
      </c>
      <c r="K108" s="1"/>
      <c r="L108" s="1"/>
      <c r="M108" s="1"/>
    </row>
    <row r="109">
      <c r="A109" s="1"/>
      <c r="B109" s="1" t="s">
        <v>191</v>
      </c>
      <c r="C109" s="10">
        <v>131</v>
      </c>
      <c r="D109" s="10">
        <v>130</v>
      </c>
      <c r="E109" s="10">
        <v>128</v>
      </c>
      <c r="F109" s="10">
        <v>133</v>
      </c>
      <c r="G109" s="10">
        <v>508</v>
      </c>
      <c r="H109" s="10">
        <v>261</v>
      </c>
      <c r="I109" s="10">
        <v>402</v>
      </c>
      <c r="J109" s="10">
        <v>378</v>
      </c>
      <c r="K109" s="1"/>
      <c r="L109" s="1"/>
      <c r="M109" s="1"/>
    </row>
    <row r="110">
      <c r="A110" s="1"/>
      <c r="B110" s="1" t="s">
        <v>193</v>
      </c>
      <c r="C110" s="10">
        <v>1554</v>
      </c>
      <c r="D110" s="10">
        <v>1359</v>
      </c>
      <c r="E110" s="10">
        <v>1276</v>
      </c>
      <c r="F110" s="10">
        <v>1478</v>
      </c>
      <c r="G110" s="10">
        <v>5453</v>
      </c>
      <c r="H110" s="10">
        <v>2754</v>
      </c>
      <c r="I110" s="10">
        <v>4338</v>
      </c>
      <c r="J110" s="10">
        <v>4094</v>
      </c>
      <c r="K110" s="1"/>
      <c r="L110" s="1"/>
      <c r="M110" s="1"/>
    </row>
    <row r="111">
      <c r="A111" s="1"/>
      <c r="B111" s="1" t="s">
        <v>200</v>
      </c>
      <c r="C111" s="10">
        <v>192</v>
      </c>
      <c r="D111" s="10">
        <v>154</v>
      </c>
      <c r="E111" s="10">
        <v>97</v>
      </c>
      <c r="F111" s="10">
        <v>183</v>
      </c>
      <c r="G111" s="10">
        <v>654</v>
      </c>
      <c r="H111" s="10">
        <v>280</v>
      </c>
      <c r="I111" s="10">
        <v>500</v>
      </c>
      <c r="J111" s="10">
        <v>500</v>
      </c>
      <c r="K111" s="1"/>
      <c r="L111" s="1"/>
      <c r="M111" s="1"/>
    </row>
    <row r="112">
      <c r="A112" s="1"/>
      <c r="B112" s="1" t="s">
        <v>661</v>
      </c>
      <c r="C112" s="10">
        <v>227</v>
      </c>
      <c r="D112" s="10">
        <v>170</v>
      </c>
      <c r="E112" s="10">
        <v>166</v>
      </c>
      <c r="F112" s="10">
        <v>199</v>
      </c>
      <c r="G112" s="10">
        <v>743</v>
      </c>
      <c r="H112" s="10">
        <v>365</v>
      </c>
      <c r="I112" s="10">
        <v>614</v>
      </c>
      <c r="J112" s="10">
        <v>573</v>
      </c>
      <c r="K112" s="1"/>
      <c r="L112" s="1"/>
      <c r="M112" s="1"/>
    </row>
    <row r="113">
      <c r="A113" s="1"/>
      <c r="B113" s="1" t="s">
        <v>202</v>
      </c>
      <c r="C113" s="10">
        <v>1362</v>
      </c>
      <c r="D113" s="10">
        <v>1205</v>
      </c>
      <c r="E113" s="10">
        <v>1179</v>
      </c>
      <c r="F113" s="10">
        <v>1295</v>
      </c>
      <c r="G113" s="10">
        <v>4799</v>
      </c>
      <c r="H113" s="10">
        <v>2474</v>
      </c>
      <c r="I113" s="10">
        <v>3838</v>
      </c>
      <c r="J113" s="10">
        <v>3594</v>
      </c>
      <c r="K113" s="1"/>
      <c r="L113" s="1"/>
      <c r="M113" s="1"/>
    </row>
    <row r="114">
      <c r="A114" s="1"/>
      <c r="B114" s="1" t="s">
        <v>211</v>
      </c>
      <c r="C114" s="96">
        <v>1.47</v>
      </c>
      <c r="D114" s="96">
        <v>1.3</v>
      </c>
      <c r="E114" s="96">
        <v>1.28</v>
      </c>
      <c r="F114" s="96">
        <v>1.41</v>
      </c>
      <c r="G114" s="96">
        <v>5.2</v>
      </c>
      <c r="H114" s="96">
        <v>2.69</v>
      </c>
      <c r="I114" s="96">
        <v>4.18</v>
      </c>
      <c r="J114" s="96">
        <v>3.89</v>
      </c>
      <c r="K114" s="1"/>
      <c r="L114" s="1"/>
      <c r="M114" s="1"/>
    </row>
    <row r="115">
      <c r="A115" s="1"/>
      <c r="B115" s="1" t="s">
        <v>662</v>
      </c>
      <c r="C115" s="10">
        <v>920</v>
      </c>
      <c r="D115" s="10">
        <v>919</v>
      </c>
      <c r="E115" s="10">
        <v>916</v>
      </c>
      <c r="F115" s="10">
        <v>912</v>
      </c>
      <c r="G115" s="10">
        <v>919</v>
      </c>
      <c r="H115" s="10">
        <v>914</v>
      </c>
      <c r="I115" s="10">
        <v>914</v>
      </c>
      <c r="J115" s="10">
        <v>919</v>
      </c>
      <c r="K115" s="1"/>
      <c r="L115" s="1"/>
      <c r="M115" s="1"/>
    </row>
    <row r="116">
      <c r="A116" s="1"/>
      <c r="B116" s="1" t="s">
        <v>663</v>
      </c>
      <c r="C116" s="10">
        <v>1253</v>
      </c>
      <c r="D116" s="8">
        <f>G116-J116</f>
        <v>1269</v>
      </c>
      <c r="E116" s="10">
        <v>1296</v>
      </c>
      <c r="F116" s="10">
        <v>1395</v>
      </c>
      <c r="G116" s="10">
        <v>4869</v>
      </c>
      <c r="H116" s="10">
        <v>2691</v>
      </c>
      <c r="I116" s="10">
        <v>4234</v>
      </c>
      <c r="J116" s="10">
        <v>3600</v>
      </c>
      <c r="K116" s="1"/>
      <c r="L116" s="1"/>
      <c r="M116" s="1"/>
    </row>
    <row r="117">
      <c r="A117" s="1"/>
      <c r="B117" s="1" t="s">
        <v>664</v>
      </c>
      <c r="C117" s="10">
        <v>350</v>
      </c>
      <c r="D117" s="8">
        <f>G117-J117</f>
        <v>352</v>
      </c>
      <c r="E117" s="10">
        <v>369</v>
      </c>
      <c r="F117" s="10">
        <v>383</v>
      </c>
      <c r="G117" s="10">
        <v>1411</v>
      </c>
      <c r="H117" s="10">
        <v>752</v>
      </c>
      <c r="I117" s="10">
        <v>1123</v>
      </c>
      <c r="J117" s="10">
        <v>1059</v>
      </c>
      <c r="K117" s="1"/>
      <c r="L117" s="1"/>
      <c r="M117" s="1"/>
    </row>
    <row r="118">
      <c r="A118" s="1"/>
      <c r="B118" s="1" t="s">
        <v>665</v>
      </c>
      <c r="C118" s="10">
        <v>304</v>
      </c>
      <c r="D118" s="8">
        <f>G118-J118</f>
        <v>316</v>
      </c>
      <c r="E118" s="10">
        <v>339</v>
      </c>
      <c r="F118" s="10">
        <v>349</v>
      </c>
      <c r="G118" s="10">
        <v>1273</v>
      </c>
      <c r="H118" s="10">
        <v>688</v>
      </c>
      <c r="I118" s="10">
        <v>1017</v>
      </c>
      <c r="J118" s="10">
        <v>957</v>
      </c>
      <c r="K118" s="1"/>
      <c r="L118" s="1"/>
      <c r="M118" s="1"/>
    </row>
    <row r="119">
      <c r="A119" s="1"/>
      <c r="B119" s="1" t="s">
        <v>666</v>
      </c>
      <c r="C119" s="8">
        <f>C99-C116</f>
        <v>1970</v>
      </c>
      <c r="D119" s="8">
        <f>D99-D116</f>
        <v>1905</v>
      </c>
      <c r="E119" s="8">
        <f>E99-E116</f>
        <v>1914</v>
      </c>
      <c r="F119" s="8">
        <f>F99-F116</f>
        <v>2057</v>
      </c>
      <c r="G119" s="8">
        <f>G99-G116</f>
        <v>7292</v>
      </c>
      <c r="H119" s="8">
        <f>H99-H116</f>
        <v>3971</v>
      </c>
      <c r="I119" s="8">
        <f>I99-I116</f>
        <v>6157</v>
      </c>
      <c r="J119" s="8">
        <f>J99-J116</f>
        <v>5387</v>
      </c>
      <c r="K119" s="1"/>
      <c r="L119" s="1"/>
      <c r="M119" s="1"/>
    </row>
    <row r="120">
      <c r="A120" s="1"/>
      <c r="B120" s="1" t="s">
        <v>667</v>
      </c>
      <c r="C120" s="10">
        <v>1316</v>
      </c>
      <c r="D120" s="10">
        <v>1237</v>
      </c>
      <c r="E120" s="10">
        <v>1206</v>
      </c>
      <c r="F120" s="10">
        <v>1325</v>
      </c>
      <c r="G120" s="10">
        <v>4608</v>
      </c>
      <c r="H120" s="10">
        <v>2531</v>
      </c>
      <c r="I120" s="10">
        <v>4017</v>
      </c>
      <c r="J120" s="10">
        <v>3371</v>
      </c>
      <c r="K120" s="1"/>
      <c r="L120" s="1"/>
      <c r="M120" s="1"/>
    </row>
    <row r="121">
      <c r="A121" s="1"/>
      <c r="B121" s="1" t="s">
        <v>668</v>
      </c>
      <c r="C121" s="10">
        <v>328</v>
      </c>
      <c r="D121" s="8">
        <f>G121-J121</f>
        <v>334</v>
      </c>
      <c r="E121" s="10">
        <v>375</v>
      </c>
      <c r="F121" s="10">
        <v>365</v>
      </c>
      <c r="G121" s="10">
        <v>1315</v>
      </c>
      <c r="H121" s="10">
        <v>740</v>
      </c>
      <c r="I121" s="10">
        <v>1113</v>
      </c>
      <c r="J121" s="10">
        <v>981</v>
      </c>
      <c r="K121" s="1"/>
      <c r="L121" s="1"/>
      <c r="M121" s="1"/>
    </row>
    <row r="122">
      <c r="A122" s="1"/>
      <c r="B122" s="1" t="s">
        <v>669</v>
      </c>
      <c r="C122" s="10">
        <v>124</v>
      </c>
      <c r="D122" s="8">
        <f>G122-J122</f>
        <v>120</v>
      </c>
      <c r="E122" s="10">
        <v>128</v>
      </c>
      <c r="F122" s="10">
        <v>125</v>
      </c>
      <c r="G122" s="10">
        <v>475</v>
      </c>
      <c r="H122" s="10">
        <v>253</v>
      </c>
      <c r="I122" s="10">
        <v>380</v>
      </c>
      <c r="J122" s="10">
        <v>355</v>
      </c>
      <c r="K122" s="1"/>
      <c r="L122" s="1"/>
      <c r="M122" s="1"/>
    </row>
    <row r="123">
      <c r="A123" s="1"/>
      <c r="B123" s="1" t="s">
        <v>670</v>
      </c>
      <c r="C123" s="10">
        <v>92</v>
      </c>
      <c r="D123" s="8">
        <f>G123-J123</f>
        <v>101</v>
      </c>
      <c r="E123" s="10">
        <v>104</v>
      </c>
      <c r="F123" s="10">
        <v>104</v>
      </c>
      <c r="G123" s="10">
        <v>391</v>
      </c>
      <c r="H123" s="10">
        <v>208</v>
      </c>
      <c r="I123" s="10">
        <v>309</v>
      </c>
      <c r="J123" s="10">
        <v>290</v>
      </c>
      <c r="K123" s="1"/>
      <c r="L123" s="1"/>
      <c r="M123" s="1"/>
    </row>
    <row r="124">
      <c r="A124" s="1"/>
      <c r="B124" s="1" t="s">
        <v>671</v>
      </c>
      <c r="C124" s="8">
        <f>C100-C121</f>
        <v>325</v>
      </c>
      <c r="D124" s="8">
        <f>D100-D121</f>
        <v>279</v>
      </c>
      <c r="E124" s="8">
        <f>E100-E121</f>
        <v>272</v>
      </c>
      <c r="F124" s="8">
        <f>F100-F121</f>
        <v>314</v>
      </c>
      <c r="G124" s="8">
        <f>G100-G121</f>
        <v>1218</v>
      </c>
      <c r="H124" s="8">
        <f>H100-H121</f>
        <v>586</v>
      </c>
      <c r="I124" s="8">
        <f>I100-I121</f>
        <v>922</v>
      </c>
      <c r="J124" s="8">
        <f>J100-J121</f>
        <v>939</v>
      </c>
      <c r="K124" s="1"/>
      <c r="L124" s="1"/>
      <c r="M124" s="1"/>
    </row>
    <row r="125">
      <c r="A125" s="1"/>
      <c r="B125" s="1" t="s">
        <v>672</v>
      </c>
      <c r="C125" s="10">
        <v>109</v>
      </c>
      <c r="D125" s="10">
        <v>58</v>
      </c>
      <c r="E125" s="10">
        <v>40</v>
      </c>
      <c r="F125" s="10">
        <v>85</v>
      </c>
      <c r="G125" s="10">
        <v>352</v>
      </c>
      <c r="H125" s="10">
        <v>125</v>
      </c>
      <c r="I125" s="10">
        <v>233</v>
      </c>
      <c r="J125" s="10">
        <v>294</v>
      </c>
      <c r="K125" s="1"/>
      <c r="L125" s="1"/>
      <c r="M125" s="1"/>
    </row>
    <row r="126">
      <c r="A126" s="1"/>
      <c r="B126" s="1" t="s">
        <v>673</v>
      </c>
      <c r="C126" s="10">
        <v>1639</v>
      </c>
      <c r="D126" s="8">
        <f>G126-J126</f>
        <v>1622</v>
      </c>
      <c r="E126" s="10">
        <v>1518</v>
      </c>
      <c r="F126" s="10">
        <v>1707</v>
      </c>
      <c r="G126" s="10">
        <v>5957</v>
      </c>
      <c r="H126" s="10">
        <v>3225</v>
      </c>
      <c r="I126" s="10">
        <v>5084</v>
      </c>
      <c r="J126" s="10">
        <v>4335</v>
      </c>
      <c r="K126" s="1"/>
      <c r="L126" s="1"/>
      <c r="M126" s="1"/>
    </row>
    <row r="127">
      <c r="A127" s="1"/>
      <c r="B127" s="1" t="s">
        <v>674</v>
      </c>
      <c r="C127" s="10">
        <v>823</v>
      </c>
      <c r="D127" s="8">
        <f>G127-J127</f>
        <v>821</v>
      </c>
      <c r="E127" s="10">
        <v>826</v>
      </c>
      <c r="F127" s="10">
        <v>985</v>
      </c>
      <c r="G127" s="10">
        <v>3012</v>
      </c>
      <c r="H127" s="10">
        <v>1811</v>
      </c>
      <c r="I127" s="10">
        <v>2830</v>
      </c>
      <c r="J127" s="10">
        <v>2191</v>
      </c>
      <c r="K127" s="1"/>
      <c r="L127" s="1"/>
      <c r="M127" s="1"/>
    </row>
    <row r="128">
      <c r="A128" s="1"/>
      <c r="B128" s="1" t="s">
        <v>675</v>
      </c>
      <c r="C128" s="10">
        <v>431</v>
      </c>
      <c r="D128" s="8">
        <f>G128-J128</f>
        <v>432</v>
      </c>
      <c r="E128" s="10">
        <v>438</v>
      </c>
      <c r="F128" s="10">
        <v>487</v>
      </c>
      <c r="G128" s="10">
        <v>1681</v>
      </c>
      <c r="H128" s="10">
        <v>925</v>
      </c>
      <c r="I128" s="10">
        <v>1430</v>
      </c>
      <c r="J128" s="10">
        <v>1249</v>
      </c>
      <c r="K128" s="1"/>
      <c r="L128" s="1"/>
      <c r="M128" s="1"/>
    </row>
    <row r="129">
      <c r="A129" s="1"/>
      <c r="B129" s="1" t="s">
        <v>676</v>
      </c>
      <c r="C129" s="10">
        <v>880</v>
      </c>
      <c r="D129" s="8">
        <f>G129-J129</f>
        <v>786</v>
      </c>
      <c r="E129" s="10">
        <v>936</v>
      </c>
      <c r="F129" s="10">
        <v>891</v>
      </c>
      <c r="G129" s="10">
        <v>3519</v>
      </c>
      <c r="H129" s="10">
        <v>1827</v>
      </c>
      <c r="I129" s="10">
        <v>2799</v>
      </c>
      <c r="J129" s="10">
        <v>2733</v>
      </c>
      <c r="K129" s="1"/>
      <c r="L129" s="1"/>
      <c r="M129" s="1"/>
    </row>
    <row r="130">
      <c r="A130" s="1"/>
      <c r="B130" s="1" t="s">
        <v>677</v>
      </c>
      <c r="C130" s="10">
        <v>313</v>
      </c>
      <c r="D130" s="8">
        <f>G130-J130</f>
        <v>277</v>
      </c>
      <c r="E130" s="10">
        <v>275</v>
      </c>
      <c r="F130" s="10">
        <v>295</v>
      </c>
      <c r="G130" s="10">
        <v>1212</v>
      </c>
      <c r="H130" s="10">
        <v>570</v>
      </c>
      <c r="I130" s="10">
        <v>883</v>
      </c>
      <c r="J130" s="10">
        <v>935</v>
      </c>
      <c r="K130" s="1"/>
      <c r="L130" s="1"/>
      <c r="M130" s="1"/>
    </row>
    <row r="131">
      <c r="A131" s="1"/>
      <c r="B131" s="1" t="s">
        <v>678</v>
      </c>
      <c r="C131" s="10">
        <v>65</v>
      </c>
      <c r="D131" s="8">
        <f>G131-J131</f>
        <v>69</v>
      </c>
      <c r="E131" s="10">
        <v>76</v>
      </c>
      <c r="F131" s="10">
        <v>83</v>
      </c>
      <c r="G131" s="10">
        <v>260</v>
      </c>
      <c r="H131" s="10">
        <v>159</v>
      </c>
      <c r="I131" s="10">
        <v>233</v>
      </c>
      <c r="J131" s="10">
        <v>191</v>
      </c>
      <c r="K131" s="1"/>
      <c r="L131" s="1"/>
      <c r="M131" s="1"/>
    </row>
    <row r="132">
      <c r="A132" s="1"/>
      <c r="B132" s="1" t="s">
        <v>352</v>
      </c>
      <c r="C132" s="8"/>
      <c r="D132" s="8"/>
      <c r="E132" s="8"/>
      <c r="F132" s="10">
        <v>3044</v>
      </c>
      <c r="G132" s="10">
        <v>3200</v>
      </c>
      <c r="H132" s="10">
        <v>3044</v>
      </c>
      <c r="I132" s="8"/>
      <c r="J132" s="8"/>
      <c r="K132" s="1"/>
      <c r="L132" s="1"/>
      <c r="M132" s="1"/>
    </row>
    <row r="133">
      <c r="A133" s="1"/>
      <c r="B133" s="1" t="s">
        <v>323</v>
      </c>
      <c r="C133" s="8"/>
      <c r="D133" s="8"/>
      <c r="E133" s="8"/>
      <c r="F133" s="10">
        <v>1860</v>
      </c>
      <c r="G133" s="10">
        <v>6318</v>
      </c>
      <c r="H133" s="10">
        <v>2709</v>
      </c>
      <c r="I133" s="10">
        <v>4899</v>
      </c>
      <c r="J133" s="8"/>
      <c r="K133" s="1"/>
      <c r="L133" s="1"/>
      <c r="M133" s="1"/>
    </row>
    <row r="134">
      <c r="A134" s="1"/>
      <c r="B134" s="1" t="s">
        <v>679</v>
      </c>
      <c r="C134" s="8"/>
      <c r="D134" s="8"/>
      <c r="E134" s="8"/>
      <c r="F134" s="10">
        <v>-1305</v>
      </c>
      <c r="G134" s="10">
        <v>-4820</v>
      </c>
      <c r="H134" s="10">
        <v>-2428</v>
      </c>
      <c r="I134" s="10">
        <v>-3625</v>
      </c>
      <c r="J134" s="8"/>
      <c r="K134" s="1"/>
      <c r="L134" s="1"/>
      <c r="M134" s="1"/>
    </row>
    <row r="135">
      <c r="A135" s="1"/>
      <c r="B135" s="1" t="s">
        <v>680</v>
      </c>
      <c r="C135" s="8"/>
      <c r="D135" s="8"/>
      <c r="E135" s="8"/>
      <c r="F135" s="10">
        <v>0</v>
      </c>
      <c r="G135" s="10">
        <v>0</v>
      </c>
      <c r="H135" s="10">
        <v>260</v>
      </c>
      <c r="I135" s="10">
        <v>335</v>
      </c>
      <c r="J135" s="8"/>
      <c r="K135" s="1"/>
      <c r="L135" s="1"/>
      <c r="M135" s="1"/>
    </row>
    <row r="136">
      <c r="A136" s="1"/>
      <c r="B136" s="1" t="s">
        <v>350</v>
      </c>
      <c r="C136" s="8"/>
      <c r="D136" s="8"/>
      <c r="E136" s="8"/>
      <c r="F136" s="10">
        <v>281</v>
      </c>
      <c r="G136" s="10">
        <v>236</v>
      </c>
      <c r="H136" s="10">
        <v>-156</v>
      </c>
      <c r="I136" s="10">
        <v>111</v>
      </c>
      <c r="J136" s="8"/>
      <c r="K136" s="1"/>
      <c r="L136" s="1"/>
      <c r="M136" s="1"/>
    </row>
    <row r="137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</row>
    <row r="138">
      <c r="A138" s="1"/>
      <c r="B138" s="25" t="s">
        <v>681</v>
      </c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</row>
    <row r="139">
      <c r="A139" s="1"/>
      <c r="B139" s="1" t="s">
        <v>48</v>
      </c>
      <c r="C139" s="10">
        <v>252.49</v>
      </c>
      <c r="D139" s="1"/>
      <c r="E139" s="1"/>
      <c r="F139" s="1"/>
      <c r="G139" s="1"/>
      <c r="H139" s="1"/>
      <c r="I139" s="1"/>
      <c r="J139" s="1"/>
      <c r="K139" s="1"/>
      <c r="L139" s="1"/>
      <c r="M139" s="1"/>
    </row>
    <row r="140">
      <c r="A140" s="1"/>
      <c r="B140" s="1" t="s">
        <v>50</v>
      </c>
      <c r="C140" s="78">
        <v>1</v>
      </c>
      <c r="D140" s="89" t="s">
        <v>682</v>
      </c>
      <c r="E140" s="1"/>
      <c r="F140" s="1"/>
      <c r="G140" s="1"/>
      <c r="H140" s="1"/>
      <c r="I140" s="1"/>
      <c r="J140" s="1"/>
      <c r="K140" s="1"/>
      <c r="L140" s="1"/>
      <c r="M140" s="1"/>
    </row>
    <row r="141">
      <c r="A141" s="1"/>
      <c r="B141" s="1" t="s">
        <v>51</v>
      </c>
      <c r="C141" s="50">
        <v>0.78</v>
      </c>
      <c r="D141" s="1"/>
      <c r="E141" s="1"/>
      <c r="F141" s="1"/>
      <c r="G141" s="1"/>
      <c r="H141" s="1"/>
      <c r="I141" s="1"/>
      <c r="J141" s="1"/>
      <c r="K141" s="1"/>
      <c r="L141" s="1"/>
      <c r="M141" s="1"/>
    </row>
    <row r="142">
      <c r="A142" s="1"/>
      <c r="B142" s="1" t="s">
        <v>53</v>
      </c>
      <c r="C142" s="78">
        <v>8</v>
      </c>
      <c r="D142" s="1"/>
      <c r="E142" s="1"/>
      <c r="F142" s="1"/>
      <c r="G142" s="1"/>
      <c r="H142" s="1"/>
      <c r="I142" s="1"/>
      <c r="J142" s="1"/>
      <c r="K142" s="1"/>
      <c r="L142" s="1"/>
      <c r="M142" s="1"/>
    </row>
    <row r="143">
      <c r="A143" s="1"/>
      <c r="B143" s="1" t="s">
        <v>683</v>
      </c>
      <c r="C143" s="44">
        <f>IF(E89&gt;D89,1,0)+IF(E90&gt;D90,1,0)+IF(E91&gt;D91,1,0)+IF(E92&gt;D92,1,0)+IF(E93&gt;D93,1,0)+IF(E94&gt;D94,1,0)</f>
        <v>6</v>
      </c>
      <c r="D143" s="1"/>
      <c r="E143" s="1"/>
      <c r="F143" s="1"/>
      <c r="G143" s="1"/>
      <c r="H143" s="1"/>
      <c r="I143" s="1"/>
      <c r="J143" s="1"/>
      <c r="K143" s="1"/>
      <c r="L143" s="1"/>
      <c r="M143" s="1"/>
    </row>
    <row r="144">
      <c r="A144" s="1"/>
      <c r="B144" s="1" t="s">
        <v>684</v>
      </c>
      <c r="C144" s="44">
        <f>COUNT(E89:E94)</f>
        <v>6</v>
      </c>
      <c r="D144" s="1"/>
      <c r="E144" s="1"/>
      <c r="F144" s="1"/>
      <c r="G144" s="1"/>
      <c r="H144" s="1"/>
      <c r="I144" s="1"/>
      <c r="J144" s="1"/>
      <c r="K144" s="1"/>
      <c r="L144" s="1"/>
      <c r="M144" s="1"/>
    </row>
    <row r="145">
      <c r="A145" s="1"/>
      <c r="B145" s="1" t="s">
        <v>685</v>
      </c>
      <c r="C145" s="19">
        <f>(C142*C141+C143)/(C142+C144)</f>
        <v>0.8742857142857143</v>
      </c>
      <c r="D145" s="1"/>
      <c r="E145" s="1"/>
      <c r="F145" s="1"/>
      <c r="G145" s="1"/>
      <c r="H145" s="1"/>
      <c r="I145" s="1"/>
      <c r="J145" s="1"/>
      <c r="K145" s="1"/>
      <c r="L145" s="1"/>
      <c r="M145" s="1"/>
    </row>
    <row r="146">
      <c r="A146" s="1"/>
      <c r="B146" s="1" t="s">
        <v>686</v>
      </c>
      <c r="C146" s="113">
        <f>AVERAGE(J89:J94)</f>
        <v>0.1483333333333333</v>
      </c>
      <c r="D146" s="1"/>
      <c r="E146" s="1"/>
      <c r="F146" s="1"/>
      <c r="G146" s="1"/>
      <c r="H146" s="1"/>
      <c r="I146" s="1"/>
      <c r="J146" s="1"/>
      <c r="K146" s="1"/>
      <c r="L146" s="1"/>
      <c r="M146" s="1"/>
    </row>
    <row r="147">
      <c r="A147" s="1"/>
      <c r="B147" s="1" t="s">
        <v>687</v>
      </c>
      <c r="C147" s="113">
        <f>MEDIAN(J89:J94)</f>
        <v>0.13</v>
      </c>
      <c r="D147" s="1"/>
      <c r="E147" s="1"/>
      <c r="F147" s="1"/>
      <c r="G147" s="1"/>
      <c r="H147" s="1"/>
      <c r="I147" s="1"/>
      <c r="J147" s="1"/>
      <c r="K147" s="1"/>
      <c r="L147" s="1"/>
      <c r="M147" s="1"/>
    </row>
    <row r="148">
      <c r="A148" s="1"/>
      <c r="B148" s="1" t="s">
        <v>688</v>
      </c>
      <c r="C148" s="113">
        <f>MIN(J89:J94)</f>
        <v>0.030000000000000027</v>
      </c>
      <c r="D148" s="1"/>
      <c r="E148" s="1"/>
      <c r="F148" s="1"/>
      <c r="G148" s="1"/>
      <c r="H148" s="1"/>
      <c r="I148" s="1"/>
      <c r="J148" s="1"/>
      <c r="K148" s="1"/>
      <c r="L148" s="1"/>
      <c r="M148" s="1"/>
    </row>
    <row r="149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</row>
    <row r="150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</row>
    <row r="15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</row>
    <row r="15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</row>
    <row r="15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</row>
    <row r="15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</row>
  </sheetData>
  <legacyDrawing r:id="rId2"/>
</worksheet>
</file>