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omments12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Automotive" sheetId="3"/>
    <sheet r:id="rId4" name="Segment - Energy" sheetId="4"/>
    <sheet r:id="rId5" name="Income Statement" sheetId="5"/>
    <sheet r:id="rId6" name="Balance Sheet" sheetId="6"/>
    <sheet r:id="rId7" name="Cash Flow Statement" sheetId="7"/>
    <sheet r:id="rId8" name="Geo" sheetId="8"/>
    <sheet r:id="rId9" name="Share Count" sheetId="9"/>
    <sheet r:id="rId10" name="Guidance" sheetId="10"/>
    <sheet r:id="rId11" name="Sources" sheetId="11"/>
    <sheet r:id="rId12" name="Inputs" sheetId="12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5" authorId="0">
      <text>
        <r>
          <rPr>
            <sz val="9"/>
            <color rgb="FF000000"/>
            <rFont val="Arial"/>
            <family val="2"/>
          </rPr>
          <t>Tesla Q4-FY2025 Update (8-K Ex.99.1) exhibit991.htm | Page 26 ("positive FX impact of $0.3B") | 300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Tesla Q1-2026 Update (8-K Ex.99.1) exhibit991.htm | Page 23 ("positive FX impact of $0.9B") | 900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Tesla Q2-2026 Update (8-K Ex.99.1) exhibit991.htm | Page 25 ("positive FX impact of $0.5B") | 500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Shortcut 3Q26E assumption (see Notes column) | Page n/a | 200</t>
        </r>
      </text>
    </comment>
    <comment ref="B31" authorId="0">
      <text>
        <r>
          <rPr>
            <sz val="9"/>
            <color rgb="FF000000"/>
            <rFont val="Arial"/>
            <family val="2"/>
          </rPr>
          <t>Tesla Form 10-K FY2025 tsla-20251231.htm | Page R9 Cash Flows (Business combinations, net of cash acquired: 0) | 0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Tesla Form 10-K FY2025 tsla-20251231.htm | Page R9 Cash Flows (Business combinations, net of cash acquired: 0) | 0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Tesla Form 10-K FY2025 tsla-20251231.htm | Page R9 Cash Flows (Business combinations, net of cash acquired: 0) | 0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Tesla Form 10-Q Q2-2026 tsla-20260630.htm | Page Statements of Cash Flows (no business combinations) | 0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Tesla Form 10-Q Q2-2026 tsla-20260630.htm | Page Statements of Cash Flows (no business combinations) | 0</t>
        </r>
      </text>
    </comment>
    <comment ref="G31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9" authorId="0">
      <text>
        <r>
          <rPr>
            <sz val="9"/>
            <color rgb="FF000000"/>
            <rFont val="Arial"/>
            <family val="2"/>
          </rPr>
          <t>Tesla Q2-2026 Update (8-K Ex.99.1) exhibit991.htm | Page 5 | 435,826</t>
        </r>
      </text>
    </comment>
    <comment ref="C9" authorId="0">
      <text>
        <r>
          <rPr>
            <sz val="9"/>
            <color rgb="FF000000"/>
            <rFont val="Arial"/>
            <family val="2"/>
          </rPr>
          <t>Tesla Q2-2026 Update (8-K Ex.99.1) exhibit991.htm | Page 5 | 422,652</t>
        </r>
      </text>
    </comment>
    <comment ref="E9" authorId="0">
      <text>
        <r>
          <rPr>
            <sz val="9"/>
            <color rgb="FF000000"/>
            <rFont val="Arial"/>
            <family val="2"/>
          </rPr>
          <t>Tesla Q2-2026 Update (8-K Ex.99.1) exhibit991.htm | Page 5 | 394,611</t>
        </r>
      </text>
    </comment>
    <comment ref="F9" authorId="0">
      <text>
        <r>
          <rPr>
            <sz val="9"/>
            <color rgb="FF000000"/>
            <rFont val="Arial"/>
            <family val="2"/>
          </rPr>
          <t>Tesla Q2-2026 Update (8-K Ex.99.1) exhibit991.htm | Page 5 | 442,936</t>
        </r>
      </text>
    </comment>
    <comment ref="G9" authorId="0">
      <text>
        <r>
          <rPr>
            <sz val="9"/>
            <color rgb="FF000000"/>
            <rFont val="Arial"/>
            <family val="2"/>
          </rPr>
          <t>Tesla Q3-2026 Production, Deliveries &amp; Deployments (2026-10-02) press release | Page 1 | 457,387</t>
        </r>
      </text>
    </comment>
    <comment ref="B12" authorId="0">
      <text>
        <r>
          <rPr>
            <sz val="9"/>
            <color rgb="FF000000"/>
            <rFont val="Arial"/>
            <family val="2"/>
          </rPr>
          <t>Tesla Q2-2026 Update (8-K Ex.99.1) exhibit991.htm | Page 5 | 11,624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Tesla Q2-2026 Update (8-K Ex.99.1) exhibit991.htm | Page 5 | 11,706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Tesla Q2-2026 Update (8-K Ex.99.1) exhibit991.htm | Page 5 | 13,775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Tesla Q2-2026 Update (8-K Ex.99.1) exhibit991.htm | Page 5 | 8,822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Tesla Q3-2026 Production, Deliveries &amp; Deployments (2026-10-02) press release | Page 1 | 7,004</t>
        </r>
      </text>
    </comment>
    <comment ref="B19" authorId="0">
      <text>
        <r>
          <rPr>
            <sz val="9"/>
            <color rgb="FF000000"/>
            <rFont val="Arial"/>
            <family val="2"/>
          </rPr>
          <t>Tesla Q2-2026 Update (8-K Ex.99.1) exhibit991.htm | Page 5 | 481,166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Tesla Q2-2026 Update (8-K Ex.99.1) exhibit991.htm | Page 5 | 406,585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Tesla Q2-2026 Update (8-K Ex.99.1) exhibit991.htm | Page 5 | 341,893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Tesla Q2-2026 Update (8-K Ex.99.1) exhibit991.htm | Page 5 | 467,762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Tesla Q3-2026 Production, Deliveries &amp; Deployments (2026-10-02) press release | Page 1 | 478,237</t>
        </r>
      </text>
    </comment>
    <comment ref="B22" authorId="0">
      <text>
        <r>
          <rPr>
            <sz val="9"/>
            <color rgb="FF000000"/>
            <rFont val="Arial"/>
            <family val="2"/>
          </rPr>
          <t>Tesla Q2-2026 Update (8-K Ex.99.1) exhibit991.htm | Page 5 | 15,933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Tesla Q2-2026 Update (8-K Ex.99.1) exhibit991.htm | Page 5 | 11,642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Tesla Q2-2026 Update (8-K Ex.99.1) exhibit991.htm | Page 5 | 16,130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Tesla Q2-2026 Update (8-K Ex.99.1) exhibit991.htm | Page 5 | 12,364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Tesla Q3-2026 Production, Deliveries &amp; Deployments (2026-10-02) press release | Page 1 | 8,295</t>
        </r>
      </text>
    </comment>
    <comment ref="B34" authorId="0">
      <text>
        <r>
          <rPr>
            <sz val="9"/>
            <color rgb="FF000000"/>
            <rFont val="Arial"/>
            <family val="2"/>
          </rPr>
          <t>Tesla Q2-2026 Update (8-K Ex.99.1) exhibit991.htm | Page 5 | 10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Tesla Q2-2026 Update (8-K Ex.99.1) exhibit991.htm | Page 5 | 15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Tesla Q2-2026 Update (8-K Ex.99.1) exhibit991.htm | Page 5 | 27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Tesla Q2-2026 Update (8-K Ex.99.1) exhibit991.htm | Page 5 | 15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Tesla Q3-2026 Production, Deliveries &amp; Deployments (2026-10-02) press release | Page 1 | 0.01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Tesla Q3-2026 Production, Deliveries &amp; Deployments (2026-10-02) press release | Page 1 | 0.04</t>
        </r>
      </text>
    </comment>
    <comment ref="B44" authorId="0">
      <text>
        <r>
          <rPr>
            <sz val="9"/>
            <color rgb="FF000000"/>
            <rFont val="Arial"/>
            <family val="2"/>
          </rPr>
          <t>Tesla Q2-2026 Update (8-K Ex.99.1) exhibit991.htm | Page 5 | 10,230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Tesla Q2-2026 Update (8-K Ex.99.1) exhibit991.htm | Page 5 | 10,996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Tesla Q2-2026 Update (8-K Ex.99.1) exhibit991.htm | Page 5 | 3,430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Tesla Q2-2026 Update (8-K Ex.99.1) exhibit991.htm | Page 5 | 7,580</t>
        </r>
      </text>
    </comment>
    <comment ref="G60" authorId="0">
      <text>
        <r>
          <rPr>
            <sz val="9"/>
            <color rgb="FF000000"/>
            <rFont val="Arial"/>
            <family val="2"/>
          </rPr>
          <t>Shortcut 3Q26E assumption (see Notes column) | Page n/a | 16,000</t>
        </r>
      </text>
    </comment>
    <comment ref="B66" authorId="0">
      <text>
        <r>
          <rPr>
            <sz val="9"/>
            <color rgb="FF000000"/>
            <rFont val="Arial"/>
            <family val="2"/>
          </rPr>
          <t>Tesla Q2-2026 Update (8-K Ex.99.1) exhibit991.htm | Page 5 | 167,163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Tesla Q2-2026 Update (8-K Ex.99.1) exhibit991.htm | Page 5 | 163,075</t>
        </r>
      </text>
    </comment>
    <comment ref="E66" authorId="0">
      <text>
        <r>
          <rPr>
            <sz val="9"/>
            <color rgb="FF000000"/>
            <rFont val="Arial"/>
            <family val="2"/>
          </rPr>
          <t>Tesla Q2-2026 Update (8-K Ex.99.1) exhibit991.htm | Page 5 | 151,991</t>
        </r>
      </text>
    </comment>
    <comment ref="F66" authorId="0">
      <text>
        <r>
          <rPr>
            <sz val="9"/>
            <color rgb="FF000000"/>
            <rFont val="Arial"/>
            <family val="2"/>
          </rPr>
          <t>Tesla Q2-2026 Update (8-K Ex.99.1) exhibit991.htm | Page 5 | 141,876</t>
        </r>
      </text>
    </comment>
    <comment ref="G80" authorId="0">
      <text>
        <r>
          <rPr>
            <sz val="9"/>
            <color rgb="FF000000"/>
            <rFont val="Arial"/>
            <family val="2"/>
          </rPr>
          <t>Shortcut 3Q26E assumption (see Notes column) | Page n/a | 0.17</t>
        </r>
      </text>
    </comment>
    <comment ref="B83" authorId="0">
      <text>
        <r>
          <rPr>
            <sz val="9"/>
            <color rgb="FF000000"/>
            <rFont val="Arial"/>
            <family val="2"/>
          </rPr>
          <t>Tesla Q2-2026 Update (8-K Ex.99.1) exhibit991.htm | Page 5 | 1.04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Tesla Q2-2026 Update (8-K Ex.99.1) exhibit991.htm | Page 5 | 1.1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Tesla Q2-2026 Update (8-K Ex.99.1) exhibit991.htm | Page 5 | 1.28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Tesla Q2-2026 Update (8-K Ex.99.1) exhibit991.htm | Page 5 | 1.48</t>
        </r>
      </text>
    </comment>
    <comment ref="B90" authorId="0">
      <text>
        <r>
          <rPr>
            <sz val="9"/>
            <color rgb="FF000000"/>
            <rFont val="Arial"/>
            <family val="2"/>
          </rPr>
          <t>Tesla Q2-2026 Update (8-K Ex.99.1) exhibit991.htm | Page 5 | 8.5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Tesla Q2-2026 Update (8-K Ex.99.1) exhibit991.htm | Page 5 | 8.9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Tesla Q2-2026 Update (8-K Ex.99.1) exhibit991.htm | Page 5 | 9.2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Tesla Q2-2026 Update (8-K Ex.99.1) exhibit991.htm | Page 5 | 9.7</t>
        </r>
      </text>
    </comment>
    <comment ref="G99" authorId="0">
      <text>
        <r>
          <rPr>
            <sz val="9"/>
            <color rgb="FF000000"/>
            <rFont val="Arial"/>
            <family val="2"/>
          </rPr>
          <t>Shortcut 3Q26E assumption (see Notes column) | Page n/a | 2,400</t>
        </r>
      </text>
    </comment>
    <comment ref="B102" authorId="0">
      <text>
        <r>
          <rPr>
            <sz val="9"/>
            <color rgb="FF000000"/>
            <rFont val="Arial"/>
            <family val="2"/>
          </rPr>
          <t>Tesla Q2-2026 Update (8-K Ex.99.1) exhibit991.htm | Page 5 | 73,817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Tesla Q2-2026 Update (8-K Ex.99.1) exhibit991.htm | Page 5 | 77,682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Tesla Q2-2026 Update (8-K Ex.99.1) exhibit991.htm | Page 5 | 79,918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Tesla Q2-2026 Update (8-K Ex.99.1) exhibit991.htm | Page 5 | 82,357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Shortcut 3Q26E assumption (see Notes column) | Page n/a | 41,760</t>
        </r>
      </text>
    </comment>
    <comment ref="B109" authorId="0">
      <text>
        <r>
          <rPr>
            <sz val="9"/>
            <color rgb="FF000000"/>
            <rFont val="Arial"/>
            <family val="2"/>
          </rPr>
          <t>Tesla Q2-2026 Update (8-K Ex.99.1) exhibit991.htm | Page 27 | 20,359</t>
        </r>
      </text>
    </comment>
    <comment ref="C109" authorId="0">
      <text>
        <r>
          <rPr>
            <sz val="9"/>
            <color rgb="FF000000"/>
            <rFont val="Arial"/>
            <family val="2"/>
          </rPr>
          <t>Tesla Q2-2026 Update (8-K Ex.99.1) exhibit991.htm | Page 27 | 16,750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Tesla Q2-2026 Update (8-K Ex.99.1) exhibit991.htm | Page 27 | 15,473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Tesla Q2-2026 Update (8-K Ex.99.1) exhibit991.htm | Page 27 | 20,006</t>
        </r>
      </text>
    </comment>
    <comment ref="B112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B115" authorId="0">
      <text>
        <r>
          <rPr>
            <sz val="9"/>
            <color rgb="FF000000"/>
            <rFont val="Arial"/>
            <family val="2"/>
          </rPr>
          <t>Tesla Q2-2026 Update (8-K Ex.99.1) exhibit991.htm | Page 27 | 417</t>
        </r>
      </text>
    </comment>
    <comment ref="C115" authorId="0">
      <text>
        <r>
          <rPr>
            <sz val="9"/>
            <color rgb="FF000000"/>
            <rFont val="Arial"/>
            <family val="2"/>
          </rPr>
          <t>Tesla Q2-2026 Update (8-K Ex.99.1) exhibit991.htm | Page 27 | 542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Tesla Q2-2026 Update (8-K Ex.99.1) exhibit991.htm | Page 27 | 380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Tesla Q2-2026 Update (8-K Ex.99.1) exhibit991.htm | Page 27 | 146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Shortcut 3Q26E assumption (see Notes column) | Page n/a | 150</t>
        </r>
      </text>
    </comment>
    <comment ref="B118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Shortcut 3Q26E assumption (see Notes column) | Page n/a | 2,450</t>
        </r>
      </text>
    </comment>
    <comment ref="B124" authorId="0">
      <text>
        <r>
          <rPr>
            <sz val="9"/>
            <color rgb="FF000000"/>
            <rFont val="Arial"/>
            <family val="2"/>
          </rPr>
          <t>Tesla Q2-2026 Update (8-K Ex.99.1) exhibit991.htm | Page 27 | 429</t>
        </r>
      </text>
    </comment>
    <comment ref="C124" authorId="0">
      <text>
        <r>
          <rPr>
            <sz val="9"/>
            <color rgb="FF000000"/>
            <rFont val="Arial"/>
            <family val="2"/>
          </rPr>
          <t>Tesla Q2-2026 Update (8-K Ex.99.1) exhibit991.htm | Page 27 | 401</t>
        </r>
      </text>
    </comment>
    <comment ref="E124" authorId="0">
      <text>
        <r>
          <rPr>
            <sz val="9"/>
            <color rgb="FF000000"/>
            <rFont val="Arial"/>
            <family val="2"/>
          </rPr>
          <t>Tesla Q2-2026 Update (8-K Ex.99.1) exhibit991.htm | Page 27 | 381</t>
        </r>
      </text>
    </comment>
    <comment ref="F124" authorId="0">
      <text>
        <r>
          <rPr>
            <sz val="9"/>
            <color rgb="FF000000"/>
            <rFont val="Arial"/>
            <family val="2"/>
          </rPr>
          <t>Tesla Q2-2026 Update (8-K Ex.99.1) exhibit991.htm | Page 27 | 364</t>
        </r>
      </text>
    </comment>
    <comment ref="B127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B133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G136" authorId="0">
      <text>
        <r>
          <rPr>
            <sz val="9"/>
            <color rgb="FF000000"/>
            <rFont val="Arial"/>
            <family val="2"/>
          </rPr>
          <t>Shortcut 3Q26E assumption (see Notes column) | Page n/a | 480</t>
        </r>
      </text>
    </comment>
    <comment ref="B139" authorId="0">
      <text>
        <r>
          <rPr>
            <sz val="9"/>
            <color rgb="FF000000"/>
            <rFont val="Arial"/>
            <family val="2"/>
          </rPr>
          <t>Tesla Q2-2026 Update (8-K Ex.99.1) exhibit991.htm | Page 27 | 3,475</t>
        </r>
      </text>
    </comment>
    <comment ref="C139" authorId="0">
      <text>
        <r>
          <rPr>
            <sz val="9"/>
            <color rgb="FF000000"/>
            <rFont val="Arial"/>
            <family val="2"/>
          </rPr>
          <t>Tesla Q2-2026 Update (8-K Ex.99.1) exhibit991.htm | Page 27 | 3,371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Tesla Q2-2026 Update (8-K Ex.99.1) exhibit991.htm | Page 27 | 3,745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Tesla Q2-2026 Update (8-K Ex.99.1) exhibit991.htm | Page 27 | 4,581</t>
        </r>
      </text>
    </comment>
    <comment ref="B142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B148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B151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24,680</t>
        </r>
      </text>
    </comment>
    <comment ref="E151" authorId="0">
      <text>
        <r>
          <rPr>
            <sz val="9"/>
            <color rgb="FF000000"/>
            <rFont val="Arial"/>
            <family val="2"/>
          </rPr>
          <t>Tesla Form 10-Q Q1-2026 tsla-20260331.htm | Page Note 13 Segment Reporting | 19,979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Tesla Form 10-Q Q2-2026 tsla-20260630.htm | Page Note 14 Segment Reporting | 25,097</t>
        </r>
      </text>
    </comment>
    <comment ref="G154" authorId="0">
      <text>
        <r>
          <rPr>
            <sz val="9"/>
            <color rgb="FF000000"/>
            <rFont val="Arial"/>
            <family val="2"/>
          </rPr>
          <t>Shortcut 3Q26E assumption (see Notes column) | Page n/a | 35,100</t>
        </r>
      </text>
    </comment>
    <comment ref="B157" authorId="0">
      <text>
        <r>
          <rPr>
            <sz val="9"/>
            <color rgb="FF000000"/>
            <rFont val="Arial"/>
            <family val="2"/>
          </rPr>
          <t>Tesla Q2-2026 Update (8-K Ex.99.1) exhibit991.htm | Page 27 | 17,365</t>
        </r>
      </text>
    </comment>
    <comment ref="C157" authorId="0">
      <text>
        <r>
          <rPr>
            <sz val="9"/>
            <color rgb="FF000000"/>
            <rFont val="Arial"/>
            <family val="2"/>
          </rPr>
          <t>Tesla Q2-2026 Update (8-K Ex.99.1) exhibit991.htm | Page 27 | 13,874</t>
        </r>
      </text>
    </comment>
    <comment ref="E157" authorId="0">
      <text>
        <r>
          <rPr>
            <sz val="9"/>
            <color rgb="FF000000"/>
            <rFont val="Arial"/>
            <family val="2"/>
          </rPr>
          <t>Tesla Q2-2026 Update (8-K Ex.99.1) exhibit991.htm | Page 27 | 12,616</t>
        </r>
      </text>
    </comment>
    <comment ref="F157" authorId="0">
      <text>
        <r>
          <rPr>
            <sz val="9"/>
            <color rgb="FF000000"/>
            <rFont val="Arial"/>
            <family val="2"/>
          </rPr>
          <t>Tesla Q2-2026 Update (8-K Ex.99.1) exhibit991.htm | Page 27 | 16,866</t>
        </r>
      </text>
    </comment>
    <comment ref="G160" authorId="0">
      <text>
        <r>
          <rPr>
            <sz val="9"/>
            <color rgb="FF000000"/>
            <rFont val="Arial"/>
            <family val="2"/>
          </rPr>
          <t>Shortcut 3Q26E assumption (see Notes column) | Page n/a | 0.486</t>
        </r>
      </text>
    </comment>
    <comment ref="B163" authorId="0">
      <text>
        <r>
          <rPr>
            <sz val="9"/>
            <color rgb="FF000000"/>
            <rFont val="Arial"/>
            <family val="2"/>
          </rPr>
          <t>Tesla Q2-2026 Update (8-K Ex.99.1) exhibit991.htm | Page 27 | 225</t>
        </r>
      </text>
    </comment>
    <comment ref="C163" authorId="0">
      <text>
        <r>
          <rPr>
            <sz val="9"/>
            <color rgb="FF000000"/>
            <rFont val="Arial"/>
            <family val="2"/>
          </rPr>
          <t>Tesla Q2-2026 Update (8-K Ex.99.1) exhibit991.htm | Page 27 | 206</t>
        </r>
      </text>
    </comment>
    <comment ref="E163" authorId="0">
      <text>
        <r>
          <rPr>
            <sz val="9"/>
            <color rgb="FF000000"/>
            <rFont val="Arial"/>
            <family val="2"/>
          </rPr>
          <t>Tesla Q2-2026 Update (8-K Ex.99.1) exhibit991.htm | Page 27 | 196</t>
        </r>
      </text>
    </comment>
    <comment ref="F163" authorId="0">
      <text>
        <r>
          <rPr>
            <sz val="9"/>
            <color rgb="FF000000"/>
            <rFont val="Arial"/>
            <family val="2"/>
          </rPr>
          <t>Tesla Q2-2026 Update (8-K Ex.99.1) exhibit991.htm | Page 27 | 187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Shortcut 3Q26E assumption (see Notes column) | Page n/a | 0.138</t>
        </r>
      </text>
    </comment>
    <comment ref="B172" authorId="0">
      <text>
        <r>
          <rPr>
            <sz val="9"/>
            <color rgb="FF000000"/>
            <rFont val="Arial"/>
            <family val="2"/>
          </rPr>
          <t>Tesla Q2-2026 Update (8-K Ex.99.1) exhibit991.htm | Page 27 | 3,109</t>
        </r>
      </text>
    </comment>
    <comment ref="C172" authorId="0">
      <text>
        <r>
          <rPr>
            <sz val="9"/>
            <color rgb="FF000000"/>
            <rFont val="Arial"/>
            <family val="2"/>
          </rPr>
          <t>Tesla Q2-2026 Update (8-K Ex.99.1) exhibit991.htm | Page 27 | 3,073</t>
        </r>
      </text>
    </comment>
    <comment ref="E172" authorId="0">
      <text>
        <r>
          <rPr>
            <sz val="9"/>
            <color rgb="FF000000"/>
            <rFont val="Arial"/>
            <family val="2"/>
          </rPr>
          <t>Tesla Q2-2026 Update (8-K Ex.99.1) exhibit991.htm | Page 27 | 3,399</t>
        </r>
      </text>
    </comment>
    <comment ref="F172" authorId="0">
      <text>
        <r>
          <rPr>
            <sz val="9"/>
            <color rgb="FF000000"/>
            <rFont val="Arial"/>
            <family val="2"/>
          </rPr>
          <t>Tesla Q2-2026 Update (8-K Ex.99.1) exhibit991.htm | Page 27 | 3,933</t>
        </r>
      </text>
    </comment>
    <comment ref="B209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959</t>
        </r>
      </text>
    </comment>
    <comment ref="D209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3,780</t>
        </r>
      </text>
    </comment>
    <comment ref="E209" authorId="0">
      <text>
        <r>
          <rPr>
            <sz val="9"/>
            <color rgb="FF000000"/>
            <rFont val="Arial"/>
            <family val="2"/>
          </rPr>
          <t>Tesla Form 10-Q Q1-2026 tsla-20260331.htm | Page Note 13 Segment Reporting | 1,020</t>
        </r>
      </text>
    </comment>
    <comment ref="F209" authorId="0">
      <text>
        <r>
          <rPr>
            <sz val="9"/>
            <color rgb="FF000000"/>
            <rFont val="Arial"/>
            <family val="2"/>
          </rPr>
          <t>Tesla Form 10-Q Q2-2026 tsla-20260630.htm | Page Note 14 Segment Reporting | 927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9" authorId="0">
      <text>
        <r>
          <rPr>
            <sz val="9"/>
            <color rgb="FF000000"/>
            <rFont val="Arial"/>
            <family val="2"/>
          </rPr>
          <t>Tesla Q2-2026 Update (8-K Ex.99.1) exhibit991.htm | Page 5 | 12.5</t>
        </r>
      </text>
    </comment>
    <comment ref="C9" authorId="0">
      <text>
        <r>
          <rPr>
            <sz val="9"/>
            <color rgb="FF000000"/>
            <rFont val="Arial"/>
            <family val="2"/>
          </rPr>
          <t>Tesla Q2-2026 Update (8-K Ex.99.1) exhibit991.htm | Page 5 | 14.2</t>
        </r>
      </text>
    </comment>
    <comment ref="E9" authorId="0">
      <text>
        <r>
          <rPr>
            <sz val="9"/>
            <color rgb="FF000000"/>
            <rFont val="Arial"/>
            <family val="2"/>
          </rPr>
          <t>Tesla Q2-2026 Update (8-K Ex.99.1) exhibit991.htm | Page 5 | 8.8</t>
        </r>
      </text>
    </comment>
    <comment ref="F9" authorId="0">
      <text>
        <r>
          <rPr>
            <sz val="9"/>
            <color rgb="FF000000"/>
            <rFont val="Arial"/>
            <family val="2"/>
          </rPr>
          <t>Tesla Q2-2026 Update (8-K Ex.99.1) exhibit991.htm | Page 5 | 13.5</t>
        </r>
      </text>
    </comment>
    <comment ref="G9" authorId="0">
      <text>
        <r>
          <rPr>
            <sz val="9"/>
            <color rgb="FF000000"/>
            <rFont val="Arial"/>
            <family val="2"/>
          </rPr>
          <t>Tesla Q3-2026 Production, Deliveries &amp; Deployments (2026-10-02) press release | Page 1 | 13.7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Shortcut 3Q26E assumption (see Notes column) | Page n/a | 225</t>
        </r>
      </text>
    </comment>
    <comment ref="B16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3,281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Tesla Form 10-Q Q1-2026 tsla-20260331.htm | Page Note 2 Revenue by source | 2,305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Tesla Form 10-Q Q2-2026 tsla-20260630.htm | Page Note 2 Revenue by source | 2,998</t>
        </r>
      </text>
    </comment>
    <comment ref="B19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B22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134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Tesla Form 10-Q Q1-2026 tsla-20260331.htm | Page Note 2 Revenue by source | 103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Tesla Form 10-Q Q2-2026 tsla-20260630.htm | Page Note 2 Revenue by source | 141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Shortcut 3Q26E assumption (see Notes column) | Page n/a | 140</t>
        </r>
      </text>
    </comment>
    <comment ref="B25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B31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Tesla Form 10-Q Q2-2026 tsla-20260630.htm | Page Note 13 Related Party (six months $405m less 3Q $318m) | 87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Tesla Form 10-Q Q2-2026 tsla-20260630.htm | Page Note 13 Related Party | 318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Shortcut 3Q26E assumption (see Notes column) | Page n/a | 0.26</t>
        </r>
      </text>
    </comment>
    <comment ref="B41" authorId="0">
      <text>
        <r>
          <rPr>
            <sz val="9"/>
            <color rgb="FF000000"/>
            <rFont val="Arial"/>
            <family val="2"/>
          </rPr>
          <t>Tesla Q2-2026 Update (8-K Ex.99.1) exhibit991.htm | Page 27 | 2,342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Tesla Q2-2026 Update (8-K Ex.99.1) exhibit991.htm | Page 27 | 2,739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Tesla Q2-2026 Update (8-K Ex.99.1) exhibit991.htm | Page 27 | 1,456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Tesla Q2-2026 Update (8-K Ex.99.1) exhibit991.htm | Page 27 | 2,499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Tesla Q2-2026 earnings call transcript (2026-07-22) | Page CFO remarks ("tariff benefits we recognized in Q1 of more than $200 million") | 200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Tesla Q2-2026 earnings call transcript (2026-07-22) | Page CFO remarks ("warranty true-up in the quarter of about $240 million") | (240)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53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92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355</t>
        </r>
      </text>
    </comment>
    <comment ref="E53" authorId="0">
      <text>
        <r>
          <rPr>
            <sz val="9"/>
            <color rgb="FF000000"/>
            <rFont val="Arial"/>
            <family val="2"/>
          </rPr>
          <t>Tesla Form 10-Q Q1-2026 tsla-20260331.htm | Page Note 13 Segment Reporting | 95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Tesla Form 10-Q Q2-2026 tsla-20260630.htm | Page Note 14 Segment Reporting | 97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56" authorId="0">
      <text>
        <r>
          <rPr>
            <sz val="9"/>
            <color rgb="FF000000"/>
            <rFont val="Arial"/>
            <family val="2"/>
          </rPr>
          <t>Tesla Q2-2026 Update (8-K Ex.99.1) exhibit991.htm | Page 27 | 1,630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Tesla Q2-2026 Update (8-K Ex.99.1) exhibit991.htm | Page 27 | 1,783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Tesla Q2-2026 Update (8-K Ex.99.1) exhibit991.htm | Page 27 | 1,946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Tesla Q2-2026 Update (8-K Ex.99.1) exhibit991.htm | Page 27 | 2,371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Shortcut 3Q26E assumption (see Notes column) | Page n/a | 2,520</t>
        </r>
      </text>
    </comment>
    <comment ref="B62" authorId="0">
      <text>
        <r>
          <rPr>
            <sz val="9"/>
            <color rgb="FF000000"/>
            <rFont val="Arial"/>
            <family val="2"/>
          </rPr>
          <t>Tesla Q2-2026 Update (8-K Ex.99.1) exhibit991.htm | Page 27 | 1,562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Tesla Q2-2026 Update (8-K Ex.99.1) exhibit991.htm | Page 27 | 1,655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Tesla Q2-2026 Update (8-K Ex.99.1) exhibit991.htm | Page 27 | 1,833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Tesla Q2-2026 Update (8-K Ex.99.1) exhibit991.htm | Page 27 | 1,982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Shortcut 3Q26E assumption (see Notes column) | Page n/a | 1,930</t>
        </r>
      </text>
    </comment>
    <comment ref="B68" authorId="0">
      <text>
        <r>
          <rPr>
            <sz val="9"/>
            <color rgb="FF000000"/>
            <rFont val="Arial"/>
            <family val="2"/>
          </rPr>
          <t>Tesla Q2-2026 Update (8-K Ex.99.1) exhibit991.htm | Page 27 | 238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Tesla Q2-2026 Update (8-K Ex.99.1) exhibit991.htm | Page 27 | 162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Tesla Q2-2026 Update (8-K Ex.99.1) exhibit991.htm | Page 27 | 0</t>
        </r>
      </text>
    </comment>
    <comment ref="F68" authorId="0">
      <text>
        <r>
          <rPr>
            <sz val="9"/>
            <color rgb="FF000000"/>
            <rFont val="Arial"/>
            <family val="2"/>
          </rPr>
          <t>Tesla Q2-2026 Update (8-K Ex.99.1) exhibit991.htm | Page 27 | 0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81" authorId="0">
      <text>
        <r>
          <rPr>
            <sz val="9"/>
            <color rgb="FF000000"/>
            <rFont val="Arial"/>
            <family val="2"/>
          </rPr>
          <t>Tesla Q2-2026 Update (8-K Ex.99.1) exhibit991.htm | Page 27 | 439</t>
        </r>
      </text>
    </comment>
    <comment ref="C81" authorId="0">
      <text>
        <r>
          <rPr>
            <sz val="9"/>
            <color rgb="FF000000"/>
            <rFont val="Arial"/>
            <family val="2"/>
          </rPr>
          <t>Tesla Q2-2026 Update (8-K Ex.99.1) exhibit991.htm | Page 27 | 449</t>
        </r>
      </text>
    </comment>
    <comment ref="E81" authorId="0">
      <text>
        <r>
          <rPr>
            <sz val="9"/>
            <color rgb="FF000000"/>
            <rFont val="Arial"/>
            <family val="2"/>
          </rPr>
          <t>Tesla Q2-2026 Update (8-K Ex.99.1) exhibit991.htm | Page 27 | 434</t>
        </r>
      </text>
    </comment>
    <comment ref="F81" authorId="0">
      <text>
        <r>
          <rPr>
            <sz val="9"/>
            <color rgb="FF000000"/>
            <rFont val="Arial"/>
            <family val="2"/>
          </rPr>
          <t>Tesla Q2-2026 Update (8-K Ex.99.1) exhibit991.htm | Page 27 | 422</t>
        </r>
      </text>
    </comment>
    <comment ref="G81" authorId="0">
      <text>
        <r>
          <rPr>
            <sz val="9"/>
            <color rgb="FF000000"/>
            <rFont val="Arial"/>
            <family val="2"/>
          </rPr>
          <t>Shortcut 3Q26E assumption (see Notes column) | Page n/a | 410</t>
        </r>
      </text>
    </comment>
    <comment ref="B84" authorId="0">
      <text>
        <r>
          <rPr>
            <sz val="9"/>
            <color rgb="FF000000"/>
            <rFont val="Arial"/>
            <family val="2"/>
          </rPr>
          <t>Tesla Q2-2026 Update (8-K Ex.99.1) exhibit991.htm | Page 27 | (76)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Tesla Q2-2026 Update (8-K Ex.99.1) exhibit991.htm | Page 27 | (85)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Tesla Q2-2026 Update (8-K Ex.99.1) exhibit991.htm | Page 27 | (92)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Tesla Q2-2026 Update (8-K Ex.99.1) exhibit991.htm | Page 27 | (81)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Shortcut 3Q26E assumption (see Notes column) | Page n/a | (90)</t>
        </r>
      </text>
    </comment>
    <comment ref="B87" authorId="0">
      <text>
        <r>
          <rPr>
            <sz val="9"/>
            <color rgb="FF000000"/>
            <rFont val="Arial"/>
            <family val="2"/>
          </rPr>
          <t>Tesla Q2-2026 Update (8-K Ex.99.1) exhibit991.htm | Page 27 | (28)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Tesla Q2-2026 Update (8-K Ex.99.1) exhibit991.htm | Page 27 | (592)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Tesla Q2-2026 Update (8-K Ex.99.1) exhibit991.htm | Page 27 | (535)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Tesla Q2-2026 Update (8-K Ex.99.1) exhibit991.htm | Page 27 | 590</t>
        </r>
      </text>
    </comment>
    <comment ref="B90" authorId="0">
      <text>
        <r>
          <rPr>
            <sz val="9"/>
            <color rgb="FF000000"/>
            <rFont val="Arial"/>
            <family val="2"/>
          </rPr>
          <t>Tesla Q2-2026 Update (8-K Ex.99.1) exhibit991.htm | Page 29 | 106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Tesla Q2-2026 Update (8-K Ex.99.1) exhibit991.htm | Page 29 | 292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Tesla Q2-2026 Update (8-K Ex.99.1) exhibit991.htm | Page 29 | 287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Tesla Q2-2026 Update (8-K Ex.99.1) exhibit991.htm | Page 29 | 312</t>
        </r>
      </text>
    </comment>
    <comment ref="B93" authorId="0">
      <text>
        <r>
          <rPr>
            <sz val="9"/>
            <color rgb="FF000000"/>
            <rFont val="Arial"/>
            <family val="2"/>
          </rPr>
          <t>Tesla Q2-2026 Update (8-K Ex.99.1) exhibit991.htm | Page 30 | (80)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Tesla Q2-2026 Update (8-K Ex.99.1) exhibit991.htm | Page 30 | 307</t>
        </r>
      </text>
    </comment>
    <comment ref="E93" authorId="0">
      <text>
        <r>
          <rPr>
            <sz val="9"/>
            <color rgb="FF000000"/>
            <rFont val="Arial"/>
            <family val="2"/>
          </rPr>
          <t>Tesla Q2-2026 Update (8-K Ex.99.1) exhibit991.htm | Page 30 | 222</t>
        </r>
      </text>
    </comment>
    <comment ref="F93" authorId="0">
      <text>
        <r>
          <rPr>
            <sz val="9"/>
            <color rgb="FF000000"/>
            <rFont val="Arial"/>
            <family val="2"/>
          </rPr>
          <t>Tesla Q2-2026 Update (8-K Ex.99.1) exhibit991.htm | Page 30 | 112</t>
        </r>
      </text>
    </comment>
    <comment ref="B96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E96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F96" authorId="0">
      <text>
        <r>
          <rPr>
            <sz val="9"/>
            <color rgb="FF000000"/>
            <rFont val="Arial"/>
            <family val="2"/>
          </rPr>
          <t>Tesla Q2-2026 Update (8-K Ex.99.1) exhibit991.htm | Page 30 | 1,005</t>
        </r>
      </text>
    </comment>
    <comment ref="G99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105" authorId="0">
      <text>
        <r>
          <rPr>
            <sz val="9"/>
            <color rgb="FF000000"/>
            <rFont val="Arial"/>
            <family val="2"/>
          </rPr>
          <t>Tesla Q2-2026 Update (8-K Ex.99.1) exhibit991.htm | Page 27 | 570</t>
        </r>
      </text>
    </comment>
    <comment ref="C105" authorId="0">
      <text>
        <r>
          <rPr>
            <sz val="9"/>
            <color rgb="FF000000"/>
            <rFont val="Arial"/>
            <family val="2"/>
          </rPr>
          <t>Tesla Q2-2026 Update (8-K Ex.99.1) exhibit991.htm | Page 27 | 325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Tesla Q2-2026 Update (8-K Ex.99.1) exhibit991.htm | Page 27 | 257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Tesla Q2-2026 Update (8-K Ex.99.1) exhibit991.htm | Page 27 | 201</t>
        </r>
      </text>
    </comment>
    <comment ref="B114" authorId="0">
      <text>
        <r>
          <rPr>
            <sz val="9"/>
            <color rgb="FF000000"/>
            <rFont val="Arial"/>
            <family val="2"/>
          </rPr>
          <t>Tesla Q2-2026 Update (8-K Ex.99.1) exhibit991.htm | Page 27 | 16</t>
        </r>
      </text>
    </comment>
    <comment ref="C114" authorId="0">
      <text>
        <r>
          <rPr>
            <sz val="9"/>
            <color rgb="FF000000"/>
            <rFont val="Arial"/>
            <family val="2"/>
          </rPr>
          <t>Tesla Q2-2026 Update (8-K Ex.99.1) exhibit991.htm | Page 27 | 16</t>
        </r>
      </text>
    </comment>
    <comment ref="E114" authorId="0">
      <text>
        <r>
          <rPr>
            <sz val="9"/>
            <color rgb="FF000000"/>
            <rFont val="Arial"/>
            <family val="2"/>
          </rPr>
          <t>Tesla Q2-2026 Update (8-K Ex.99.1) exhibit991.htm | Page 27 | 14</t>
        </r>
      </text>
    </comment>
    <comment ref="F114" authorId="0">
      <text>
        <r>
          <rPr>
            <sz val="9"/>
            <color rgb="FF000000"/>
            <rFont val="Arial"/>
            <family val="2"/>
          </rPr>
          <t>Tesla Q2-2026 Update (8-K Ex.99.1) exhibit991.htm | Page 27 | 14</t>
        </r>
      </text>
    </comment>
    <comment ref="G114" authorId="0">
      <text>
        <r>
          <rPr>
            <sz val="9"/>
            <color rgb="FF000000"/>
            <rFont val="Arial"/>
            <family val="2"/>
          </rPr>
          <t>Shortcut 3Q26E assumption (see Notes column) | Page n/a | 14</t>
        </r>
      </text>
    </comment>
    <comment ref="B120" authorId="0">
      <text>
        <r>
          <rPr>
            <sz val="9"/>
            <color rgb="FF000000"/>
            <rFont val="Arial"/>
            <family val="2"/>
          </rPr>
          <t>Tesla Q2-2026 Update (8-K Ex.99.1) exhibit991.htm | Page 27 | 1,373</t>
        </r>
      </text>
    </comment>
    <comment ref="C120" authorId="0">
      <text>
        <r>
          <rPr>
            <sz val="9"/>
            <color rgb="FF000000"/>
            <rFont val="Arial"/>
            <family val="2"/>
          </rPr>
          <t>Tesla Q2-2026 Update (8-K Ex.99.1) exhibit991.htm | Page 27 | 840</t>
        </r>
      </text>
    </comment>
    <comment ref="D120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3,794</t>
        </r>
      </text>
    </comment>
    <comment ref="E120" authorId="0">
      <text>
        <r>
          <rPr>
            <sz val="9"/>
            <color rgb="FF000000"/>
            <rFont val="Arial"/>
            <family val="2"/>
          </rPr>
          <t>Tesla Q2-2026 Update (8-K Ex.99.1) exhibit991.htm | Page 27 | 477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Tesla Q2-2026 Update (8-K Ex.99.1) exhibit991.htm | Page 27 | 1,114</t>
        </r>
      </text>
    </comment>
    <comment ref="B122" authorId="0">
      <text>
        <r>
          <rPr>
            <sz val="9"/>
            <color rgb="FF000000"/>
            <rFont val="Arial"/>
            <family val="2"/>
          </rPr>
          <t>Tesla Q2-2026 Update (8-K Ex.99.1) exhibit991.htm | Page 27 | 0</t>
        </r>
      </text>
    </comment>
    <comment ref="C122" authorId="0">
      <text>
        <r>
          <rPr>
            <sz val="9"/>
            <color rgb="FF000000"/>
            <rFont val="Arial"/>
            <family val="2"/>
          </rPr>
          <t>Tesla Q2-2026 Update (8-K Ex.99.1) exhibit991.htm | Page 27 | 0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Tesla Q2-2026 Update (8-K Ex.99.1) exhibit991.htm | Page 27 | 0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Tesla Q2-2026 Update (8-K Ex.99.1) exhibit991.htm | Page 27 | 2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141" authorId="0">
      <text>
        <r>
          <rPr>
            <sz val="9"/>
            <color rgb="FF000000"/>
            <rFont val="Arial"/>
            <family val="2"/>
          </rPr>
          <t>Tesla Q2-2026 Update (8-K Ex.99.1) exhibit991.htm | Page 27 | 0.39</t>
        </r>
      </text>
    </comment>
    <comment ref="C141" authorId="0">
      <text>
        <r>
          <rPr>
            <sz val="9"/>
            <color rgb="FF000000"/>
            <rFont val="Arial"/>
            <family val="2"/>
          </rPr>
          <t>Tesla Q2-2026 Update (8-K Ex.99.1) exhibit991.htm | Page 27 | 0.24</t>
        </r>
      </text>
    </comment>
    <comment ref="D141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1.08</t>
        </r>
      </text>
    </comment>
    <comment ref="E141" authorId="0">
      <text>
        <r>
          <rPr>
            <sz val="9"/>
            <color rgb="FF000000"/>
            <rFont val="Arial"/>
            <family val="2"/>
          </rPr>
          <t>Tesla Q2-2026 Update (8-K Ex.99.1) exhibit991.htm | Page 27 | 0.13</t>
        </r>
      </text>
    </comment>
    <comment ref="F141" authorId="0">
      <text>
        <r>
          <rPr>
            <sz val="9"/>
            <color rgb="FF000000"/>
            <rFont val="Arial"/>
            <family val="2"/>
          </rPr>
          <t>Tesla Q2-2026 Update (8-K Ex.99.1) exhibit991.htm | Page 27 | 0.32</t>
        </r>
      </text>
    </comment>
    <comment ref="B154" authorId="0">
      <text>
        <r>
          <rPr>
            <sz val="9"/>
            <color rgb="FF000000"/>
            <rFont val="Arial"/>
            <family val="2"/>
          </rPr>
          <t>Tesla Q2-2026 Update (8-K Ex.99.1) exhibit991.htm | Page 30 | 459</t>
        </r>
      </text>
    </comment>
    <comment ref="C154" authorId="0">
      <text>
        <r>
          <rPr>
            <sz val="9"/>
            <color rgb="FF000000"/>
            <rFont val="Arial"/>
            <family val="2"/>
          </rPr>
          <t>Tesla Q2-2026 Update (8-K Ex.99.1) exhibit991.htm | Page 30 | 682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Tesla Q2-2026 Update (8-K Ex.99.1) exhibit991.htm | Page 30 | 803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Tesla Q2-2026 Update (8-K Ex.99.1) exhibit991.htm | Page 30 | 989</t>
        </r>
      </text>
    </comment>
    <comment ref="B157" authorId="0">
      <text>
        <r>
          <rPr>
            <sz val="9"/>
            <color rgb="FF000000"/>
            <rFont val="Arial"/>
            <family val="2"/>
          </rPr>
          <t>Tesla Q2-2026 Update (8-K Ex.99.1) exhibit991.htm | Page 30 | (62)</t>
        </r>
      </text>
    </comment>
    <comment ref="C157" authorId="0">
      <text>
        <r>
          <rPr>
            <sz val="9"/>
            <color rgb="FF000000"/>
            <rFont val="Arial"/>
            <family val="2"/>
          </rPr>
          <t>Tesla Q2-2026 Update (8-K Ex.99.1) exhibit991.htm | Page 30 | 239</t>
        </r>
      </text>
    </comment>
    <comment ref="E157" authorId="0">
      <text>
        <r>
          <rPr>
            <sz val="9"/>
            <color rgb="FF000000"/>
            <rFont val="Arial"/>
            <family val="2"/>
          </rPr>
          <t>Tesla Q2-2026 Update (8-K Ex.99.1) exhibit991.htm | Page 30 | 173</t>
        </r>
      </text>
    </comment>
    <comment ref="F157" authorId="0">
      <text>
        <r>
          <rPr>
            <sz val="9"/>
            <color rgb="FF000000"/>
            <rFont val="Arial"/>
            <family val="2"/>
          </rPr>
          <t>Tesla Q2-2026 Update (8-K Ex.99.1) exhibit991.htm | Page 30 | 87</t>
        </r>
      </text>
    </comment>
    <comment ref="B160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C160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E160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F160" authorId="0">
      <text>
        <r>
          <rPr>
            <sz val="9"/>
            <color rgb="FF000000"/>
            <rFont val="Arial"/>
            <family val="2"/>
          </rPr>
          <t>Tesla Q2-2026 Update (8-K Ex.99.1) exhibit991.htm | Page 30 | 763</t>
        </r>
      </text>
    </comment>
    <comment ref="B163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C163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E163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F163" authorId="0">
      <text>
        <r>
          <rPr>
            <sz val="9"/>
            <color rgb="FF000000"/>
            <rFont val="Arial"/>
            <family val="2"/>
          </rPr>
          <t>Tesla Q2-2026 Update (8-K Ex.99.1) exhibit991.htm | Page 30 | (274)</t>
        </r>
      </text>
    </comment>
    <comment ref="G163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169" authorId="0">
      <text>
        <r>
          <rPr>
            <sz val="9"/>
            <color rgb="FF000000"/>
            <rFont val="Arial"/>
            <family val="2"/>
          </rPr>
          <t>Tesla Q2-2026 Update (8-K Ex.99.1) exhibit991.htm | Page 30 | 1,770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Tesla Q2-2026 Update (8-K Ex.99.1) exhibit991.htm | Page 30 | 1,761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Tesla Q4-FY2025 Update (8-K Ex.99.1) exhibit991.htm | Page 32 | 5,858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Tesla Q2-2026 Update (8-K Ex.99.1) exhibit991.htm | Page 30 | 1,453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Tesla Q2-2026 Update (8-K Ex.99.1) exhibit991.htm | Page 30 | 1,153</t>
        </r>
      </text>
    </comment>
    <comment ref="B178" authorId="0">
      <text>
        <r>
          <rPr>
            <sz val="9"/>
            <color rgb="FF000000"/>
            <rFont val="Arial"/>
            <family val="2"/>
          </rPr>
          <t>Tesla Q2-2026 Update (8-K Ex.99.1) exhibit991.htm | Page 30 | 0.5</t>
        </r>
      </text>
    </comment>
    <comment ref="C178" authorId="0">
      <text>
        <r>
          <rPr>
            <sz val="9"/>
            <color rgb="FF000000"/>
            <rFont val="Arial"/>
            <family val="2"/>
          </rPr>
          <t>Tesla Q2-2026 Update (8-K Ex.99.1) exhibit991.htm | Page 30 | 0.5</t>
        </r>
      </text>
    </comment>
    <comment ref="D178" authorId="0">
      <text>
        <r>
          <rPr>
            <sz val="9"/>
            <color rgb="FF000000"/>
            <rFont val="Arial"/>
            <family val="2"/>
          </rPr>
          <t>Tesla Q4-FY2025 Update (8-K Ex.99.1) exhibit991.htm | Page 32 | 1.66</t>
        </r>
      </text>
    </comment>
    <comment ref="E178" authorId="0">
      <text>
        <r>
          <rPr>
            <sz val="9"/>
            <color rgb="FF000000"/>
            <rFont val="Arial"/>
            <family val="2"/>
          </rPr>
          <t>Tesla Q2-2026 Update (8-K Ex.99.1) exhibit991.htm | Page 30 | 0.41</t>
        </r>
      </text>
    </comment>
    <comment ref="F178" authorId="0">
      <text>
        <r>
          <rPr>
            <sz val="9"/>
            <color rgb="FF000000"/>
            <rFont val="Arial"/>
            <family val="2"/>
          </rPr>
          <t>Tesla Q2-2026 Update (8-K Ex.99.1) exhibit991.htm | Page 30 | 0.33</t>
        </r>
      </text>
    </comment>
    <comment ref="B181" authorId="0">
      <text>
        <r>
          <rPr>
            <sz val="9"/>
            <color rgb="FF000000"/>
            <rFont val="Arial"/>
            <family val="2"/>
          </rPr>
          <t>Tesla Q2-2026 Update (8-K Ex.99.1) exhibit991.htm | Page 30 | 663</t>
        </r>
      </text>
    </comment>
    <comment ref="C181" authorId="0">
      <text>
        <r>
          <rPr>
            <sz val="9"/>
            <color rgb="FF000000"/>
            <rFont val="Arial"/>
            <family val="2"/>
          </rPr>
          <t>Tesla Q2-2026 Update (8-K Ex.99.1) exhibit991.htm | Page 30 | 954</t>
        </r>
      </text>
    </comment>
    <comment ref="E181" authorId="0">
      <text>
        <r>
          <rPr>
            <sz val="9"/>
            <color rgb="FF000000"/>
            <rFont val="Arial"/>
            <family val="2"/>
          </rPr>
          <t>Tesla Q2-2026 Update (8-K Ex.99.1) exhibit991.htm | Page 30 | 1,030</t>
        </r>
      </text>
    </comment>
    <comment ref="F181" authorId="0">
      <text>
        <r>
          <rPr>
            <sz val="9"/>
            <color rgb="FF000000"/>
            <rFont val="Arial"/>
            <family val="2"/>
          </rPr>
          <t>Tesla Q2-2026 Update (8-K Ex.99.1) exhibit991.htm | Page 30 | 1,151</t>
        </r>
      </text>
    </comment>
    <comment ref="G181" authorId="0">
      <text>
        <r>
          <rPr>
            <sz val="9"/>
            <color rgb="FF000000"/>
            <rFont val="Arial"/>
            <family val="2"/>
          </rPr>
          <t>Shortcut 3Q26E assumption (see Notes column) | Page n/a | 1,220</t>
        </r>
      </text>
    </comment>
    <comment ref="G184" authorId="0">
      <text>
        <r>
          <rPr>
            <sz val="9"/>
            <color rgb="FF000000"/>
            <rFont val="Arial"/>
            <family val="2"/>
          </rPr>
          <t>Shortcut 3Q26E assumption (see Notes column) | Page n/a | 0.14</t>
        </r>
      </text>
    </comment>
    <comment ref="G187" authorId="0">
      <text>
        <r>
          <rPr>
            <sz val="9"/>
            <color rgb="FF000000"/>
            <rFont val="Arial"/>
            <family val="2"/>
          </rPr>
          <t>Shortcut 3Q26E assumption (see Notes column) | Page n/a | 0.22</t>
        </r>
      </text>
    </comment>
    <comment ref="G190" authorId="0">
      <text>
        <r>
          <rPr>
            <sz val="9"/>
            <color rgb="FF000000"/>
            <rFont val="Arial"/>
            <family val="2"/>
          </rPr>
          <t>Shortcut 3Q26E assumption (see Notes column) | Page n/a | 0.24</t>
        </r>
      </text>
    </comment>
    <comment ref="G199" authorId="0">
      <text>
        <r>
          <rPr>
            <sz val="9"/>
            <color rgb="FF000000"/>
            <rFont val="Arial"/>
            <family val="2"/>
          </rPr>
          <t>Shortcut 3Q26E assumption (see Notes column) | Page n/a | 0.265</t>
        </r>
      </text>
    </comment>
    <comment ref="B213" authorId="0">
      <text>
        <r>
          <rPr>
            <sz val="9"/>
            <color rgb="FF000000"/>
            <rFont val="Arial"/>
            <family val="2"/>
          </rPr>
          <t>Tesla Q2-2026 Update (8-K Ex.99.1) exhibit991.htm | Page 30 | 4,227</t>
        </r>
      </text>
    </comment>
    <comment ref="C213" authorId="0">
      <text>
        <r>
          <rPr>
            <sz val="9"/>
            <color rgb="FF000000"/>
            <rFont val="Arial"/>
            <family val="2"/>
          </rPr>
          <t>Tesla Q2-2026 Update (8-K Ex.99.1) exhibit991.htm | Page 30 | 4,154</t>
        </r>
      </text>
    </comment>
    <comment ref="D213" authorId="0">
      <text>
        <r>
          <rPr>
            <sz val="9"/>
            <color rgb="FF000000"/>
            <rFont val="Arial"/>
            <family val="2"/>
          </rPr>
          <t>Tesla Q4-FY2025 Update (8-K Ex.99.1) exhibit991.htm | Page 32 | 14,596</t>
        </r>
      </text>
    </comment>
    <comment ref="E213" authorId="0">
      <text>
        <r>
          <rPr>
            <sz val="9"/>
            <color rgb="FF000000"/>
            <rFont val="Arial"/>
            <family val="2"/>
          </rPr>
          <t>Tesla Q2-2026 Update (8-K Ex.99.1) exhibit991.htm | Page 30 | 3,668</t>
        </r>
      </text>
    </comment>
    <comment ref="F213" authorId="0">
      <text>
        <r>
          <rPr>
            <sz val="9"/>
            <color rgb="FF000000"/>
            <rFont val="Arial"/>
            <family val="2"/>
          </rPr>
          <t>Tesla Q2-2026 Update (8-K Ex.99.1) exhibit991.htm | Page 30 | 3,273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9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18,289</t>
        </r>
      </text>
    </comment>
    <comment ref="C9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16,513</t>
        </r>
      </text>
    </comment>
    <comment ref="E9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16,603</t>
        </r>
      </text>
    </comment>
    <comment ref="F9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15,219</t>
        </r>
      </text>
    </comment>
    <comment ref="B10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23,358</t>
        </r>
      </text>
    </comment>
    <comment ref="C1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27,546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28,140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28,305</t>
        </r>
      </text>
    </comment>
    <comment ref="B11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4,703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4,576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3,959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4,087</t>
        </r>
      </text>
    </comment>
    <comment ref="B12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12,276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12,392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14,434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13,752</t>
        </r>
      </text>
    </comment>
    <comment ref="B13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6,027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7,615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6,612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7,395</t>
        </r>
      </text>
    </comment>
    <comment ref="B15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5,019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4,912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4,530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4,253</t>
        </r>
      </text>
    </comment>
    <comment ref="B16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4,673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4,604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4,565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4,510</t>
        </r>
      </text>
    </comment>
    <comment ref="B17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39,407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40,643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43,213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47,255</t>
        </r>
      </text>
    </comment>
    <comment ref="B18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5,783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6,027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6,332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6,386</t>
        </r>
      </text>
    </comment>
    <comment ref="B19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1,315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1,008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786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674</t>
        </r>
      </text>
    </comment>
    <comment ref="B20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6,637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6,925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7,060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7,235</t>
        </r>
      </text>
    </comment>
    <comment ref="B21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6,248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5,045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7,490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9,453</t>
        </r>
      </text>
    </comment>
    <comment ref="B24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12,819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13,371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14,696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15,324</t>
        </r>
      </text>
    </comment>
    <comment ref="B25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12,791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13,279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14,554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15,256</t>
        </r>
      </text>
    </comment>
    <comment ref="B26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3,756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3,424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3,441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3,427</t>
        </r>
      </text>
    </comment>
    <comment ref="B27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1,924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1,640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1,447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1,418</t>
        </r>
      </text>
    </comment>
    <comment ref="B29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5,778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6,736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7,782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7,924</t>
        </r>
      </text>
    </comment>
    <comment ref="B30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3,746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3,631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3,847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4,073</t>
        </r>
      </text>
    </comment>
    <comment ref="B31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12,205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12,860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13,155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13,583</t>
        </r>
      </text>
    </comment>
    <comment ref="B33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59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58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57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54</t>
        </r>
      </text>
    </comment>
    <comment ref="B35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3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3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</t>
        </r>
      </text>
    </comment>
    <comment ref="B36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41,597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42,770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44,299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45,859</t>
        </r>
      </text>
    </comment>
    <comment ref="B37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207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361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334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401</t>
        </r>
      </text>
    </comment>
    <comment ref="B38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38,163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39,003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39,480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40,594</t>
        </r>
      </text>
    </comment>
    <comment ref="B40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687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670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629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607</t>
        </r>
      </text>
    </comment>
    <comment ref="B43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133,735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137,806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143,724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148,524</t>
        </r>
      </text>
    </comment>
    <comment ref="B46" authorId="0">
      <text>
        <r>
          <rPr>
            <sz val="9"/>
            <color rgb="FF000000"/>
            <rFont val="Arial"/>
            <family val="2"/>
          </rPr>
          <t>Tesla Form 10-Q Q3-2025 tsla-20250930.htm | Page Note 1 Restricted Cash | 588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Tesla Form 10-Q Q2-2026 tsla-20260630.htm | Page Note 1 Restricted Cash | 389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Tesla Form 10-Q Q1-2026 tsla-20260331.htm | Page Note 1 Restricted Cash | 327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Tesla Form 10-Q Q2-2026 tsla-20260630.htm | Page Note 1 Restricted Cash | 496</t>
        </r>
      </text>
    </comment>
    <comment ref="B47" authorId="0">
      <text>
        <r>
          <rPr>
            <sz val="9"/>
            <color rgb="FF000000"/>
            <rFont val="Arial"/>
            <family val="2"/>
          </rPr>
          <t>Tesla Form 10-Q Q3-2025 tsla-20250930.htm | Page Note 1 Restricted Cash | 707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Tesla Form 10-Q Q2-2026 tsla-20260630.htm | Page Note 1 Restricted Cash | 714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Tesla Form 10-Q Q1-2026 tsla-20260331.htm | Page Note 1 Restricted Cash | 725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Tesla Form 10-Q Q2-2026 tsla-20260630.htm | Page Note 1 Restricted Cash | 710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2" authorId="0">
      <text>
        <r>
          <rPr>
            <sz val="9"/>
            <color rgb="FF000000"/>
            <rFont val="Arial"/>
            <family val="2"/>
          </rPr>
          <t>Tesla Q2-2026 Update (8-K Ex.99.1) exhibit991.htm | Page 29 | 1,625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Tesla Q2-2026 Update (8-K Ex.99.1) exhibit991.htm | Page 29 | 1,643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Tesla Q2-2026 Update (8-K Ex.99.1) exhibit991.htm | Page 29 | 1,590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Tesla Q2-2026 Update (8-K Ex.99.1) exhibit991.htm | Page 29 | 1,619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Shortcut 3Q26E assumption (see Notes column) | Page n/a | 1,700</t>
        </r>
      </text>
    </comment>
    <comment ref="B18" authorId="0">
      <text>
        <r>
          <rPr>
            <sz val="9"/>
            <color rgb="FF000000"/>
            <rFont val="Arial"/>
            <family val="2"/>
          </rPr>
          <t>Tesla Q2-2026 Update (8-K Ex.99.1) exhibit991.htm | Page 29 | 65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Tesla Q2-2026 Update (8-K Ex.99.1) exhibit991.htm | Page 29 | 49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Tesla Q2-2026 Update (8-K Ex.99.1) exhibit991.htm | Page 29 | 77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Tesla Q2-2026 Update (8-K Ex.99.1) exhibit991.htm | Page 29 | 110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Shortcut 3Q26E assumption (see Notes column) | Page n/a | 90</t>
        </r>
      </text>
    </comment>
    <comment ref="B24" authorId="0">
      <text>
        <r>
          <rPr>
            <sz val="9"/>
            <color rgb="FF000000"/>
            <rFont val="Arial"/>
            <family val="2"/>
          </rPr>
          <t>Tesla Q2-2026 Update (8-K Ex.99.1) exhibit991.htm | Page 29 | 225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Tesla Q2-2026 Update (8-K Ex.99.1) exhibit991.htm | Page 29 | (111)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Tesla Q2-2026 Update (8-K Ex.99.1) exhibit991.htm | Page 29 | (136)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Tesla Q2-2026 Update (8-K Ex.99.1) exhibit991.htm | Page 29 | (165)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Shortcut 3Q26E assumption (see Notes column) | Page n/a | (120)</t>
        </r>
      </text>
    </comment>
    <comment ref="B27" authorId="0">
      <text>
        <r>
          <rPr>
            <sz val="9"/>
            <color rgb="FF000000"/>
            <rFont val="Arial"/>
            <family val="2"/>
          </rPr>
          <t>Tesla Q2-2026 Update (8-K Ex.99.1) exhibit991.htm | Page 29 | 162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Tesla Q2-2026 Update (8-K Ex.99.1) exhibit991.htm | Page 29 | 37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Tesla Q2-2026 Update (8-K Ex.99.1) exhibit991.htm | Page 29 | 1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Tesla Q2-2026 Update (8-K Ex.99.1) exhibit991.htm | Page 29 | 32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Shortcut 3Q26E assumption (see Notes column) | Page n/a | 20</t>
        </r>
      </text>
    </comment>
    <comment ref="B36" authorId="0">
      <text>
        <r>
          <rPr>
            <sz val="9"/>
            <color rgb="FF000000"/>
            <rFont val="Arial"/>
            <family val="2"/>
          </rPr>
          <t>Tesla Q2-2026 Update (8-K Ex.99.1) exhibit991.htm | Page 29 | (907)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Tesla Q2-2026 Update (8-K Ex.99.1) exhibit991.htm | Page 29 | 45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Tesla Q2-2026 Update (8-K Ex.99.1) exhibit991.htm | Page 29 | 561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Tesla Q2-2026 Update (8-K Ex.99.1) exhibit991.htm | Page 29 | (184)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Shortcut 3Q26E assumption (see Notes column) | Page n/a | (150)</t>
        </r>
      </text>
    </comment>
    <comment ref="B39" authorId="0">
      <text>
        <r>
          <rPr>
            <sz val="9"/>
            <color rgb="FF000000"/>
            <rFont val="Arial"/>
            <family val="2"/>
          </rPr>
          <t>Tesla Q2-2026 Update (8-K Ex.99.1) exhibit991.htm | Page 29 | 1,991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Tesla Q2-2026 Update (8-K Ex.99.1) exhibit991.htm | Page 29 | (214)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Tesla Q2-2026 Update (8-K Ex.99.1) exhibit991.htm | Page 29 | (2,255)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Tesla Q2-2026 Update (8-K Ex.99.1) exhibit991.htm | Page 29 | 592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Shortcut 3Q26E assumption (see Notes column) | Page n/a | 500</t>
        </r>
      </text>
    </comment>
    <comment ref="B42" authorId="0">
      <text>
        <r>
          <rPr>
            <sz val="9"/>
            <color rgb="FF000000"/>
            <rFont val="Arial"/>
            <family val="2"/>
          </rPr>
          <t>Tesla Q2-2026 Update (8-K Ex.99.1) exhibit991.htm | Page 29 | (11)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Tesla Q2-2026 Update (8-K Ex.99.1) exhibit991.htm | Page 29 | (79)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Tesla Q2-2026 Update (8-K Ex.99.1) exhibit991.htm | Page 29 | 174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Tesla Q2-2026 Update (8-K Ex.99.1) exhibit991.htm | Page 29 | 86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Shortcut 3Q26E assumption (see Notes column) | Page n/a | 80</t>
        </r>
      </text>
    </comment>
    <comment ref="B45" authorId="0">
      <text>
        <r>
          <rPr>
            <sz val="9"/>
            <color rgb="FF000000"/>
            <rFont val="Arial"/>
            <family val="2"/>
          </rPr>
          <t>Tesla Q2-2026 Update (8-K Ex.99.1) exhibit991.htm | Page 29 | (1,143)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Tesla Q2-2026 Update (8-K Ex.99.1) exhibit991.htm | Page 29 | (901)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Tesla Q2-2026 Update (8-K Ex.99.1) exhibit991.htm | Page 29 | 231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Tesla Q2-2026 Update (8-K Ex.99.1) exhibit991.htm | Page 29 | (1,259)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Shortcut 3Q26E assumption (see Notes column) | Page n/a | (800)</t>
        </r>
      </text>
    </comment>
    <comment ref="B48" authorId="0">
      <text>
        <r>
          <rPr>
            <sz val="9"/>
            <color rgb="FF000000"/>
            <rFont val="Arial"/>
            <family val="2"/>
          </rPr>
          <t>Tesla Q2-2026 Update (8-K Ex.99.1) exhibit991.htm | Page 29 | 1,646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Tesla Q2-2026 Update (8-K Ex.99.1) exhibit991.htm | Page 29 | 1,397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Tesla Q2-2026 Update (8-K Ex.99.1) exhibit991.htm | Page 29 | 1,401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Tesla Q2-2026 Update (8-K Ex.99.1) exhibit991.htm | Page 29 | 1,940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Shortcut 3Q26E assumption (see Notes column) | Page n/a | 1,200</t>
        </r>
      </text>
    </comment>
    <comment ref="B51" authorId="0">
      <text>
        <r>
          <rPr>
            <sz val="9"/>
            <color rgb="FF000000"/>
            <rFont val="Arial"/>
            <family val="2"/>
          </rPr>
          <t>Tesla Q2-2026 Update (8-K Ex.99.1) exhibit991.htm | Page 29 | 507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Tesla Q2-2026 Update (8-K Ex.99.1) exhibit991.htm | Page 29 | (462)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Tesla Q2-2026 Update (8-K Ex.99.1) exhibit991.htm | Page 29 | 263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Tesla Q2-2026 Update (8-K Ex.99.1) exhibit991.htm | Page 29 | 228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Shortcut 3Q26E assumption (see Notes column) | Page n/a | 200</t>
        </r>
      </text>
    </comment>
    <comment ref="B58" authorId="0">
      <text>
        <r>
          <rPr>
            <sz val="9"/>
            <color rgb="FF000000"/>
            <rFont val="Arial"/>
            <family val="2"/>
          </rPr>
          <t>Tesla Q2-2026 Update (8-K Ex.99.1) exhibit991.htm | Page 29 | (2,248)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Tesla Q2-2026 Update (8-K Ex.99.1) exhibit991.htm | Page 29 | (2,393)</t>
        </r>
      </text>
    </comment>
    <comment ref="E58" authorId="0">
      <text>
        <r>
          <rPr>
            <sz val="9"/>
            <color rgb="FF000000"/>
            <rFont val="Arial"/>
            <family val="2"/>
          </rPr>
          <t>Tesla Q2-2026 Update (8-K Ex.99.1) exhibit991.htm | Page 29 | (2,493)</t>
        </r>
      </text>
    </comment>
    <comment ref="F58" authorId="0">
      <text>
        <r>
          <rPr>
            <sz val="9"/>
            <color rgb="FF000000"/>
            <rFont val="Arial"/>
            <family val="2"/>
          </rPr>
          <t>Tesla Q2-2026 Update (8-K Ex.99.1) exhibit991.htm | Page 29 | (5,789)</t>
        </r>
      </text>
    </comment>
    <comment ref="G58" authorId="0">
      <text>
        <r>
          <rPr>
            <sz val="9"/>
            <color rgb="FF000000"/>
            <rFont val="Arial"/>
            <family val="2"/>
          </rPr>
          <t>Shortcut 3Q26E assumption (see Notes column) | Page n/a | (7,800)</t>
        </r>
      </text>
    </comment>
    <comment ref="B61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C61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E61" authorId="0">
      <text>
        <r>
          <rPr>
            <sz val="9"/>
            <color rgb="FF000000"/>
            <rFont val="Arial"/>
            <family val="2"/>
          </rPr>
          <t>Tesla Q2-2026 Update (8-K Ex.99.1) exhibit991.htm | Page 29 | (2,002)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64" authorId="0">
      <text>
        <r>
          <rPr>
            <sz val="9"/>
            <color rgb="FF000000"/>
            <rFont val="Arial"/>
            <family val="2"/>
          </rPr>
          <t>Tesla Q2-2026 Update (8-K Ex.99.1) exhibit991.htm | Page 29 | (11,402)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Tesla Q2-2026 Update (8-K Ex.99.1) exhibit991.htm | Page 29 | (12,207)</t>
        </r>
      </text>
    </comment>
    <comment ref="E64" authorId="0">
      <text>
        <r>
          <rPr>
            <sz val="9"/>
            <color rgb="FF000000"/>
            <rFont val="Arial"/>
            <family val="2"/>
          </rPr>
          <t>Tesla Q2-2026 Update (8-K Ex.99.1) exhibit991.htm | Page 29 | (8,318)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Tesla Q2-2026 Update (8-K Ex.99.1) exhibit991.htm | Page 29 | (7,963)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Shortcut 3Q26E assumption (see Notes column) | Page n/a | (7,500)</t>
        </r>
      </text>
    </comment>
    <comment ref="B67" authorId="0">
      <text>
        <r>
          <rPr>
            <sz val="9"/>
            <color rgb="FF000000"/>
            <rFont val="Arial"/>
            <family val="2"/>
          </rPr>
          <t>Tesla Q2-2026 Update (8-K Ex.99.1) exhibit991.htm | Page 29 | 9,295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Tesla Q2-2026 Update (8-K Ex.99.1) exhibit991.htm | Page 29 | 8,072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Tesla Q2-2026 Update (8-K Ex.99.1) exhibit991.htm | Page 29 | 7,790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Tesla Q2-2026 Update (8-K Ex.99.1) exhibit991.htm | Page 29 | 7,831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Shortcut 3Q26E assumption (see Notes column) | Page n/a | 7,500</t>
        </r>
      </text>
    </comment>
    <comment ref="B70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C70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E70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F70" authorId="0">
      <text>
        <r>
          <rPr>
            <sz val="9"/>
            <color rgb="FF000000"/>
            <rFont val="Arial"/>
            <family val="2"/>
          </rPr>
          <t>Tesla Q2-2026 Update (8-K Ex.99.1) exhibit991.htm | Page 29 | (7)</t>
        </r>
      </text>
    </comment>
    <comment ref="G70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77" authorId="0">
      <text>
        <r>
          <rPr>
            <sz val="9"/>
            <color rgb="FF000000"/>
            <rFont val="Arial"/>
            <family val="2"/>
          </rPr>
          <t>Tesla Q2-2026 Update (8-K Ex.99.1) exhibit991.htm | Page 29 | 1,182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Tesla Q2-2026 Update (8-K Ex.99.1) exhibit991.htm | Page 29 | 1,354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Tesla Q2-2026 Update (8-K Ex.99.1) exhibit991.htm | Page 29 | 4,331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Tesla Q2-2026 Update (8-K Ex.99.1) exhibit991.htm | Page 29 | 348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Shortcut 3Q26E assumption (see Notes column) | Page n/a | 3,000</t>
        </r>
      </text>
    </comment>
    <comment ref="B80" authorId="0">
      <text>
        <r>
          <rPr>
            <sz val="9"/>
            <color rgb="FF000000"/>
            <rFont val="Arial"/>
            <family val="2"/>
          </rPr>
          <t>Tesla Q2-2026 Update (8-K Ex.99.1) exhibit991.htm | Page 29 | (669)</t>
        </r>
      </text>
    </comment>
    <comment ref="C80" authorId="0">
      <text>
        <r>
          <rPr>
            <sz val="9"/>
            <color rgb="FF000000"/>
            <rFont val="Arial"/>
            <family val="2"/>
          </rPr>
          <t>Tesla Q2-2026 Update (8-K Ex.99.1) exhibit991.htm | Page 29 | (748)</t>
        </r>
      </text>
    </comment>
    <comment ref="E80" authorId="0">
      <text>
        <r>
          <rPr>
            <sz val="9"/>
            <color rgb="FF000000"/>
            <rFont val="Arial"/>
            <family val="2"/>
          </rPr>
          <t>Tesla Q2-2026 Update (8-K Ex.99.1) exhibit991.htm | Page 29 | (3,530)</t>
        </r>
      </text>
    </comment>
    <comment ref="F80" authorId="0">
      <text>
        <r>
          <rPr>
            <sz val="9"/>
            <color rgb="FF000000"/>
            <rFont val="Arial"/>
            <family val="2"/>
          </rPr>
          <t>Tesla Q2-2026 Update (8-K Ex.99.1) exhibit991.htm | Page 29 | (392)</t>
        </r>
      </text>
    </comment>
    <comment ref="G80" authorId="0">
      <text>
        <r>
          <rPr>
            <sz val="9"/>
            <color rgb="FF000000"/>
            <rFont val="Arial"/>
            <family val="2"/>
          </rPr>
          <t>Shortcut 3Q26E assumption (see Notes column) | Page n/a | (500)</t>
        </r>
      </text>
    </comment>
    <comment ref="B83" authorId="0">
      <text>
        <r>
          <rPr>
            <sz val="9"/>
            <color rgb="FF000000"/>
            <rFont val="Arial"/>
            <family val="2"/>
          </rPr>
          <t>Tesla Q2-2026 Update (8-K Ex.99.1) exhibit991.htm | Page 29 | (4)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Tesla Q2-2026 Update (8-K Ex.99.1) exhibit991.htm | Page 29 | (1)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Tesla Q2-2026 Update (8-K Ex.99.1) exhibit991.htm | Page 29 | (4)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Shortcut 3Q26E assumption (see Notes column) | Page n/a | (10)</t>
        </r>
      </text>
    </comment>
    <comment ref="B86" authorId="0">
      <text>
        <r>
          <rPr>
            <sz val="9"/>
            <color rgb="FF000000"/>
            <rFont val="Arial"/>
            <family val="2"/>
          </rPr>
          <t>Tesla Q2-2026 Update (8-K Ex.99.1) exhibit991.htm | Page 29 | 512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Tesla Q2-2026 Update (8-K Ex.99.1) exhibit991.htm | Page 29 | 146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Tesla Q2-2026 Update (8-K Ex.99.1) exhibit991.htm | Page 29 | 361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Tesla Q2-2026 Update (8-K Ex.99.1) exhibit991.htm | Page 29 | 107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Shortcut 3Q26E assumption (see Notes column) | Page n/a | 150</t>
        </r>
      </text>
    </comment>
    <comment ref="B89" authorId="0">
      <text>
        <r>
          <rPr>
            <sz val="9"/>
            <color rgb="FF000000"/>
            <rFont val="Arial"/>
            <family val="2"/>
          </rPr>
          <t>Tesla Q2-2026 Update (8-K Ex.99.1) exhibit991.htm | Page 29 | (18)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Tesla Q2-2026 Update (8-K Ex.99.1) exhibit991.htm | Page 29 | (19)</t>
        </r>
      </text>
    </comment>
    <comment ref="E89" authorId="0">
      <text>
        <r>
          <rPr>
            <sz val="9"/>
            <color rgb="FF000000"/>
            <rFont val="Arial"/>
            <family val="2"/>
          </rPr>
          <t>Tesla Q2-2026 Update (8-K Ex.99.1) exhibit991.htm | Page 29 | (18)</t>
        </r>
      </text>
    </comment>
    <comment ref="F89" authorId="0">
      <text>
        <r>
          <rPr>
            <sz val="9"/>
            <color rgb="FF000000"/>
            <rFont val="Arial"/>
            <family val="2"/>
          </rPr>
          <t>Tesla Q2-2026 Update (8-K Ex.99.1) exhibit991.htm | Page 29 | (19)</t>
        </r>
      </text>
    </comment>
    <comment ref="G89" authorId="0">
      <text>
        <r>
          <rPr>
            <sz val="9"/>
            <color rgb="FF000000"/>
            <rFont val="Arial"/>
            <family val="2"/>
          </rPr>
          <t>Shortcut 3Q26E assumption (see Notes column) | Page n/a | (19)</t>
        </r>
      </text>
    </comment>
    <comment ref="B92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Tesla Q2-2026 Update (8-K Ex.99.1) exhibit991.htm | Page 29 | 98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Tesla Q2-2026 Update (8-K Ex.99.1) exhibit991.htm | Page 29 | 18</t>
        </r>
      </text>
    </comment>
    <comment ref="G92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95" authorId="0">
      <text>
        <r>
          <rPr>
            <sz val="9"/>
            <color rgb="FF000000"/>
            <rFont val="Arial"/>
            <family val="2"/>
          </rPr>
          <t>Tesla Q2-2026 Update (8-K Ex.99.1) exhibit991.htm | Page 29 | (20)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Tesla Q2-2026 Update (8-K Ex.99.1) exhibit991.htm | Page 29 | (22)</t>
        </r>
      </text>
    </comment>
    <comment ref="E95" authorId="0">
      <text>
        <r>
          <rPr>
            <sz val="9"/>
            <color rgb="FF000000"/>
            <rFont val="Arial"/>
            <family val="2"/>
          </rPr>
          <t>Tesla Q2-2026 Update (8-K Ex.99.1) exhibit991.htm | Page 29 | (70)</t>
        </r>
      </text>
    </comment>
    <comment ref="F95" authorId="0">
      <text>
        <r>
          <rPr>
            <sz val="9"/>
            <color rgb="FF000000"/>
            <rFont val="Arial"/>
            <family val="2"/>
          </rPr>
          <t>Tesla Q2-2026 Update (8-K Ex.99.1) exhibit991.htm | Page 29 | (21)</t>
        </r>
      </text>
    </comment>
    <comment ref="G95" authorId="0">
      <text>
        <r>
          <rPr>
            <sz val="9"/>
            <color rgb="FF000000"/>
            <rFont val="Arial"/>
            <family val="2"/>
          </rPr>
          <t>Shortcut 3Q26E assumption (see Notes column) | Page n/a | (20)</t>
        </r>
      </text>
    </comment>
    <comment ref="B101" authorId="0">
      <text>
        <r>
          <rPr>
            <sz val="9"/>
            <color rgb="FF000000"/>
            <rFont val="Arial"/>
            <family val="2"/>
          </rPr>
          <t>Tesla Q2-2026 Update (8-K Ex.99.1) exhibit991.htm | Page 29 | (17)</t>
        </r>
      </text>
    </comment>
    <comment ref="C101" authorId="0">
      <text>
        <r>
          <rPr>
            <sz val="9"/>
            <color rgb="FF000000"/>
            <rFont val="Arial"/>
            <family val="2"/>
          </rPr>
          <t>Tesla Q2-2026 Update (8-K Ex.99.1) exhibit991.htm | Page 29 | 37</t>
        </r>
      </text>
    </comment>
    <comment ref="E101" authorId="0">
      <text>
        <r>
          <rPr>
            <sz val="9"/>
            <color rgb="FF000000"/>
            <rFont val="Arial"/>
            <family val="2"/>
          </rPr>
          <t>Tesla Q2-2026 Update (8-K Ex.99.1) exhibit991.htm | Page 29 | (47)</t>
        </r>
      </text>
    </comment>
    <comment ref="F101" authorId="0">
      <text>
        <r>
          <rPr>
            <sz val="9"/>
            <color rgb="FF000000"/>
            <rFont val="Arial"/>
            <family val="2"/>
          </rPr>
          <t>Tesla Q2-2026 Update (8-K Ex.99.1) exhibit991.htm | Page 29 | (36)</t>
        </r>
      </text>
    </comment>
    <comment ref="G101" authorId="0">
      <text>
        <r>
          <rPr>
            <sz val="9"/>
            <color rgb="FF000000"/>
            <rFont val="Arial"/>
            <family val="2"/>
          </rPr>
          <t>Shortcut 3Q26E assumption (see Notes column) | Page n/a | 0</t>
        </r>
      </text>
    </comment>
    <comment ref="B107" authorId="0">
      <text>
        <r>
          <rPr>
            <sz val="9"/>
            <color rgb="FF000000"/>
            <rFont val="Arial"/>
            <family val="2"/>
          </rPr>
          <t>Tesla Q2-2026 Update (8-K Ex.99.1) exhibit991.htm | Page 29 | 16,735</t>
        </r>
      </text>
    </comment>
    <comment ref="B118" authorId="0">
      <text>
        <r>
          <rPr>
            <sz val="9"/>
            <color rgb="FF000000"/>
            <rFont val="Arial"/>
            <family val="2"/>
          </rPr>
          <t>Tesla Q2-2026 Update (8-K Ex.99.1) exhibit991.htm | Page 4 | 6,238</t>
        </r>
      </text>
    </comment>
    <comment ref="C118" authorId="0">
      <text>
        <r>
          <rPr>
            <sz val="9"/>
            <color rgb="FF000000"/>
            <rFont val="Arial"/>
            <family val="2"/>
          </rPr>
          <t>Tesla Q2-2026 Update (8-K Ex.99.1) exhibit991.htm | Page 4 | 3,813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Tesla Q4-FY2025 Update (8-K Ex.99.1) exhibit991.htm | Page 5 | 14,747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Tesla Q2-2026 Update (8-K Ex.99.1) exhibit991.htm | Page 4 | 3,937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Tesla Q2-2026 Update (8-K Ex.99.1) exhibit991.htm | Page 4 | 4,697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G9" authorId="0">
      <text>
        <r>
          <rPr>
            <sz val="9"/>
            <color rgb="FF000000"/>
            <rFont val="Arial"/>
            <family val="2"/>
          </rPr>
          <t>Shortcut 3Q26E assumption (see Notes column) | Page n/a | 0.45</t>
        </r>
      </text>
    </comment>
    <comment ref="B12" authorId="0">
      <text>
        <r>
          <rPr>
            <sz val="9"/>
            <color rgb="FF000000"/>
            <rFont val="Arial"/>
            <family val="2"/>
          </rPr>
          <t>Tesla Form 10-Q Q3-2025 tsla-20250930.htm | Page Note 14 Revenues by geographic area | 14,598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Tesla Form 10-Q Q1-2026 tsla-20260331.htm | Page Note 13 Revenues by geographic area | 10,677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Tesla Form 10-Q Q2-2026 tsla-20260630.htm | Page Note 14 Revenues by geographic area | 13,208</t>
        </r>
      </text>
    </comment>
    <comment ref="B15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Shortcut 3Q26E assumption (see Notes column) | Page n/a | 0.175</t>
        </r>
      </text>
    </comment>
    <comment ref="B21" authorId="0">
      <text>
        <r>
          <rPr>
            <sz val="9"/>
            <color rgb="FF000000"/>
            <rFont val="Arial"/>
            <family val="2"/>
          </rPr>
          <t>Tesla Form 10-Q Q3-2025 tsla-20250930.htm | Page Note 14 Revenues by geographic area | 5,653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Tesla Form 10-Q Q1-2026 tsla-20260331.htm | Page Note 13 Revenues by geographic area | 4,184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Tesla Form 10-Q Q2-2026 tsla-20260630.htm | Page Note 14 Revenues by geographic area | 4,675</t>
        </r>
      </text>
    </comment>
    <comment ref="B24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  <comment ref="B27" authorId="0">
      <text>
        <r>
          <rPr>
            <sz val="9"/>
            <color rgb="FF000000"/>
            <rFont val="Arial"/>
            <family val="2"/>
          </rPr>
          <t>Tesla Form 10-Q Q3-2025 tsla-20250930.htm | Page Note 14 Revenues by geographic area | 7,844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Tesla Form 10-Q Q1-2026 tsla-20260331.htm | Page Note 13 Revenues by geographic area | 7,526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Tesla Form 10-Q Q2-2026 tsla-20260630.htm | Page Note 14 Revenues by geographic area | 10,353</t>
        </r>
      </text>
    </comment>
    <comment ref="B30" authorId="0">
      <text>
        <r>
          <rPr>
            <sz val="9"/>
            <color rgb="FF000000"/>
            <rFont val="Arial"/>
            <family val="2"/>
          </rPr>
          <t>Tesla discloses FX impact only for total revenue (quarterly deck), not by revenue line | Page n/a | not disclosed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G9" authorId="0">
      <text>
        <r>
          <rPr>
            <sz val="9"/>
            <color rgb="FF000000"/>
            <rFont val="Arial"/>
            <family val="2"/>
          </rPr>
          <t>Shortcut 3Q26E assumption (see Notes column) | Page n/a | 3</t>
        </r>
      </text>
    </comment>
    <comment ref="B12" authorId="0">
      <text>
        <r>
          <rPr>
            <sz val="9"/>
            <color rgb="FF000000"/>
            <rFont val="Arial"/>
            <family val="2"/>
          </rPr>
          <t>Tesla Q2-2026 Update (8-K Ex.99.1) exhibit991.htm | Page 27 | 3,227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Tesla Q2-2026 Update (8-K Ex.99.1) exhibit991.htm | Page 27 | 3,231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3,225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Tesla Q2-2026 Update (8-K Ex.99.1) exhibit991.htm | Page 27 | 3,234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Tesla Q2-2026 Update (8-K Ex.99.1) exhibit991.htm | Page 27 | 3,237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Shortcut 3Q26E assumption (see Notes column) | Page n/a | 304</t>
        </r>
      </text>
    </comment>
    <comment ref="B18" authorId="0">
      <text>
        <r>
          <rPr>
            <sz val="9"/>
            <color rgb="FF000000"/>
            <rFont val="Arial"/>
            <family val="2"/>
          </rPr>
          <t>Tesla Q2-2026 Update (8-K Ex.99.1) exhibit991.htm | Page 27 | 3,526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Tesla Q2-2026 Update (8-K Ex.99.1) exhibit991.htm | Page 27 | 3,539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3,528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Tesla Q2-2026 Update (8-K Ex.99.1) exhibit991.htm | Page 27 | 3,538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Tesla Q2-2026 Update (8-K Ex.99.1) exhibit991.htm | Page 27 | 3,540</t>
        </r>
      </text>
    </comment>
    <comment ref="B25" authorId="0">
      <text>
        <r>
          <rPr>
            <sz val="9"/>
            <color rgb="FF000000"/>
            <rFont val="Arial"/>
            <family val="2"/>
          </rPr>
          <t>Tesla Form 10-Q Q3-2025 tsla-20250930.htm | Page Item 1 Balance Sheets | 3,324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3,751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Tesla Form 10-Q Q1-2026 tsla-20260331.htm | Page Item 1 Balance Sheets | 3,755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Tesla Form 10-Q Q2-2026 tsla-20260630.htm | Page Item 1 Balance Sheets | 3,949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F9" authorId="0">
      <text>
        <r>
          <rPr>
            <sz val="9"/>
            <color rgb="FF000000"/>
            <rFont val="Arial"/>
            <family val="2"/>
          </rPr>
          <t>Tesla Form 10-Q Q3-2025 tsla-20250930.htm | Page MD&amp;A Cash Flow and Capex Trends | 9,000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Tesla Form 10-K FY2025 tsla-20251231.htm | Page MD&amp;A Cash Flow and Capex Trends | 20,000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Tesla Form 10-Q Q1-2026 tsla-20260331.htm | Page MD&amp;A Cash Flow and Capex Trends | 25,000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Tesla Form 10-Q Q2-2026 tsla-20260630.htm | Page MD&amp;A Cash Flow and Capex Trends | 25,000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Tesla Q2-2026 earnings call transcript (2026-07-22) | Page CFO remarks | 0.2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0" authorId="0">
      <text>
        <r>
          <rPr>
            <sz val="9"/>
            <color rgb="FF000000"/>
            <rFont val="Arial"/>
            <family val="2"/>
          </rPr>
          <t>TSLA_consensus.json | Page n/a | S&amp;P Capital IQ</t>
        </r>
      </text>
    </comment>
    <comment ref="B11" authorId="0">
      <text>
        <r>
          <rPr>
            <sz val="9"/>
            <color rgb="FF000000"/>
            <rFont val="Arial"/>
            <family val="2"/>
          </rPr>
          <t>TSLA_consensus.json | Page n/a | 2026-10-18</t>
        </r>
      </text>
    </comment>
    <comment ref="B12" authorId="0">
      <text>
        <r>
          <rPr>
            <sz val="9"/>
            <color rgb="FF000000"/>
            <rFont val="Arial"/>
            <family val="2"/>
          </rPr>
          <t>TSLA_consensus.json | Page n/a | 25</t>
        </r>
      </text>
    </comment>
    <comment ref="B13" authorId="0">
      <text>
        <r>
          <rPr>
            <sz val="9"/>
            <color rgb="FF000000"/>
            <rFont val="Arial"/>
            <family val="2"/>
          </rPr>
          <t>TSLA_consensus.json | Page n/a | 0.45</t>
        </r>
      </text>
    </comment>
    <comment ref="B14" authorId="0">
      <text>
        <r>
          <rPr>
            <sz val="9"/>
            <color rgb="FF000000"/>
            <rFont val="Arial"/>
            <family val="2"/>
          </rPr>
          <t>TSLA_consensus.json | Page n/a | 28111.09</t>
        </r>
      </text>
    </comment>
    <comment ref="B15" authorId="0">
      <text>
        <r>
          <rPr>
            <sz val="9"/>
            <color rgb="FF000000"/>
            <rFont val="Arial"/>
            <family val="2"/>
          </rPr>
          <t>TSLA_consensus.json | Page n/a | Normalized diluted EPS per ordinary/common share, USD; verify issuer adjustments and share identity</t>
        </r>
      </text>
    </comment>
    <comment ref="B16" authorId="0">
      <text>
        <r>
          <rPr>
            <sz val="9"/>
            <color rgb="FF000000"/>
            <rFont val="Arial"/>
            <family val="2"/>
          </rPr>
          <t>TSLA_consensus.json | Page n/a | USD</t>
        </r>
      </text>
    </comment>
    <comment ref="B17" authorId="0">
      <text>
        <r>
          <rPr>
            <sz val="9"/>
            <color rgb="FF000000"/>
            <rFont val="Arial"/>
            <family val="2"/>
          </rPr>
          <t>TSLA_consensus.json | Page n/a | e59b846434f90c9b5de8c2ed951fd1b25c1f6d0217c680f72dea41992051a49d</t>
        </r>
      </text>
    </comment>
    <comment ref="B18" authorId="0">
      <text>
        <r>
          <rPr>
            <sz val="9"/>
            <color rgb="FF000000"/>
            <rFont val="Arial"/>
            <family val="2"/>
          </rPr>
          <t>TSLA_consensus.json | Page n/a | date only, user confirmed</t>
        </r>
      </text>
    </comment>
    <comment ref="B20" authorId="0">
      <text>
        <r>
          <rPr>
            <sz val="9"/>
            <color rgb="FF000000"/>
            <rFont val="Arial"/>
            <family val="2"/>
          </rPr>
          <t>TSLA_consensus.json | Page summary_row | TSLA</t>
        </r>
      </text>
    </comment>
    <comment ref="B21" authorId="0">
      <text>
        <r>
          <rPr>
            <sz val="9"/>
            <color rgb="FF000000"/>
            <rFont val="Arial"/>
            <family val="2"/>
          </rPr>
          <t>TSLA_consensus.json | Page summary_row | Tesla, Inc.</t>
        </r>
      </text>
    </comment>
    <comment ref="B22" authorId="0">
      <text>
        <r>
          <rPr>
            <sz val="9"/>
            <color rgb="FF000000"/>
            <rFont val="Arial"/>
            <family val="2"/>
          </rPr>
          <t>TSLA_consensus.json | Page summary_row | NasdaqGS:TSLA</t>
        </r>
      </text>
    </comment>
    <comment ref="B23" authorId="0">
      <text>
        <r>
          <rPr>
            <sz val="9"/>
            <color rgb="FF000000"/>
            <rFont val="Arial"/>
            <family val="2"/>
          </rPr>
          <t>TSLA_consensus.json | Page summary_row | 27444752</t>
        </r>
      </text>
    </comment>
    <comment ref="B24" authorId="0">
      <text>
        <r>
          <rPr>
            <sz val="9"/>
            <color rgb="FF000000"/>
            <rFont val="Arial"/>
            <family val="2"/>
          </rPr>
          <t>TSLA_consensus.json | Page summary_row | USD</t>
        </r>
      </text>
    </comment>
    <comment ref="B25" authorId="0">
      <text>
        <r>
          <rPr>
            <sz val="9"/>
            <color rgb="FF000000"/>
            <rFont val="Arial"/>
            <family val="2"/>
          </rPr>
          <t>TSLA_consensus.json | Page summary_row | Dec-31</t>
        </r>
      </text>
    </comment>
    <comment ref="B26" authorId="0">
      <text>
        <r>
          <rPr>
            <sz val="9"/>
            <color rgb="FF000000"/>
            <rFont val="Arial"/>
            <family val="2"/>
          </rPr>
          <t>TSLA_consensus.json | Page summary_row | FQ3 2026 - Sep 2026</t>
        </r>
      </text>
    </comment>
    <comment ref="B27" authorId="0">
      <text>
        <r>
          <rPr>
            <sz val="9"/>
            <color rgb="FF000000"/>
            <rFont val="Arial"/>
            <family val="2"/>
          </rPr>
          <t>TSLA_consensus.json | Page summary_row | 2026-09-30</t>
        </r>
      </text>
    </comment>
    <comment ref="B28" authorId="0">
      <text>
        <r>
          <rPr>
            <sz val="9"/>
            <color rgb="FF000000"/>
            <rFont val="Arial"/>
            <family val="2"/>
          </rPr>
          <t>TSLA_consensus.json | Page summary_row | 2026-10-21</t>
        </r>
      </text>
    </comment>
    <comment ref="B29" authorId="0">
      <text>
        <r>
          <rPr>
            <sz val="9"/>
            <color rgb="FF000000"/>
            <rFont val="Arial"/>
            <family val="2"/>
          </rPr>
          <t>TSLA_consensus.json | Page summary_row | normalized diluted and GAAP diluted, as labelled</t>
        </r>
      </text>
    </comment>
    <comment ref="B30" authorId="0">
      <text>
        <r>
          <rPr>
            <sz val="9"/>
            <color rgb="FF000000"/>
            <rFont val="Arial"/>
            <family val="2"/>
          </rPr>
          <t>TSLA_consensus.json | Page summary_row | 25</t>
        </r>
      </text>
    </comment>
    <comment ref="B31" authorId="0">
      <text>
        <r>
          <rPr>
            <sz val="9"/>
            <color rgb="FF000000"/>
            <rFont val="Arial"/>
            <family val="2"/>
          </rPr>
          <t>TSLA_consensus.json | Page summary_row | 27</t>
        </r>
      </text>
    </comment>
    <comment ref="B32" authorId="0">
      <text>
        <r>
          <rPr>
            <sz val="9"/>
            <color rgb="FF000000"/>
            <rFont val="Arial"/>
            <family val="2"/>
          </rPr>
          <t>TSLA_consensus.json | Page summary_row | 47</t>
        </r>
      </text>
    </comment>
    <comment ref="B33" authorId="0">
      <text>
        <r>
          <rPr>
            <sz val="9"/>
            <color rgb="FF000000"/>
            <rFont val="Arial"/>
            <family val="2"/>
          </rPr>
          <t>TSLA_consensus.json | Page summary_row | 0.45</t>
        </r>
      </text>
    </comment>
    <comment ref="B34" authorId="0">
      <text>
        <r>
          <rPr>
            <sz val="9"/>
            <color rgb="FF000000"/>
            <rFont val="Arial"/>
            <family val="2"/>
          </rPr>
          <t>TSLA_consensus.json | Page summary_row | 0.45</t>
        </r>
      </text>
    </comment>
    <comment ref="B35" authorId="0">
      <text>
        <r>
          <rPr>
            <sz val="9"/>
            <color rgb="FF000000"/>
            <rFont val="Arial"/>
            <family val="2"/>
          </rPr>
          <t>TSLA_consensus.json | Page summary_row | 0.7</t>
        </r>
      </text>
    </comment>
    <comment ref="B36" authorId="0">
      <text>
        <r>
          <rPr>
            <sz val="9"/>
            <color rgb="FF000000"/>
            <rFont val="Arial"/>
            <family val="2"/>
          </rPr>
          <t>TSLA_consensus.json | Page summary_row | 0.3</t>
        </r>
      </text>
    </comment>
    <comment ref="B37" authorId="0">
      <text>
        <r>
          <rPr>
            <sz val="9"/>
            <color rgb="FF000000"/>
            <rFont val="Arial"/>
            <family val="2"/>
          </rPr>
          <t>TSLA_consensus.json | Page summary_row | 0.09</t>
        </r>
      </text>
    </comment>
    <comment ref="B38" authorId="0">
      <text>
        <r>
          <rPr>
            <sz val="9"/>
            <color rgb="FF000000"/>
            <rFont val="Arial"/>
            <family val="2"/>
          </rPr>
          <t>TSLA_consensus.json | Page summary_row | 25</t>
        </r>
      </text>
    </comment>
    <comment ref="B42" authorId="0">
      <text>
        <r>
          <rPr>
            <sz val="9"/>
            <color rgb="FF000000"/>
            <rFont val="Arial"/>
            <family val="2"/>
          </rPr>
          <t>TSLA_consensus.json | Page summary_row | 0.26</t>
        </r>
      </text>
    </comment>
    <comment ref="B43" authorId="0">
      <text>
        <r>
          <rPr>
            <sz val="9"/>
            <color rgb="FF000000"/>
            <rFont val="Arial"/>
            <family val="2"/>
          </rPr>
          <t>TSLA_consensus.json | Page summary_row | 0.21</t>
        </r>
      </text>
    </comment>
    <comment ref="B44" authorId="0">
      <text>
        <r>
          <rPr>
            <sz val="9"/>
            <color rgb="FF000000"/>
            <rFont val="Arial"/>
            <family val="2"/>
          </rPr>
          <t>TSLA_consensus.json | Page summary_row | 0.63</t>
        </r>
      </text>
    </comment>
    <comment ref="B45" authorId="0">
      <text>
        <r>
          <rPr>
            <sz val="9"/>
            <color rgb="FF000000"/>
            <rFont val="Arial"/>
            <family val="2"/>
          </rPr>
          <t>TSLA_consensus.json | Page summary_row | 0.09</t>
        </r>
      </text>
    </comment>
    <comment ref="B46" authorId="0">
      <text>
        <r>
          <rPr>
            <sz val="9"/>
            <color rgb="FF000000"/>
            <rFont val="Arial"/>
            <family val="2"/>
          </rPr>
          <t>TSLA_consensus.json | Page summary_row | 0.15</t>
        </r>
      </text>
    </comment>
    <comment ref="B47" authorId="0">
      <text>
        <r>
          <rPr>
            <sz val="9"/>
            <color rgb="FF000000"/>
            <rFont val="Arial"/>
            <family val="2"/>
          </rPr>
          <t>TSLA_consensus.json | Page summary_row | 19</t>
        </r>
      </text>
    </comment>
    <comment ref="B51" authorId="0">
      <text>
        <r>
          <rPr>
            <sz val="9"/>
            <color rgb="FF000000"/>
            <rFont val="Arial"/>
            <family val="2"/>
          </rPr>
          <t>TSLA_consensus.json | Page summary_row | 28111.09</t>
        </r>
      </text>
    </comment>
    <comment ref="B52" authorId="0">
      <text>
        <r>
          <rPr>
            <sz val="9"/>
            <color rgb="FF000000"/>
            <rFont val="Arial"/>
            <family val="2"/>
          </rPr>
          <t>TSLA_consensus.json | Page summary_row | 28201.49</t>
        </r>
      </text>
    </comment>
    <comment ref="B53" authorId="0">
      <text>
        <r>
          <rPr>
            <sz val="9"/>
            <color rgb="FF000000"/>
            <rFont val="Arial"/>
            <family val="2"/>
          </rPr>
          <t>TSLA_consensus.json | Page summary_row | 30584.55</t>
        </r>
      </text>
    </comment>
    <comment ref="B54" authorId="0">
      <text>
        <r>
          <rPr>
            <sz val="9"/>
            <color rgb="FF000000"/>
            <rFont val="Arial"/>
            <family val="2"/>
          </rPr>
          <t>TSLA_consensus.json | Page summary_row | 24286.5</t>
        </r>
      </text>
    </comment>
    <comment ref="B55" authorId="0">
      <text>
        <r>
          <rPr>
            <sz val="9"/>
            <color rgb="FF000000"/>
            <rFont val="Arial"/>
            <family val="2"/>
          </rPr>
          <t>TSLA_consensus.json | Page summary_row | 1200.08</t>
        </r>
      </text>
    </comment>
    <comment ref="B56" authorId="0">
      <text>
        <r>
          <rPr>
            <sz val="9"/>
            <color rgb="FF000000"/>
            <rFont val="Arial"/>
            <family val="2"/>
          </rPr>
          <t>TSLA_consensus.json | Page summary_row | 28</t>
        </r>
      </text>
    </comment>
    <comment ref="B60" authorId="0">
      <text>
        <r>
          <rPr>
            <sz val="9"/>
            <color rgb="FF000000"/>
            <rFont val="Arial"/>
            <family val="2"/>
          </rPr>
          <t>TSLA_consensus.json | Page summary_row | 3790.55</t>
        </r>
      </text>
    </comment>
    <comment ref="B61" authorId="0">
      <text>
        <r>
          <rPr>
            <sz val="9"/>
            <color rgb="FF000000"/>
            <rFont val="Arial"/>
            <family val="2"/>
          </rPr>
          <t>TSLA_consensus.json | Page summary_row | 916.45</t>
        </r>
      </text>
    </comment>
    <comment ref="B62" authorId="0">
      <text>
        <r>
          <rPr>
            <sz val="9"/>
            <color rgb="FF000000"/>
            <rFont val="Arial"/>
            <family val="2"/>
          </rPr>
          <t>TSLA_consensus.json | Page summary_row | 2123.88</t>
        </r>
      </text>
    </comment>
    <comment ref="B63" authorId="0">
      <text>
        <r>
          <rPr>
            <sz val="9"/>
            <color rgb="FF000000"/>
            <rFont val="Arial"/>
            <family val="2"/>
          </rPr>
          <t>TSLA_consensus.json | Page summary_row | 1163.66</t>
        </r>
      </text>
    </comment>
    <comment ref="B64" authorId="0">
      <text>
        <r>
          <rPr>
            <sz val="9"/>
            <color rgb="FF000000"/>
            <rFont val="Arial"/>
            <family val="2"/>
          </rPr>
          <t>TSLA_consensus.json | Page summary_row | 1600.79</t>
        </r>
      </text>
    </comment>
    <comment ref="B65" authorId="0">
      <text>
        <r>
          <rPr>
            <sz val="9"/>
            <color rgb="FF000000"/>
            <rFont val="Arial"/>
            <family val="2"/>
          </rPr>
          <t>TSLA_consensus.json | Page summary_row | 922.77</t>
        </r>
      </text>
    </comment>
    <comment ref="B72" authorId="0">
      <text>
        <r>
          <rPr>
            <sz val="9"/>
            <color rgb="FF000000"/>
            <rFont val="Arial"/>
            <family val="2"/>
          </rPr>
          <t>TSLA_consensus.json | Page summary_row | -85.33</t>
        </r>
      </text>
    </comment>
    <comment ref="B73" authorId="0">
      <text>
        <r>
          <rPr>
            <sz val="9"/>
            <color rgb="FF000000"/>
            <rFont val="Arial"/>
            <family val="2"/>
          </rPr>
          <t>TSLA_consensus.json | Page summary_row | -29990.33</t>
        </r>
      </text>
    </comment>
    <comment ref="B76" authorId="0">
      <text>
        <r>
          <rPr>
            <sz val="9"/>
            <color rgb="FF000000"/>
            <rFont val="Arial"/>
            <family val="2"/>
          </rPr>
          <t>TSLA_consensus.json | Page summary_row | 397.83</t>
        </r>
      </text>
    </comment>
    <comment ref="B77" authorId="0">
      <text>
        <r>
          <rPr>
            <sz val="9"/>
            <color rgb="FF000000"/>
            <rFont val="Arial"/>
            <family val="2"/>
          </rPr>
          <t>TSLA_consensus.json | Page summary_row | 412.5</t>
        </r>
      </text>
    </comment>
    <comment ref="B78" authorId="0">
      <text>
        <r>
          <rPr>
            <sz val="9"/>
            <color rgb="FF000000"/>
            <rFont val="Arial"/>
            <family val="2"/>
          </rPr>
          <t>TSLA_consensus.json | Page summary_row | 600.0</t>
        </r>
      </text>
    </comment>
    <comment ref="B79" authorId="0">
      <text>
        <r>
          <rPr>
            <sz val="9"/>
            <color rgb="FF000000"/>
            <rFont val="Arial"/>
            <family val="2"/>
          </rPr>
          <t>TSLA_consensus.json | Page summary_row | 128.11</t>
        </r>
      </text>
    </comment>
    <comment ref="B80" authorId="0">
      <text>
        <r>
          <rPr>
            <sz val="9"/>
            <color rgb="FF000000"/>
            <rFont val="Arial"/>
            <family val="2"/>
          </rPr>
          <t>TSLA_consensus.json | Page summary_row | 102.61</t>
        </r>
      </text>
    </comment>
    <comment ref="B81" authorId="0">
      <text>
        <r>
          <rPr>
            <sz val="9"/>
            <color rgb="FF000000"/>
            <rFont val="Arial"/>
            <family val="2"/>
          </rPr>
          <t>TSLA_consensus.json | Page summary_row | 38</t>
        </r>
      </text>
    </comment>
    <comment ref="B82" authorId="0">
      <text>
        <r>
          <rPr>
            <sz val="9"/>
            <color rgb="FF000000"/>
            <rFont val="Arial"/>
            <family val="2"/>
          </rPr>
          <t>TSLA_consensus.json | Page summary_row | Outperform</t>
        </r>
      </text>
    </comment>
    <comment ref="B83" authorId="0">
      <text>
        <r>
          <rPr>
            <sz val="9"/>
            <color rgb="FF000000"/>
            <rFont val="Arial"/>
            <family val="2"/>
          </rPr>
          <t>TSLA_consensus.json | Page summary_row | 2.36</t>
        </r>
      </text>
    </comment>
    <comment ref="B84" authorId="0">
      <text>
        <r>
          <rPr>
            <sz val="9"/>
            <color rgb="FF000000"/>
            <rFont val="Arial"/>
            <family val="2"/>
          </rPr>
          <t>TSLA_consensus.json | Page summary_row | 354.72</t>
        </r>
      </text>
    </comment>
    <comment ref="B85" authorId="0">
      <text>
        <r>
          <rPr>
            <sz val="9"/>
            <color rgb="FF000000"/>
            <rFont val="Arial"/>
            <family val="2"/>
          </rPr>
          <t>TSLA_consensus.json | Page summary_row | 498.83/297.38</t>
        </r>
      </text>
    </comment>
    <comment ref="B86" authorId="0">
      <text>
        <r>
          <rPr>
            <sz val="9"/>
            <color rgb="FF000000"/>
            <rFont val="Arial"/>
            <family val="2"/>
          </rPr>
          <t>TSLA_consensus.json | Page summary_row | 2026-10-18</t>
        </r>
      </text>
    </comment>
    <comment ref="B88" authorId="0">
      <text>
        <r>
          <rPr>
            <sz val="9"/>
            <color rgb="FF000000"/>
            <rFont val="Arial"/>
            <family val="2"/>
          </rPr>
          <t>TSLA_consensus.json | Page metric_units | {"eps_currency": "USD", "eps_share_unit": "diluted ordinary/common share", "revenue_currency": "USD", "financial_amount_scale": "millions"}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TSLA_history.csv | Page row 2 | 0.41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TSLA_history.csv | Page row 2 | 0.27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TSLA_history.csv | Page row 2 | 0.35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TSLA_history.csv | Page row 2 | 0.12</t>
        </r>
      </text>
    </comment>
    <comment ref="G92" authorId="0">
      <text>
        <r>
          <rPr>
            <sz val="9"/>
            <color rgb="FF000000"/>
            <rFont val="Arial"/>
            <family val="2"/>
          </rPr>
          <t>TSLA_history.csv | Page row 2 | 21,326.71</t>
        </r>
      </text>
    </comment>
    <comment ref="H92" authorId="0">
      <text>
        <r>
          <rPr>
            <sz val="9"/>
            <color rgb="FF000000"/>
            <rFont val="Arial"/>
            <family val="2"/>
          </rPr>
          <t>TSLA_history.csv | Page row 2 | 19,335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TSLA_history.csv | Page row 3 | 0.4</t>
        </r>
      </text>
    </comment>
    <comment ref="D93" authorId="0">
      <text>
        <r>
          <rPr>
            <sz val="9"/>
            <color rgb="FF000000"/>
            <rFont val="Arial"/>
            <family val="2"/>
          </rPr>
          <t>TSLA_history.csv | Page row 3 | 0.4</t>
        </r>
      </text>
    </comment>
    <comment ref="E93" authorId="0">
      <text>
        <r>
          <rPr>
            <sz val="9"/>
            <color rgb="FF000000"/>
            <rFont val="Arial"/>
            <family val="2"/>
          </rPr>
          <t>TSLA_history.csv | Page row 3 | 0.3</t>
        </r>
      </text>
    </comment>
    <comment ref="F93" authorId="0">
      <text>
        <r>
          <rPr>
            <sz val="9"/>
            <color rgb="FF000000"/>
            <rFont val="Arial"/>
            <family val="2"/>
          </rPr>
          <t>TSLA_history.csv | Page row 3 | 0.33</t>
        </r>
      </text>
    </comment>
    <comment ref="G93" authorId="0">
      <text>
        <r>
          <rPr>
            <sz val="9"/>
            <color rgb="FF000000"/>
            <rFont val="Arial"/>
            <family val="2"/>
          </rPr>
          <t>TSLA_history.csv | Page row 3 | 22,087.63</t>
        </r>
      </text>
    </comment>
    <comment ref="H93" authorId="0">
      <text>
        <r>
          <rPr>
            <sz val="9"/>
            <color rgb="FF000000"/>
            <rFont val="Arial"/>
            <family val="2"/>
          </rPr>
          <t>TSLA_history.csv | Page row 3 | 22,496</t>
        </r>
      </text>
    </comment>
    <comment ref="C94" authorId="0">
      <text>
        <r>
          <rPr>
            <sz val="9"/>
            <color rgb="FF000000"/>
            <rFont val="Arial"/>
            <family val="2"/>
          </rPr>
          <t>TSLA_history.csv | Page row 4 | 0.56</t>
        </r>
      </text>
    </comment>
    <comment ref="D94" authorId="0">
      <text>
        <r>
          <rPr>
            <sz val="9"/>
            <color rgb="FF000000"/>
            <rFont val="Arial"/>
            <family val="2"/>
          </rPr>
          <t>TSLA_history.csv | Page row 4 | 0.5</t>
        </r>
      </text>
    </comment>
    <comment ref="E94" authorId="0">
      <text>
        <r>
          <rPr>
            <sz val="9"/>
            <color rgb="FF000000"/>
            <rFont val="Arial"/>
            <family val="2"/>
          </rPr>
          <t>TSLA_history.csv | Page row 4 | 0.44</t>
        </r>
      </text>
    </comment>
    <comment ref="F94" authorId="0">
      <text>
        <r>
          <rPr>
            <sz val="9"/>
            <color rgb="FF000000"/>
            <rFont val="Arial"/>
            <family val="2"/>
          </rPr>
          <t>TSLA_history.csv | Page row 4 | 0.39</t>
        </r>
      </text>
    </comment>
    <comment ref="G94" authorId="0">
      <text>
        <r>
          <rPr>
            <sz val="9"/>
            <color rgb="FF000000"/>
            <rFont val="Arial"/>
            <family val="2"/>
          </rPr>
          <t>TSLA_history.csv | Page row 4 | 26,703.56</t>
        </r>
      </text>
    </comment>
    <comment ref="H94" authorId="0">
      <text>
        <r>
          <rPr>
            <sz val="9"/>
            <color rgb="FF000000"/>
            <rFont val="Arial"/>
            <family val="2"/>
          </rPr>
          <t>TSLA_history.csv | Page row 4 | 28,095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TSLA_history.csv | Page row 5 | 0.45</t>
        </r>
      </text>
    </comment>
    <comment ref="D95" authorId="0">
      <text>
        <r>
          <rPr>
            <sz val="9"/>
            <color rgb="FF000000"/>
            <rFont val="Arial"/>
            <family val="2"/>
          </rPr>
          <t>TSLA_history.csv | Page row 5 | 0.5</t>
        </r>
      </text>
    </comment>
    <comment ref="E95" authorId="0">
      <text>
        <r>
          <rPr>
            <sz val="9"/>
            <color rgb="FF000000"/>
            <rFont val="Arial"/>
            <family val="2"/>
          </rPr>
          <t>TSLA_history.csv | Page row 5 | 0.35</t>
        </r>
      </text>
    </comment>
    <comment ref="F95" authorId="0">
      <text>
        <r>
          <rPr>
            <sz val="9"/>
            <color rgb="FF000000"/>
            <rFont val="Arial"/>
            <family val="2"/>
          </rPr>
          <t>TSLA_history.csv | Page row 5 | 0.24</t>
        </r>
      </text>
    </comment>
    <comment ref="G95" authorId="0">
      <text>
        <r>
          <rPr>
            <sz val="9"/>
            <color rgb="FF000000"/>
            <rFont val="Arial"/>
            <family val="2"/>
          </rPr>
          <t>TSLA_history.csv | Page row 5 | 24,779.93</t>
        </r>
      </text>
    </comment>
    <comment ref="H95" authorId="0">
      <text>
        <r>
          <rPr>
            <sz val="9"/>
            <color rgb="FF000000"/>
            <rFont val="Arial"/>
            <family val="2"/>
          </rPr>
          <t>TSLA_history.csv | Page row 5 | 24,901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TSLA_history.csv | Page row 6 | 0.35</t>
        </r>
      </text>
    </comment>
    <comment ref="D96" authorId="0">
      <text>
        <r>
          <rPr>
            <sz val="9"/>
            <color rgb="FF000000"/>
            <rFont val="Arial"/>
            <family val="2"/>
          </rPr>
          <t>TSLA_history.csv | Page row 6 | 0.41</t>
        </r>
      </text>
    </comment>
    <comment ref="E96" authorId="0">
      <text>
        <r>
          <rPr>
            <sz val="9"/>
            <color rgb="FF000000"/>
            <rFont val="Arial"/>
            <family val="2"/>
          </rPr>
          <t>TSLA_history.csv | Page row 6 | 0.2</t>
        </r>
      </text>
    </comment>
    <comment ref="F96" authorId="0">
      <text>
        <r>
          <rPr>
            <sz val="9"/>
            <color rgb="FF000000"/>
            <rFont val="Arial"/>
            <family val="2"/>
          </rPr>
          <t>TSLA_history.csv | Page row 6 | 0.13</t>
        </r>
      </text>
    </comment>
    <comment ref="G96" authorId="0">
      <text>
        <r>
          <rPr>
            <sz val="9"/>
            <color rgb="FF000000"/>
            <rFont val="Arial"/>
            <family val="2"/>
          </rPr>
          <t>TSLA_history.csv | Page row 6 | 22,208.11</t>
        </r>
      </text>
    </comment>
    <comment ref="H96" authorId="0">
      <text>
        <r>
          <rPr>
            <sz val="9"/>
            <color rgb="FF000000"/>
            <rFont val="Arial"/>
            <family val="2"/>
          </rPr>
          <t>TSLA_history.csv | Page row 6 | 22,387</t>
        </r>
      </text>
    </comment>
    <comment ref="C97" authorId="0">
      <text>
        <r>
          <rPr>
            <sz val="9"/>
            <color rgb="FF000000"/>
            <rFont val="Arial"/>
            <family val="2"/>
          </rPr>
          <t>TSLA_history.csv | Page row 7 | 0.54</t>
        </r>
      </text>
    </comment>
    <comment ref="D97" authorId="0">
      <text>
        <r>
          <rPr>
            <sz val="9"/>
            <color rgb="FF000000"/>
            <rFont val="Arial"/>
            <family val="2"/>
          </rPr>
          <t>TSLA_history.csv | Page row 7 | 0.33</t>
        </r>
      </text>
    </comment>
    <comment ref="E97" authorId="0">
      <text>
        <r>
          <rPr>
            <sz val="9"/>
            <color rgb="FF000000"/>
            <rFont val="Arial"/>
            <family val="2"/>
          </rPr>
          <t>TSLA_history.csv | Page row 7 | 0.32</t>
        </r>
      </text>
    </comment>
    <comment ref="F97" authorId="0">
      <text>
        <r>
          <rPr>
            <sz val="9"/>
            <color rgb="FF000000"/>
            <rFont val="Arial"/>
            <family val="2"/>
          </rPr>
          <t>TSLA_history.csv | Page row 7 | 0.32</t>
        </r>
      </text>
    </comment>
    <comment ref="G97" authorId="0">
      <text>
        <r>
          <rPr>
            <sz val="9"/>
            <color rgb="FF000000"/>
            <rFont val="Arial"/>
            <family val="2"/>
          </rPr>
          <t>TSLA_history.csv | Page row 7 | 26,485.09</t>
        </r>
      </text>
    </comment>
    <comment ref="H97" authorId="0">
      <text>
        <r>
          <rPr>
            <sz val="9"/>
            <color rgb="FF000000"/>
            <rFont val="Arial"/>
            <family val="2"/>
          </rPr>
          <t>TSLA_history.csv | Page row 7 | 28,236</t>
        </r>
      </text>
    </comment>
    <comment ref="B100" authorId="0">
      <text>
        <r>
          <rPr>
            <sz val="9"/>
            <color rgb="FF000000"/>
            <rFont val="Arial"/>
            <family val="2"/>
          </rPr>
          <t>StatMuse Money - Tesla market cap 2026 | Page n/a | 1,400,984</t>
        </r>
      </text>
    </comment>
    <comment ref="B102" authorId="0">
      <text>
        <r>
          <rPr>
            <sz val="9"/>
            <color rgb="FF000000"/>
            <rFont val="Arial"/>
            <family val="2"/>
          </rPr>
          <t>S&amp;P Dow Jones Indices press release 2020-11-16 | Page n/a | Yes (added 21-Dec-2020)</t>
        </r>
      </text>
    </comment>
    <comment ref="B115" authorId="0">
      <text>
        <r>
          <rPr>
            <sz val="9"/>
            <color rgb="FF000000"/>
            <rFont val="Arial"/>
            <family val="2"/>
          </rPr>
          <t>fx.initask.com USD-CNY ECB reference (2025-06-30) | Page n/a | 7.1647</t>
        </r>
      </text>
    </comment>
    <comment ref="B116" authorId="0">
      <text>
        <r>
          <rPr>
            <sz val="9"/>
            <color rgb="FF000000"/>
            <rFont val="Arial"/>
            <family val="2"/>
          </rPr>
          <t>exa.ai USDCNY daily 2025-09-30 | Page n/a | 7.121</t>
        </r>
      </text>
    </comment>
    <comment ref="B117" authorId="0">
      <text>
        <r>
          <rPr>
            <sz val="9"/>
            <color rgb="FF000000"/>
            <rFont val="Arial"/>
            <family val="2"/>
          </rPr>
          <t>exa.ai USDCNY daily 2025-12-31 | Page n/a | 6.9879</t>
        </r>
      </text>
    </comment>
    <comment ref="B118" authorId="0">
      <text>
        <r>
          <rPr>
            <sz val="9"/>
            <color rgb="FF000000"/>
            <rFont val="Arial"/>
            <family val="2"/>
          </rPr>
          <t>exa.ai USDCNY daily 2026-03-31 | Page n/a | 6.8881</t>
        </r>
      </text>
    </comment>
    <comment ref="B119" authorId="0">
      <text>
        <r>
          <rPr>
            <sz val="9"/>
            <color rgb="FF000000"/>
            <rFont val="Arial"/>
            <family val="2"/>
          </rPr>
          <t>exa.ai USDCNY daily 2026-06-30 | Page n/a | 6.788</t>
        </r>
      </text>
    </comment>
    <comment ref="B120" authorId="0">
      <text>
        <r>
          <rPr>
            <sz val="9"/>
            <color rgb="FF000000"/>
            <rFont val="Arial"/>
            <family val="2"/>
          </rPr>
          <t>Yahoo Finance USDCNY=X history 2026-09-30 | Page n/a | 6.703</t>
        </r>
      </text>
    </comment>
    <comment ref="B121" authorId="0">
      <text>
        <r>
          <rPr>
            <sz val="9"/>
            <color rgb="FF000000"/>
            <rFont val="Arial"/>
            <family val="2"/>
          </rPr>
          <t>StatMuse Money - Bitcoin price June 2026 | Page n/a | 58,558.86</t>
        </r>
      </text>
    </comment>
    <comment ref="B122" authorId="0">
      <text>
        <r>
          <rPr>
            <sz val="9"/>
            <color rgb="FF000000"/>
            <rFont val="Arial"/>
            <family val="2"/>
          </rPr>
          <t>StatMuse Money - Bitcoin Q3 closing price | Page n/a | 83,553.85</t>
        </r>
      </text>
    </comment>
    <comment ref="B123" authorId="0">
      <text>
        <r>
          <rPr>
            <sz val="9"/>
            <color rgb="FF000000"/>
            <rFont val="Arial"/>
            <family val="2"/>
          </rPr>
          <t>exa.ai SPCX daily 2026-06-30 | Page n/a | 170.86</t>
        </r>
      </text>
    </comment>
    <comment ref="B124" authorId="0">
      <text>
        <r>
          <rPr>
            <sz val="9"/>
            <color rgb="FF000000"/>
            <rFont val="Arial"/>
            <family val="2"/>
          </rPr>
          <t>Bullstory SPCX history 2026-09-30 | Page n/a | 150.86</t>
        </r>
      </text>
    </comment>
    <comment ref="B125" authorId="0">
      <text>
        <r>
          <rPr>
            <sz val="9"/>
            <color rgb="FF000000"/>
            <rFont val="Arial"/>
            <family val="2"/>
          </rPr>
          <t>Tesla Q2-2026 Update (8-K Ex.99.1) exhibit991.htm | Page 29 | 2,002</t>
        </r>
      </text>
    </comment>
    <comment ref="B129" authorId="0">
      <text>
        <r>
          <rPr>
            <sz val="9"/>
            <color rgb="FF000000"/>
            <rFont val="Arial"/>
            <family val="2"/>
          </rPr>
          <t>Zacks via Yahoo Finance 2026-10-13 | Page n/a | 0.44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Zacks via Yahoo Finance 2026-10-13 | Page n/a | 27,800</t>
        </r>
      </text>
    </comment>
    <comment ref="B130" authorId="0">
      <text>
        <r>
          <rPr>
            <sz val="9"/>
            <color rgb="FF000000"/>
            <rFont val="Arial"/>
            <family val="2"/>
          </rPr>
          <t>Zacks via Yahoo Finance 2026-10-13 | Page n/a | 0.38</t>
        </r>
      </text>
    </comment>
    <comment ref="B131" authorId="0">
      <text>
        <r>
          <rPr>
            <sz val="9"/>
            <color rgb="FF000000"/>
            <rFont val="Arial"/>
            <family val="2"/>
          </rPr>
          <t>S&amp;P Global / Visible Alpha 2026-10-15 | Page n/a | 0.44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S&amp;P Global / Visible Alpha 2026-10-15 | Page n/a | 28,040</t>
        </r>
      </text>
    </comment>
    <comment ref="B133" authorId="0">
      <text>
        <r>
          <rPr>
            <sz val="9"/>
            <color rgb="FF000000"/>
            <rFont val="Arial"/>
            <family val="2"/>
          </rPr>
          <t>Tesla IR Q3 2026 Delivery Consensus 2026-09-29 | Page n/a | 461,974</t>
        </r>
      </text>
    </comment>
    <comment ref="B134" authorId="0">
      <text>
        <r>
          <rPr>
            <sz val="9"/>
            <color rgb="FF000000"/>
            <rFont val="Arial"/>
            <family val="2"/>
          </rPr>
          <t>Insight Times / Elonosphere 2026-10-06/15 | Page n/a | 15.9</t>
        </r>
      </text>
    </comment>
    <comment ref="B138" authorId="0">
      <text>
        <r>
          <rPr>
            <sz val="9"/>
            <color rgb="FF000000"/>
            <rFont val="Arial"/>
            <family val="2"/>
          </rPr>
          <t>Tesla Form 10-K FY2025 tsla-20251231.htm | Page R44 Revenue by source | 12,270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8,548</t>
        </r>
      </text>
    </comment>
    <comment ref="B139" authorId="0">
      <text>
        <r>
          <rPr>
            <sz val="9"/>
            <color rgb="FF000000"/>
            <rFont val="Arial"/>
            <family val="2"/>
          </rPr>
          <t>Tesla Form 10-K FY2025 tsla-20251231.htm | Page R44 Revenue by source | 501</t>
        </r>
      </text>
    </comment>
    <comment ref="C139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386</t>
        </r>
      </text>
    </comment>
    <comment ref="B140" authorId="0">
      <text>
        <r>
          <rPr>
            <sz val="9"/>
            <color rgb="FF000000"/>
            <rFont val="Arial"/>
            <family val="2"/>
          </rPr>
          <t>Tesla Form 10-K FY2025 tsla-20251231.htm | Page R94 Revenues by geographic area | 47,627</t>
        </r>
      </text>
    </comment>
    <comment ref="C140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36,740</t>
        </r>
      </text>
    </comment>
    <comment ref="B141" authorId="0">
      <text>
        <r>
          <rPr>
            <sz val="9"/>
            <color rgb="FF000000"/>
            <rFont val="Arial"/>
            <family val="2"/>
          </rPr>
          <t>Tesla Form 10-K FY2025 tsla-20251231.htm | Page R94 Revenues by geographic area | 20,962</t>
        </r>
      </text>
    </comment>
    <comment ref="C141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14,261</t>
        </r>
      </text>
    </comment>
    <comment ref="B142" authorId="0">
      <text>
        <r>
          <rPr>
            <sz val="9"/>
            <color rgb="FF000000"/>
            <rFont val="Arial"/>
            <family val="2"/>
          </rPr>
          <t>Tesla Form 10-K FY2025 tsla-20251231.htm | Page R94 Revenues by geographic area | 26,238</t>
        </r>
      </text>
    </comment>
    <comment ref="C142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18,925</t>
        </r>
      </text>
    </comment>
    <comment ref="B143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82,056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60,992</t>
        </r>
      </text>
    </comment>
    <comment ref="B144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68,764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51,611</t>
        </r>
      </text>
    </comment>
    <comment ref="B145" authorId="0">
      <text>
        <r>
          <rPr>
            <sz val="9"/>
            <color rgb="FF000000"/>
            <rFont val="Arial"/>
            <family val="2"/>
          </rPr>
          <t>Tesla Form 10-K FY2025 tsla-20251231.htm | Page R44 Revenue by source | 9,564</t>
        </r>
      </text>
    </comment>
    <comment ref="C145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6,616</t>
        </r>
      </text>
    </comment>
    <comment ref="B146" authorId="0">
      <text>
        <r>
          <rPr>
            <sz val="9"/>
            <color rgb="FF000000"/>
            <rFont val="Arial"/>
            <family val="2"/>
          </rPr>
          <t>Tesla Form 10-K FY2025 tsla-20251231.htm | Page R44 Revenue by source | 522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409</t>
        </r>
      </text>
    </comment>
    <comment ref="B147" authorId="0">
      <text>
        <r>
          <rPr>
            <sz val="9"/>
            <color rgb="FF000000"/>
            <rFont val="Arial"/>
            <family val="2"/>
          </rPr>
          <t>Tesla Form 10-K FY2025 tsla-20251231.htm | Page R94 Revenues by geographic area | 47,725</t>
        </r>
      </text>
    </comment>
    <comment ref="C147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35,602</t>
        </r>
      </text>
    </comment>
    <comment ref="B148" authorId="0">
      <text>
        <r>
          <rPr>
            <sz val="9"/>
            <color rgb="FF000000"/>
            <rFont val="Arial"/>
            <family val="2"/>
          </rPr>
          <t>Tesla Form 10-K FY2025 tsla-20251231.htm | Page R94 Revenues by geographic area | 20,944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14,893</t>
        </r>
      </text>
    </comment>
    <comment ref="B149" authorId="0">
      <text>
        <r>
          <rPr>
            <sz val="9"/>
            <color rgb="FF000000"/>
            <rFont val="Arial"/>
            <family val="2"/>
          </rPr>
          <t>Tesla Form 10-K FY2025 tsla-20251231.htm | Page R94 Revenues by geographic area | 29,021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21,488</t>
        </r>
      </text>
    </comment>
    <comment ref="B150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87,604</t>
        </r>
      </text>
    </comment>
    <comment ref="C150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64,958</t>
        </r>
      </text>
    </comment>
    <comment ref="B151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72,794</t>
        </r>
      </text>
    </comment>
    <comment ref="C151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53,555</t>
        </r>
      </text>
    </comment>
    <comment ref="B165" authorId="0">
      <text>
        <r>
          <rPr>
            <sz val="9"/>
            <color rgb="FF000000"/>
            <rFont val="Arial"/>
            <family val="2"/>
          </rPr>
          <t>Tesla Q3-2025 Update (8-K Ex.99.1) exhibit991.htm | Page 5 | 443,668</t>
        </r>
      </text>
    </comment>
    <comment ref="C165" authorId="0">
      <text>
        <r>
          <rPr>
            <sz val="9"/>
            <color rgb="FF000000"/>
            <rFont val="Arial"/>
            <family val="2"/>
          </rPr>
          <t>Tesla Q4-FY2025 Update (8-K Ex.99.1) exhibit991.htm | Page 6 | 436,718</t>
        </r>
      </text>
    </comment>
    <comment ref="D165" authorId="0">
      <text>
        <r>
          <rPr>
            <sz val="9"/>
            <color rgb="FF000000"/>
            <rFont val="Arial"/>
            <family val="2"/>
          </rPr>
          <t>Tesla Q4-FY2025 Update (8-K Ex.99.1) exhibit991.htm | Page 6 | 345,454</t>
        </r>
      </text>
    </comment>
    <comment ref="E165" authorId="0">
      <text>
        <r>
          <rPr>
            <sz val="9"/>
            <color rgb="FF000000"/>
            <rFont val="Arial"/>
            <family val="2"/>
          </rPr>
          <t>Tesla Q2-2026 Update (8-K Ex.99.1) exhibit991.htm | Page 5 | 396,835</t>
        </r>
      </text>
    </comment>
    <comment ref="F165" authorId="0">
      <text>
        <r>
          <rPr>
            <sz val="9"/>
            <color rgb="FF000000"/>
            <rFont val="Arial"/>
            <family val="2"/>
          </rPr>
          <t>Tesla Q4-2024 Update (8-K Ex.99.1) tsla-20250129-gen.pdf | Page 8 | 1,679,338</t>
        </r>
      </text>
    </comment>
    <comment ref="B166" authorId="0">
      <text>
        <r>
          <rPr>
            <sz val="9"/>
            <color rgb="FF000000"/>
            <rFont val="Arial"/>
            <family val="2"/>
          </rPr>
          <t>Tesla Q3-2025 Update (8-K Ex.99.1) exhibit991.htm | Page 5 | 26,128</t>
        </r>
      </text>
    </comment>
    <comment ref="C166" authorId="0">
      <text>
        <r>
          <rPr>
            <sz val="9"/>
            <color rgb="FF000000"/>
            <rFont val="Arial"/>
            <family val="2"/>
          </rPr>
          <t>Tesla Q4-FY2025 Update (8-K Ex.99.1) exhibit991.htm | Page 6 | 22,727</t>
        </r>
      </text>
    </comment>
    <comment ref="D166" authorId="0">
      <text>
        <r>
          <rPr>
            <sz val="9"/>
            <color rgb="FF000000"/>
            <rFont val="Arial"/>
            <family val="2"/>
          </rPr>
          <t>Tesla Q4-FY2025 Update (8-K Ex.99.1) exhibit991.htm | Page 6 | 17,161</t>
        </r>
      </text>
    </comment>
    <comment ref="E166" authorId="0">
      <text>
        <r>
          <rPr>
            <sz val="9"/>
            <color rgb="FF000000"/>
            <rFont val="Arial"/>
            <family val="2"/>
          </rPr>
          <t>Tesla Q2-2026 Update (8-K Ex.99.1) exhibit991.htm | Page 5 | 13,409</t>
        </r>
      </text>
    </comment>
    <comment ref="F166" authorId="0">
      <text>
        <r>
          <rPr>
            <sz val="9"/>
            <color rgb="FF000000"/>
            <rFont val="Arial"/>
            <family val="2"/>
          </rPr>
          <t>Tesla Q4-2024 Update (8-K Ex.99.1) tsla-20250129-gen.pdf | Page 8 | 94,105</t>
        </r>
      </text>
    </comment>
    <comment ref="B168" authorId="0">
      <text>
        <r>
          <rPr>
            <sz val="9"/>
            <color rgb="FF000000"/>
            <rFont val="Arial"/>
            <family val="2"/>
          </rPr>
          <t>Tesla Q3-2025 Update (8-K Ex.99.1) exhibit991.htm | Page 5 | 439,975</t>
        </r>
      </text>
    </comment>
    <comment ref="C168" authorId="0">
      <text>
        <r>
          <rPr>
            <sz val="9"/>
            <color rgb="FF000000"/>
            <rFont val="Arial"/>
            <family val="2"/>
          </rPr>
          <t>Tesla Q4-FY2025 Update (8-K Ex.99.1) exhibit991.htm | Page 6 | 471,930</t>
        </r>
      </text>
    </comment>
    <comment ref="D168" authorId="0">
      <text>
        <r>
          <rPr>
            <sz val="9"/>
            <color rgb="FF000000"/>
            <rFont val="Arial"/>
            <family val="2"/>
          </rPr>
          <t>Tesla Q4-FY2025 Update (8-K Ex.99.1) exhibit991.htm | Page 6 | 323,800</t>
        </r>
      </text>
    </comment>
    <comment ref="E168" authorId="0">
      <text>
        <r>
          <rPr>
            <sz val="9"/>
            <color rgb="FF000000"/>
            <rFont val="Arial"/>
            <family val="2"/>
          </rPr>
          <t>Tesla Q2-2026 Update (8-K Ex.99.1) exhibit991.htm | Page 5 | 373,728</t>
        </r>
      </text>
    </comment>
    <comment ref="F168" authorId="0">
      <text>
        <r>
          <rPr>
            <sz val="9"/>
            <color rgb="FF000000"/>
            <rFont val="Arial"/>
            <family val="2"/>
          </rPr>
          <t>Tesla Q4-2024 Update (8-K Ex.99.1) tsla-20250129-gen.pdf | Page 8 | 1,704,093</t>
        </r>
      </text>
    </comment>
    <comment ref="B169" authorId="0">
      <text>
        <r>
          <rPr>
            <sz val="9"/>
            <color rgb="FF000000"/>
            <rFont val="Arial"/>
            <family val="2"/>
          </rPr>
          <t>Tesla Q3-2025 Update (8-K Ex.99.1) exhibit991.htm | Page 5 | 22,915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Tesla Q4-FY2025 Update (8-K Ex.99.1) exhibit991.htm | Page 6 | 23,640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Tesla Q4-FY2025 Update (8-K Ex.99.1) exhibit991.htm | Page 6 | 12,881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Tesla Q2-2026 Update (8-K Ex.99.1) exhibit991.htm | Page 5 | 10,394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Tesla Q4-2024 Update (8-K Ex.99.1) tsla-20250129-gen.pdf | Page 8 | 85,133</t>
        </r>
      </text>
    </comment>
    <comment ref="B173" authorId="0">
      <text>
        <r>
          <rPr>
            <sz val="9"/>
            <color rgb="FF000000"/>
            <rFont val="Arial"/>
            <family val="2"/>
          </rPr>
          <t>Tesla Q3-2025 Update (8-K Ex.99.1) exhibit991.htm | Page 5 | 19</t>
        </r>
      </text>
    </comment>
    <comment ref="C173" authorId="0">
      <text>
        <r>
          <rPr>
            <sz val="9"/>
            <color rgb="FF000000"/>
            <rFont val="Arial"/>
            <family val="2"/>
          </rPr>
          <t>Tesla Q4-FY2025 Update (8-K Ex.99.1) exhibit991.htm | Page 6 | 12</t>
        </r>
      </text>
    </comment>
    <comment ref="D173" authorId="0">
      <text>
        <r>
          <rPr>
            <sz val="9"/>
            <color rgb="FF000000"/>
            <rFont val="Arial"/>
            <family val="2"/>
          </rPr>
          <t>Tesla Q4-FY2025 Update (8-K Ex.99.1) exhibit991.htm | Page 6 | 22</t>
        </r>
      </text>
    </comment>
    <comment ref="E173" authorId="0">
      <text>
        <r>
          <rPr>
            <sz val="9"/>
            <color rgb="FF000000"/>
            <rFont val="Arial"/>
            <family val="2"/>
          </rPr>
          <t>Tesla Q2-2026 Update (8-K Ex.99.1) exhibit991.htm | Page 5 | 24</t>
        </r>
      </text>
    </comment>
    <comment ref="B174" authorId="0">
      <text>
        <r>
          <rPr>
            <sz val="9"/>
            <color rgb="FF000000"/>
            <rFont val="Arial"/>
            <family val="2"/>
          </rPr>
          <t>Tesla Q3-2025 Update (8-K Ex.99.1) exhibit991.htm | Page 5 | 14,449</t>
        </r>
      </text>
    </comment>
    <comment ref="C174" authorId="0">
      <text>
        <r>
          <rPr>
            <sz val="9"/>
            <color rgb="FF000000"/>
            <rFont val="Arial"/>
            <family val="2"/>
          </rPr>
          <t>Tesla Q4-FY2025 Update (8-K Ex.99.1) exhibit991.htm | Page 6 | 26,962</t>
        </r>
      </text>
    </comment>
    <comment ref="D174" authorId="0">
      <text>
        <r>
          <rPr>
            <sz val="9"/>
            <color rgb="FF000000"/>
            <rFont val="Arial"/>
            <family val="2"/>
          </rPr>
          <t>Tesla Q4-FY2025 Update (8-K Ex.99.1) exhibit991.htm | Page 6 | 13,721</t>
        </r>
      </text>
    </comment>
    <comment ref="E174" authorId="0">
      <text>
        <r>
          <rPr>
            <sz val="9"/>
            <color rgb="FF000000"/>
            <rFont val="Arial"/>
            <family val="2"/>
          </rPr>
          <t>Tesla Q2-2026 Update (8-K Ex.99.1) exhibit991.htm | Page 5 | 6,670</t>
        </r>
      </text>
    </comment>
    <comment ref="F174" authorId="0">
      <text>
        <r>
          <rPr>
            <sz val="9"/>
            <color rgb="FF000000"/>
            <rFont val="Arial"/>
            <family val="2"/>
          </rPr>
          <t>Tesla Q4-2024 Update (8-K Ex.99.1) tsla-20250129-gen.pdf | Page 8 | 60,003</t>
        </r>
      </text>
    </comment>
    <comment ref="C181" authorId="0">
      <text>
        <r>
          <rPr>
            <sz val="9"/>
            <color rgb="FF000000"/>
            <rFont val="Arial"/>
            <family val="2"/>
          </rPr>
          <t>Tesla Q4-FY2025 Update (8-K Ex.99.1) exhibit991.htm | Page 6 | 180,523</t>
        </r>
      </text>
    </comment>
    <comment ref="D181" authorId="0">
      <text>
        <r>
          <rPr>
            <sz val="9"/>
            <color rgb="FF000000"/>
            <rFont val="Arial"/>
            <family val="2"/>
          </rPr>
          <t>Tesla Q4-FY2025 Update (8-K Ex.99.1) exhibit991.htm | Page 6 | 179,930</t>
        </r>
      </text>
    </comment>
    <comment ref="E181" authorId="0">
      <text>
        <r>
          <rPr>
            <sz val="9"/>
            <color rgb="FF000000"/>
            <rFont val="Arial"/>
            <family val="2"/>
          </rPr>
          <t>Tesla Q2-2026 Update (8-K Ex.99.1) exhibit991.htm | Page 5 | 172,882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Tesla Q4-FY2025 Update (8-K Ex.99.1) exhibit991.htm | Page 6 | 0.8</t>
        </r>
      </text>
    </comment>
    <comment ref="D186" authorId="0">
      <text>
        <r>
          <rPr>
            <sz val="9"/>
            <color rgb="FF000000"/>
            <rFont val="Arial"/>
            <family val="2"/>
          </rPr>
          <t>Tesla Q4-FY2025 Update (8-K Ex.99.1) exhibit991.htm | Page 6 | 0.8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Tesla Q2-2026 Update (8-K Ex.99.1) exhibit991.htm | Page 5 | 0.95</t>
        </r>
      </text>
    </comment>
    <comment ref="C188" authorId="0">
      <text>
        <r>
          <rPr>
            <sz val="9"/>
            <color rgb="FF000000"/>
            <rFont val="Arial"/>
            <family val="2"/>
          </rPr>
          <t>Tesla Q4-FY2025 Update (8-K Ex.99.1) exhibit991.htm | Page 6 | 7.3</t>
        </r>
      </text>
    </comment>
    <comment ref="D188" authorId="0">
      <text>
        <r>
          <rPr>
            <sz val="9"/>
            <color rgb="FF000000"/>
            <rFont val="Arial"/>
            <family val="2"/>
          </rPr>
          <t>Tesla Q4-FY2025 Update (8-K Ex.99.1) exhibit991.htm | Page 6 | 7.6</t>
        </r>
      </text>
    </comment>
    <comment ref="E188" authorId="0">
      <text>
        <r>
          <rPr>
            <sz val="9"/>
            <color rgb="FF000000"/>
            <rFont val="Arial"/>
            <family val="2"/>
          </rPr>
          <t>Tesla Q2-2026 Update (8-K Ex.99.1) exhibit991.htm | Page 5 | 8.0</t>
        </r>
      </text>
    </comment>
    <comment ref="B192" authorId="0">
      <text>
        <r>
          <rPr>
            <sz val="9"/>
            <color rgb="FF000000"/>
            <rFont val="Arial"/>
            <family val="2"/>
          </rPr>
          <t>Tesla Q3-2025 Update (8-K Ex.99.1) exhibit991.htm | Page 5 | 62,421</t>
        </r>
      </text>
    </comment>
    <comment ref="C192" authorId="0">
      <text>
        <r>
          <rPr>
            <sz val="9"/>
            <color rgb="FF000000"/>
            <rFont val="Arial"/>
            <family val="2"/>
          </rPr>
          <t>Tesla Q4-FY2025 Update (8-K Ex.99.1) exhibit991.htm | Page 6 | 65,495</t>
        </r>
      </text>
    </comment>
    <comment ref="D192" authorId="0">
      <text>
        <r>
          <rPr>
            <sz val="9"/>
            <color rgb="FF000000"/>
            <rFont val="Arial"/>
            <family val="2"/>
          </rPr>
          <t>Tesla Q4-FY2025 Update (8-K Ex.99.1) exhibit991.htm | Page 6 | 67,316</t>
        </r>
      </text>
    </comment>
    <comment ref="E192" authorId="0">
      <text>
        <r>
          <rPr>
            <sz val="9"/>
            <color rgb="FF000000"/>
            <rFont val="Arial"/>
            <family val="2"/>
          </rPr>
          <t>Tesla Q2-2026 Update (8-K Ex.99.1) exhibit991.htm | Page 5 | 70,228</t>
        </r>
      </text>
    </comment>
    <comment ref="B194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18,831</t>
        </r>
      </text>
    </comment>
    <comment ref="C194" authorId="0">
      <text>
        <r>
          <rPr>
            <sz val="9"/>
            <color rgb="FF000000"/>
            <rFont val="Arial"/>
            <family val="2"/>
          </rPr>
          <t>Tesla Q4-FY2025 Update (8-K Ex.99.1) exhibit991.htm | Page 28 | 18,659</t>
        </r>
      </text>
    </comment>
    <comment ref="D194" authorId="0">
      <text>
        <r>
          <rPr>
            <sz val="9"/>
            <color rgb="FF000000"/>
            <rFont val="Arial"/>
            <family val="2"/>
          </rPr>
          <t>Tesla Q4-FY2025 Update (8-K Ex.99.1) exhibit991.htm | Page 28 | 12,925</t>
        </r>
      </text>
    </comment>
    <comment ref="E194" authorId="0">
      <text>
        <r>
          <rPr>
            <sz val="9"/>
            <color rgb="FF000000"/>
            <rFont val="Arial"/>
            <family val="2"/>
          </rPr>
          <t>Tesla Q2-2026 Update (8-K Ex.99.1) exhibit991.htm | Page 27 | 15,787</t>
        </r>
      </text>
    </comment>
    <comment ref="F194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72,480</t>
        </r>
      </text>
    </comment>
    <comment ref="B195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739</t>
        </r>
      </text>
    </comment>
    <comment ref="C195" authorId="0">
      <text>
        <r>
          <rPr>
            <sz val="9"/>
            <color rgb="FF000000"/>
            <rFont val="Arial"/>
            <family val="2"/>
          </rPr>
          <t>Tesla Q4-FY2025 Update (8-K Ex.99.1) exhibit991.htm | Page 28 | 692</t>
        </r>
      </text>
    </comment>
    <comment ref="D195" authorId="0">
      <text>
        <r>
          <rPr>
            <sz val="9"/>
            <color rgb="FF000000"/>
            <rFont val="Arial"/>
            <family val="2"/>
          </rPr>
          <t>Tesla Q4-FY2025 Update (8-K Ex.99.1) exhibit991.htm | Page 28 | 595</t>
        </r>
      </text>
    </comment>
    <comment ref="E195" authorId="0">
      <text>
        <r>
          <rPr>
            <sz val="9"/>
            <color rgb="FF000000"/>
            <rFont val="Arial"/>
            <family val="2"/>
          </rPr>
          <t>Tesla Q2-2026 Update (8-K Ex.99.1) exhibit991.htm | Page 27 | 439</t>
        </r>
      </text>
    </comment>
    <comment ref="F195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2,763</t>
        </r>
      </text>
    </comment>
    <comment ref="B197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446</t>
        </r>
      </text>
    </comment>
    <comment ref="C197" authorId="0">
      <text>
        <r>
          <rPr>
            <sz val="9"/>
            <color rgb="FF000000"/>
            <rFont val="Arial"/>
            <family val="2"/>
          </rPr>
          <t>Tesla Q4-FY2025 Update (8-K Ex.99.1) exhibit991.htm | Page 28 | 447</t>
        </r>
      </text>
    </comment>
    <comment ref="D197" authorId="0">
      <text>
        <r>
          <rPr>
            <sz val="9"/>
            <color rgb="FF000000"/>
            <rFont val="Arial"/>
            <family val="2"/>
          </rPr>
          <t>Tesla Q4-FY2025 Update (8-K Ex.99.1) exhibit991.htm | Page 28 | 447</t>
        </r>
      </text>
    </comment>
    <comment ref="E197" authorId="0">
      <text>
        <r>
          <rPr>
            <sz val="9"/>
            <color rgb="FF000000"/>
            <rFont val="Arial"/>
            <family val="2"/>
          </rPr>
          <t>Tesla Q2-2026 Update (8-K Ex.99.1) exhibit991.htm | Page 27 | 435</t>
        </r>
      </text>
    </comment>
    <comment ref="F197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1,827</t>
        </r>
      </text>
    </comment>
    <comment ref="B200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2,790</t>
        </r>
      </text>
    </comment>
    <comment ref="C200" authorId="0">
      <text>
        <r>
          <rPr>
            <sz val="9"/>
            <color rgb="FF000000"/>
            <rFont val="Arial"/>
            <family val="2"/>
          </rPr>
          <t>Tesla Q4-FY2025 Update (8-K Ex.99.1) exhibit991.htm | Page 28 | 2,848</t>
        </r>
      </text>
    </comment>
    <comment ref="D200" authorId="0">
      <text>
        <r>
          <rPr>
            <sz val="9"/>
            <color rgb="FF000000"/>
            <rFont val="Arial"/>
            <family val="2"/>
          </rPr>
          <t>Tesla Q4-FY2025 Update (8-K Ex.99.1) exhibit991.htm | Page 28 | 2,638</t>
        </r>
      </text>
    </comment>
    <comment ref="E200" authorId="0">
      <text>
        <r>
          <rPr>
            <sz val="9"/>
            <color rgb="FF000000"/>
            <rFont val="Arial"/>
            <family val="2"/>
          </rPr>
          <t>Tesla Q2-2026 Update (8-K Ex.99.1) exhibit991.htm | Page 27 | 3,046</t>
        </r>
      </text>
    </comment>
    <comment ref="F200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10,534</t>
        </r>
      </text>
    </comment>
    <comment ref="B202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22,806</t>
        </r>
      </text>
    </comment>
    <comment ref="D202" authorId="0">
      <text>
        <r>
          <rPr>
            <sz val="9"/>
            <color rgb="FF000000"/>
            <rFont val="Arial"/>
            <family val="2"/>
          </rPr>
          <t>Tesla Form 10-Q Q1-2026 tsla-20260331.htm | Page Note 13 Segment Reporting | 16,605</t>
        </r>
      </text>
    </comment>
    <comment ref="E202" authorId="0">
      <text>
        <r>
          <rPr>
            <sz val="9"/>
            <color rgb="FF000000"/>
            <rFont val="Arial"/>
            <family val="2"/>
          </rPr>
          <t>Tesla Form 10-Q Q2-2026 tsla-20260630.htm | Page Note 14 Segment Reporting | 19,707</t>
        </r>
      </text>
    </comment>
    <comment ref="B204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15,743</t>
        </r>
      </text>
    </comment>
    <comment ref="C204" authorId="0">
      <text>
        <r>
          <rPr>
            <sz val="9"/>
            <color rgb="FF000000"/>
            <rFont val="Arial"/>
            <family val="2"/>
          </rPr>
          <t>Tesla Q4-FY2025 Update (8-K Ex.99.1) exhibit991.htm | Page 28 | 16,268</t>
        </r>
      </text>
    </comment>
    <comment ref="D204" authorId="0">
      <text>
        <r>
          <rPr>
            <sz val="9"/>
            <color rgb="FF000000"/>
            <rFont val="Arial"/>
            <family val="2"/>
          </rPr>
          <t>Tesla Q4-FY2025 Update (8-K Ex.99.1) exhibit991.htm | Page 28 | 11,461</t>
        </r>
      </text>
    </comment>
    <comment ref="E204" authorId="0">
      <text>
        <r>
          <rPr>
            <sz val="9"/>
            <color rgb="FF000000"/>
            <rFont val="Arial"/>
            <family val="2"/>
          </rPr>
          <t>Tesla Q2-2026 Update (8-K Ex.99.1) exhibit991.htm | Page 27 | 13,567</t>
        </r>
      </text>
    </comment>
    <comment ref="F204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61,870</t>
        </r>
      </text>
    </comment>
    <comment ref="B206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247</t>
        </r>
      </text>
    </comment>
    <comment ref="C206" authorId="0">
      <text>
        <r>
          <rPr>
            <sz val="9"/>
            <color rgb="FF000000"/>
            <rFont val="Arial"/>
            <family val="2"/>
          </rPr>
          <t>Tesla Q4-FY2025 Update (8-K Ex.99.1) exhibit991.htm | Page 28 | 242</t>
        </r>
      </text>
    </comment>
    <comment ref="D206" authorId="0">
      <text>
        <r>
          <rPr>
            <sz val="9"/>
            <color rgb="FF000000"/>
            <rFont val="Arial"/>
            <family val="2"/>
          </rPr>
          <t>Tesla Q4-FY2025 Update (8-K Ex.99.1) exhibit991.htm | Page 28 | 239</t>
        </r>
      </text>
    </comment>
    <comment ref="E206" authorId="0">
      <text>
        <r>
          <rPr>
            <sz val="9"/>
            <color rgb="FF000000"/>
            <rFont val="Arial"/>
            <family val="2"/>
          </rPr>
          <t>Tesla Q2-2026 Update (8-K Ex.99.1) exhibit991.htm | Page 27 | 228</t>
        </r>
      </text>
    </comment>
    <comment ref="F206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1,003</t>
        </r>
      </text>
    </comment>
    <comment ref="B209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2,544</t>
        </r>
      </text>
    </comment>
    <comment ref="C209" authorId="0">
      <text>
        <r>
          <rPr>
            <sz val="9"/>
            <color rgb="FF000000"/>
            <rFont val="Arial"/>
            <family val="2"/>
          </rPr>
          <t>Tesla Q4-FY2025 Update (8-K Ex.99.1) exhibit991.htm | Page 28 | 2,729</t>
        </r>
      </text>
    </comment>
    <comment ref="D209" authorId="0">
      <text>
        <r>
          <rPr>
            <sz val="9"/>
            <color rgb="FF000000"/>
            <rFont val="Arial"/>
            <family val="2"/>
          </rPr>
          <t>Tesla Q4-FY2025 Update (8-K Ex.99.1) exhibit991.htm | Page 28 | 2,537</t>
        </r>
      </text>
    </comment>
    <comment ref="E209" authorId="0">
      <text>
        <r>
          <rPr>
            <sz val="9"/>
            <color rgb="FF000000"/>
            <rFont val="Arial"/>
            <family val="2"/>
          </rPr>
          <t>Tesla Q2-2026 Update (8-K Ex.99.1) exhibit991.htm | Page 27 | 2,880</t>
        </r>
      </text>
    </comment>
    <comment ref="F209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9,921</t>
        </r>
      </text>
    </comment>
    <comment ref="B221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938</t>
        </r>
      </text>
    </comment>
    <comment ref="D221" authorId="0">
      <text>
        <r>
          <rPr>
            <sz val="9"/>
            <color rgb="FF000000"/>
            <rFont val="Arial"/>
            <family val="2"/>
          </rPr>
          <t>Tesla Form 10-Q Q1-2026 tsla-20260331.htm | Page Note 13 Segment Reporting | 954</t>
        </r>
      </text>
    </comment>
    <comment ref="E221" authorId="0">
      <text>
        <r>
          <rPr>
            <sz val="9"/>
            <color rgb="FF000000"/>
            <rFont val="Arial"/>
            <family val="2"/>
          </rPr>
          <t>Tesla Form 10-Q Q2-2026 tsla-20260630.htm | Page Note 14 Segment Reporting | 891</t>
        </r>
      </text>
    </comment>
    <comment ref="F221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3,680</t>
        </r>
      </text>
    </comment>
    <comment ref="B222" authorId="0">
      <text>
        <r>
          <rPr>
            <sz val="9"/>
            <color rgb="FF000000"/>
            <rFont val="Arial"/>
            <family val="2"/>
          </rPr>
          <t>Tesla Q3-2025 Update (8-K Ex.99.1) exhibit991.htm | Page 5 | 6.9</t>
        </r>
      </text>
    </comment>
    <comment ref="C222" authorId="0">
      <text>
        <r>
          <rPr>
            <sz val="9"/>
            <color rgb="FF000000"/>
            <rFont val="Arial"/>
            <family val="2"/>
          </rPr>
          <t>Tesla Q4-FY2025 Update (8-K Ex.99.1) exhibit991.htm | Page 6 | 11.0</t>
        </r>
      </text>
    </comment>
    <comment ref="D222" authorId="0">
      <text>
        <r>
          <rPr>
            <sz val="9"/>
            <color rgb="FF000000"/>
            <rFont val="Arial"/>
            <family val="2"/>
          </rPr>
          <t>Tesla Q4-FY2025 Update (8-K Ex.99.1) exhibit991.htm | Page 6 | 10.4</t>
        </r>
      </text>
    </comment>
    <comment ref="E222" authorId="0">
      <text>
        <r>
          <rPr>
            <sz val="9"/>
            <color rgb="FF000000"/>
            <rFont val="Arial"/>
            <family val="2"/>
          </rPr>
          <t>Tesla Q2-2026 Update (8-K Ex.99.1) exhibit991.htm | Page 5 | 9.6</t>
        </r>
      </text>
    </comment>
    <comment ref="F222" authorId="0">
      <text>
        <r>
          <rPr>
            <sz val="9"/>
            <color rgb="FF000000"/>
            <rFont val="Arial"/>
            <family val="2"/>
          </rPr>
          <t>Tesla Q4-2024 Update (8-K Ex.99.1) tsla-20250129-gen.pdf | Page 8 | 31.4</t>
        </r>
      </text>
    </comment>
    <comment ref="B224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2,228</t>
        </r>
      </text>
    </comment>
    <comment ref="D224" authorId="0">
      <text>
        <r>
          <rPr>
            <sz val="9"/>
            <color rgb="FF000000"/>
            <rFont val="Arial"/>
            <family val="2"/>
          </rPr>
          <t>Tesla Form 10-Q Q1-2026 tsla-20260331.htm | Page Note 2 Revenue by source | 2,621</t>
        </r>
      </text>
    </comment>
    <comment ref="E224" authorId="0">
      <text>
        <r>
          <rPr>
            <sz val="9"/>
            <color rgb="FF000000"/>
            <rFont val="Arial"/>
            <family val="2"/>
          </rPr>
          <t>Tesla Form 10-Q Q2-2026 tsla-20260630.htm | Page Note 2 Revenue by source | 2,646</t>
        </r>
      </text>
    </comment>
    <comment ref="B225" authorId="0">
      <text>
        <r>
          <rPr>
            <sz val="9"/>
            <color rgb="FF000000"/>
            <rFont val="Arial"/>
            <family val="2"/>
          </rPr>
          <t>Tesla Form 10-Q Q3-2025 tsla-20250930.htm | Page Note 2 Revenue by source | 148</t>
        </r>
      </text>
    </comment>
    <comment ref="D225" authorId="0">
      <text>
        <r>
          <rPr>
            <sz val="9"/>
            <color rgb="FF000000"/>
            <rFont val="Arial"/>
            <family val="2"/>
          </rPr>
          <t>Tesla Form 10-Q Q1-2026 tsla-20260331.htm | Page Note 2 Revenue by source | 109</t>
        </r>
      </text>
    </comment>
    <comment ref="E225" authorId="0">
      <text>
        <r>
          <rPr>
            <sz val="9"/>
            <color rgb="FF000000"/>
            <rFont val="Arial"/>
            <family val="2"/>
          </rPr>
          <t>Tesla Form 10-Q Q2-2026 tsla-20260630.htm | Page Note 2 Revenue by source | 143</t>
        </r>
      </text>
    </comment>
    <comment ref="B228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1,651</t>
        </r>
      </text>
    </comment>
    <comment ref="C228" authorId="0">
      <text>
        <r>
          <rPr>
            <sz val="9"/>
            <color rgb="FF000000"/>
            <rFont val="Arial"/>
            <family val="2"/>
          </rPr>
          <t>Tesla Q4-FY2025 Update (8-K Ex.99.1) exhibit991.htm | Page 28 | 2,289</t>
        </r>
      </text>
    </comment>
    <comment ref="D228" authorId="0">
      <text>
        <r>
          <rPr>
            <sz val="9"/>
            <color rgb="FF000000"/>
            <rFont val="Arial"/>
            <family val="2"/>
          </rPr>
          <t>Tesla Q4-FY2025 Update (8-K Ex.99.1) exhibit991.htm | Page 28 | 1,945</t>
        </r>
      </text>
    </comment>
    <comment ref="E228" authorId="0">
      <text>
        <r>
          <rPr>
            <sz val="9"/>
            <color rgb="FF000000"/>
            <rFont val="Arial"/>
            <family val="2"/>
          </rPr>
          <t>Tesla Q2-2026 Update (8-K Ex.99.1) exhibit991.htm | Page 27 | 1,943</t>
        </r>
      </text>
    </comment>
    <comment ref="F228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7,446</t>
        </r>
      </text>
    </comment>
    <comment ref="B230" authorId="0">
      <text>
        <r>
          <rPr>
            <sz val="9"/>
            <color rgb="FF000000"/>
            <rFont val="Arial"/>
            <family val="2"/>
          </rPr>
          <t>Tesla Form 10-Q Q3-2025 tsla-20250930.htm | Page Note 14 Segment Reporting | 95</t>
        </r>
      </text>
    </comment>
    <comment ref="D230" authorId="0">
      <text>
        <r>
          <rPr>
            <sz val="9"/>
            <color rgb="FF000000"/>
            <rFont val="Arial"/>
            <family val="2"/>
          </rPr>
          <t>Tesla Form 10-Q Q1-2026 tsla-20260331.htm | Page Note 13 Segment Reporting | 83</t>
        </r>
      </text>
    </comment>
    <comment ref="E230" authorId="0">
      <text>
        <r>
          <rPr>
            <sz val="9"/>
            <color rgb="FF000000"/>
            <rFont val="Arial"/>
            <family val="2"/>
          </rPr>
          <t>Tesla Form 10-Q Q2-2026 tsla-20260630.htm | Page Note 14 Segment Reporting | 87</t>
        </r>
      </text>
    </comment>
    <comment ref="F230" authorId="0">
      <text>
        <r>
          <rPr>
            <sz val="9"/>
            <color rgb="FF000000"/>
            <rFont val="Arial"/>
            <family val="2"/>
          </rPr>
          <t>Tesla Form 10-K FY2025 tsla-20251231.htm | Page R93 Segment Reporting | 377</t>
        </r>
      </text>
    </comment>
    <comment ref="B246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1,039</t>
        </r>
      </text>
    </comment>
    <comment ref="C246" authorId="0">
      <text>
        <r>
          <rPr>
            <sz val="9"/>
            <color rgb="FF000000"/>
            <rFont val="Arial"/>
            <family val="2"/>
          </rPr>
          <t>Tesla Q4-FY2025 Update (8-K Ex.99.1) exhibit991.htm | Page 28 | 1,276</t>
        </r>
      </text>
    </comment>
    <comment ref="D246" authorId="0">
      <text>
        <r>
          <rPr>
            <sz val="9"/>
            <color rgb="FF000000"/>
            <rFont val="Arial"/>
            <family val="2"/>
          </rPr>
          <t>Tesla Q4-FY2025 Update (8-K Ex.99.1) exhibit991.htm | Page 28 | 1,409</t>
        </r>
      </text>
    </comment>
    <comment ref="E246" authorId="0">
      <text>
        <r>
          <rPr>
            <sz val="9"/>
            <color rgb="FF000000"/>
            <rFont val="Arial"/>
            <family val="2"/>
          </rPr>
          <t>Tesla Q2-2026 Update (8-K Ex.99.1) exhibit991.htm | Page 27 | 1,589</t>
        </r>
      </text>
    </comment>
    <comment ref="F246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4,540</t>
        </r>
      </text>
    </comment>
    <comment ref="B248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1,186</t>
        </r>
      </text>
    </comment>
    <comment ref="C248" authorId="0">
      <text>
        <r>
          <rPr>
            <sz val="9"/>
            <color rgb="FF000000"/>
            <rFont val="Arial"/>
            <family val="2"/>
          </rPr>
          <t>Tesla Q4-FY2025 Update (8-K Ex.99.1) exhibit991.htm | Page 28 | 1,313</t>
        </r>
      </text>
    </comment>
    <comment ref="D248" authorId="0">
      <text>
        <r>
          <rPr>
            <sz val="9"/>
            <color rgb="FF000000"/>
            <rFont val="Arial"/>
            <family val="2"/>
          </rPr>
          <t>Tesla Q4-FY2025 Update (8-K Ex.99.1) exhibit991.htm | Page 28 | 1,251</t>
        </r>
      </text>
    </comment>
    <comment ref="E248" authorId="0">
      <text>
        <r>
          <rPr>
            <sz val="9"/>
            <color rgb="FF000000"/>
            <rFont val="Arial"/>
            <family val="2"/>
          </rPr>
          <t>Tesla Q2-2026 Update (8-K Ex.99.1) exhibit991.htm | Page 27 | 1,366</t>
        </r>
      </text>
    </comment>
    <comment ref="F248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5,150</t>
        </r>
      </text>
    </comment>
    <comment ref="B250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55</t>
        </r>
      </text>
    </comment>
    <comment ref="C250" authorId="0">
      <text>
        <r>
          <rPr>
            <sz val="9"/>
            <color rgb="FF000000"/>
            <rFont val="Arial"/>
            <family val="2"/>
          </rPr>
          <t>Tesla Q4-FY2025 Update (8-K Ex.99.1) exhibit991.htm | Page 28 | 7</t>
        </r>
      </text>
    </comment>
    <comment ref="D250" authorId="0">
      <text>
        <r>
          <rPr>
            <sz val="9"/>
            <color rgb="FF000000"/>
            <rFont val="Arial"/>
            <family val="2"/>
          </rPr>
          <t>Tesla Q4-FY2025 Update (8-K Ex.99.1) exhibit991.htm | Page 28 | 94</t>
        </r>
      </text>
    </comment>
    <comment ref="E250" authorId="0">
      <text>
        <r>
          <rPr>
            <sz val="9"/>
            <color rgb="FF000000"/>
            <rFont val="Arial"/>
            <family val="2"/>
          </rPr>
          <t>Tesla Q2-2026 Update (8-K Ex.99.1) exhibit991.htm | Page 27 | 0</t>
        </r>
      </text>
    </comment>
    <comment ref="F250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684</t>
        </r>
      </text>
    </comment>
    <comment ref="B254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429</t>
        </r>
      </text>
    </comment>
    <comment ref="C254" authorId="0">
      <text>
        <r>
          <rPr>
            <sz val="9"/>
            <color rgb="FF000000"/>
            <rFont val="Arial"/>
            <family val="2"/>
          </rPr>
          <t>Tesla Q4-FY2025 Update (8-K Ex.99.1) exhibit991.htm | Page 28 | 442</t>
        </r>
      </text>
    </comment>
    <comment ref="D254" authorId="0">
      <text>
        <r>
          <rPr>
            <sz val="9"/>
            <color rgb="FF000000"/>
            <rFont val="Arial"/>
            <family val="2"/>
          </rPr>
          <t>Tesla Q4-FY2025 Update (8-K Ex.99.1) exhibit991.htm | Page 28 | 400</t>
        </r>
      </text>
    </comment>
    <comment ref="E254" authorId="0">
      <text>
        <r>
          <rPr>
            <sz val="9"/>
            <color rgb="FF000000"/>
            <rFont val="Arial"/>
            <family val="2"/>
          </rPr>
          <t>Tesla Q2-2026 Update (8-K Ex.99.1) exhibit991.htm | Page 27 | 392</t>
        </r>
      </text>
    </comment>
    <comment ref="F254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1,569</t>
        </r>
      </text>
    </comment>
    <comment ref="B255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(92)</t>
        </r>
      </text>
    </comment>
    <comment ref="C255" authorId="0">
      <text>
        <r>
          <rPr>
            <sz val="9"/>
            <color rgb="FF000000"/>
            <rFont val="Arial"/>
            <family val="2"/>
          </rPr>
          <t>Tesla Q4-FY2025 Update (8-K Ex.99.1) exhibit991.htm | Page 28 | (96)</t>
        </r>
      </text>
    </comment>
    <comment ref="D255" authorId="0">
      <text>
        <r>
          <rPr>
            <sz val="9"/>
            <color rgb="FF000000"/>
            <rFont val="Arial"/>
            <family val="2"/>
          </rPr>
          <t>Tesla Q4-FY2025 Update (8-K Ex.99.1) exhibit991.htm | Page 28 | (91)</t>
        </r>
      </text>
    </comment>
    <comment ref="E255" authorId="0">
      <text>
        <r>
          <rPr>
            <sz val="9"/>
            <color rgb="FF000000"/>
            <rFont val="Arial"/>
            <family val="2"/>
          </rPr>
          <t>Tesla Q2-2026 Update (8-K Ex.99.1) exhibit991.htm | Page 27 | (86)</t>
        </r>
      </text>
    </comment>
    <comment ref="F255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(350)</t>
        </r>
      </text>
    </comment>
    <comment ref="B256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(263)</t>
        </r>
      </text>
    </comment>
    <comment ref="C256" authorId="0">
      <text>
        <r>
          <rPr>
            <sz val="9"/>
            <color rgb="FF000000"/>
            <rFont val="Arial"/>
            <family val="2"/>
          </rPr>
          <t>Tesla Q4-FY2025 Update (8-K Ex.99.1) exhibit991.htm | Page 28 | 595</t>
        </r>
      </text>
    </comment>
    <comment ref="D256" authorId="0">
      <text>
        <r>
          <rPr>
            <sz val="9"/>
            <color rgb="FF000000"/>
            <rFont val="Arial"/>
            <family val="2"/>
          </rPr>
          <t>Tesla Q4-FY2025 Update (8-K Ex.99.1) exhibit991.htm | Page 28 | (119)</t>
        </r>
      </text>
    </comment>
    <comment ref="E256" authorId="0">
      <text>
        <r>
          <rPr>
            <sz val="9"/>
            <color rgb="FF000000"/>
            <rFont val="Arial"/>
            <family val="2"/>
          </rPr>
          <t>Tesla Q2-2026 Update (8-K Ex.99.1) exhibit991.htm | Page 27 | 320</t>
        </r>
      </text>
    </comment>
    <comment ref="F256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695</t>
        </r>
      </text>
    </comment>
    <comment ref="D257" authorId="0">
      <text>
        <r>
          <rPr>
            <sz val="9"/>
            <color rgb="FF000000"/>
            <rFont val="Arial"/>
            <family val="2"/>
          </rPr>
          <t>Tesla Q1-2026 Update (8-K Ex.99.1) exhibit991.htm | Page 27 | 30</t>
        </r>
      </text>
    </comment>
    <comment ref="E257" authorId="0">
      <text>
        <r>
          <rPr>
            <sz val="9"/>
            <color rgb="FF000000"/>
            <rFont val="Arial"/>
            <family val="2"/>
          </rPr>
          <t>Tesla Q2-2026 Update (8-K Ex.99.1) exhibit991.htm | Page 29 | 24</t>
        </r>
      </text>
    </comment>
    <comment ref="F257" authorId="0">
      <text>
        <r>
          <rPr>
            <sz val="9"/>
            <color rgb="FF000000"/>
            <rFont val="Arial"/>
            <family val="2"/>
          </rPr>
          <t>Tesla Form 10-K FY2025 tsla-20251231.htm | Page R9 Statements of Cash Flows | (73)</t>
        </r>
      </text>
    </comment>
    <comment ref="B258" authorId="0">
      <text>
        <r>
          <rPr>
            <sz val="9"/>
            <color rgb="FF000000"/>
            <rFont val="Arial"/>
            <family val="2"/>
          </rPr>
          <t>Tesla Q3-2025 Update (8-K Ex.99.1) exhibit991.htm | Page 26 | (7)</t>
        </r>
      </text>
    </comment>
    <comment ref="C258" authorId="0">
      <text>
        <r>
          <rPr>
            <sz val="9"/>
            <color rgb="FF000000"/>
            <rFont val="Arial"/>
            <family val="2"/>
          </rPr>
          <t>Tesla Q4-FY2025 Update (8-K Ex.99.1) exhibit991.htm | Page 31 | (347)</t>
        </r>
      </text>
    </comment>
    <comment ref="D258" authorId="0">
      <text>
        <r>
          <rPr>
            <sz val="9"/>
            <color rgb="FF000000"/>
            <rFont val="Arial"/>
            <family val="2"/>
          </rPr>
          <t>Tesla Q4-FY2025 Update (8-K Ex.99.1) exhibit991.htm | Page 31 | 125</t>
        </r>
      </text>
    </comment>
    <comment ref="E258" authorId="0">
      <text>
        <r>
          <rPr>
            <sz val="9"/>
            <color rgb="FF000000"/>
            <rFont val="Arial"/>
            <family val="2"/>
          </rPr>
          <t>Tesla Q2-2026 Update (8-K Ex.99.1) exhibit991.htm | Page 30 | (284)</t>
        </r>
      </text>
    </comment>
    <comment ref="F258" authorId="0">
      <text>
        <r>
          <rPr>
            <sz val="9"/>
            <color rgb="FF000000"/>
            <rFont val="Arial"/>
            <family val="2"/>
          </rPr>
          <t>Tesla Q4-FY2025 Update (8-K Ex.99.1) exhibit991.htm | Page 32 | (589)</t>
        </r>
      </text>
    </comment>
    <comment ref="B259" authorId="0">
      <text>
        <r>
          <rPr>
            <sz val="9"/>
            <color rgb="FF000000"/>
            <rFont val="Arial"/>
            <family val="2"/>
          </rPr>
          <t>Tesla Q3-2025 Update (8-K Ex.99.1) exhibit991.htm | Page 26 | 0</t>
        </r>
      </text>
    </comment>
    <comment ref="C259" authorId="0">
      <text>
        <r>
          <rPr>
            <sz val="9"/>
            <color rgb="FF000000"/>
            <rFont val="Arial"/>
            <family val="2"/>
          </rPr>
          <t>Tesla Q4-FY2025 Update (8-K Ex.99.1) exhibit991.htm | Page 31 | 0</t>
        </r>
      </text>
    </comment>
    <comment ref="D259" authorId="0">
      <text>
        <r>
          <rPr>
            <sz val="9"/>
            <color rgb="FF000000"/>
            <rFont val="Arial"/>
            <family val="2"/>
          </rPr>
          <t>Tesla Q4-FY2025 Update (8-K Ex.99.1) exhibit991.htm | Page 31 | 0</t>
        </r>
      </text>
    </comment>
    <comment ref="E259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F259" authorId="0">
      <text>
        <r>
          <rPr>
            <sz val="9"/>
            <color rgb="FF000000"/>
            <rFont val="Arial"/>
            <family val="2"/>
          </rPr>
          <t>Tesla Q4-FY2025 Update (8-K Ex.99.1) exhibit991.htm | Page 32 | 0</t>
        </r>
      </text>
    </comment>
    <comment ref="B262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602</t>
        </r>
      </text>
    </comment>
    <comment ref="C262" authorId="0">
      <text>
        <r>
          <rPr>
            <sz val="9"/>
            <color rgb="FF000000"/>
            <rFont val="Arial"/>
            <family val="2"/>
          </rPr>
          <t>Tesla Q4-FY2025 Update (8-K Ex.99.1) exhibit991.htm | Page 28 | 381</t>
        </r>
      </text>
    </comment>
    <comment ref="D262" authorId="0">
      <text>
        <r>
          <rPr>
            <sz val="9"/>
            <color rgb="FF000000"/>
            <rFont val="Arial"/>
            <family val="2"/>
          </rPr>
          <t>Tesla Q4-FY2025 Update (8-K Ex.99.1) exhibit991.htm | Page 28 | 169</t>
        </r>
      </text>
    </comment>
    <comment ref="E262" authorId="0">
      <text>
        <r>
          <rPr>
            <sz val="9"/>
            <color rgb="FF000000"/>
            <rFont val="Arial"/>
            <family val="2"/>
          </rPr>
          <t>Tesla Q2-2026 Update (8-K Ex.99.1) exhibit991.htm | Page 27 | 359</t>
        </r>
      </text>
    </comment>
    <comment ref="F262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1,837</t>
        </r>
      </text>
    </comment>
    <comment ref="B265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16</t>
        </r>
      </text>
    </comment>
    <comment ref="C265" authorId="0">
      <text>
        <r>
          <rPr>
            <sz val="9"/>
            <color rgb="FF000000"/>
            <rFont val="Arial"/>
            <family val="2"/>
          </rPr>
          <t>Tesla Q4-FY2025 Update (8-K Ex.99.1) exhibit991.htm | Page 28 | 15</t>
        </r>
      </text>
    </comment>
    <comment ref="D265" authorId="0">
      <text>
        <r>
          <rPr>
            <sz val="9"/>
            <color rgb="FF000000"/>
            <rFont val="Arial"/>
            <family val="2"/>
          </rPr>
          <t>Tesla Q4-FY2025 Update (8-K Ex.99.1) exhibit991.htm | Page 28 | 11</t>
        </r>
      </text>
    </comment>
    <comment ref="E265" authorId="0">
      <text>
        <r>
          <rPr>
            <sz val="9"/>
            <color rgb="FF000000"/>
            <rFont val="Arial"/>
            <family val="2"/>
          </rPr>
          <t>Tesla Q2-2026 Update (8-K Ex.99.1) exhibit991.htm | Page 27 | 18</t>
        </r>
      </text>
    </comment>
    <comment ref="F265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62</t>
        </r>
      </text>
    </comment>
    <comment ref="B267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2,173</t>
        </r>
      </text>
    </comment>
    <comment ref="C267" authorId="0">
      <text>
        <r>
          <rPr>
            <sz val="9"/>
            <color rgb="FF000000"/>
            <rFont val="Arial"/>
            <family val="2"/>
          </rPr>
          <t>Tesla Q4-FY2025 Update (8-K Ex.99.1) exhibit991.htm | Page 28 | 2,128</t>
        </r>
      </text>
    </comment>
    <comment ref="D267" authorId="0">
      <text>
        <r>
          <rPr>
            <sz val="9"/>
            <color rgb="FF000000"/>
            <rFont val="Arial"/>
            <family val="2"/>
          </rPr>
          <t>Tesla Q4-FY2025 Update (8-K Ex.99.1) exhibit991.htm | Page 28 | 409</t>
        </r>
      </text>
    </comment>
    <comment ref="E267" authorId="0">
      <text>
        <r>
          <rPr>
            <sz val="9"/>
            <color rgb="FF000000"/>
            <rFont val="Arial"/>
            <family val="2"/>
          </rPr>
          <t>Tesla Q2-2026 Update (8-K Ex.99.1) exhibit991.htm | Page 27 | 1,172</t>
        </r>
      </text>
    </comment>
    <comment ref="F267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7,091</t>
        </r>
      </text>
    </comment>
    <comment ref="B268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0</t>
        </r>
      </text>
    </comment>
    <comment ref="C268" authorId="0">
      <text>
        <r>
          <rPr>
            <sz val="9"/>
            <color rgb="FF000000"/>
            <rFont val="Arial"/>
            <family val="2"/>
          </rPr>
          <t>Tesla Q4-FY2025 Update (8-K Ex.99.1) exhibit991.htm | Page 28 | (3)</t>
        </r>
      </text>
    </comment>
    <comment ref="D268" authorId="0">
      <text>
        <r>
          <rPr>
            <sz val="9"/>
            <color rgb="FF000000"/>
            <rFont val="Arial"/>
            <family val="2"/>
          </rPr>
          <t>Tesla Q4-FY2025 Update (8-K Ex.99.1) exhibit991.htm | Page 28 | 0</t>
        </r>
      </text>
    </comment>
    <comment ref="E268" authorId="0">
      <text>
        <r>
          <rPr>
            <sz val="9"/>
            <color rgb="FF000000"/>
            <rFont val="Arial"/>
            <family val="2"/>
          </rPr>
          <t>Tesla Q2-2026 Update (8-K Ex.99.1) exhibit991.htm | Page 27 | 0</t>
        </r>
      </text>
    </comment>
    <comment ref="F268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39</t>
        </r>
      </text>
    </comment>
    <comment ref="B274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0.62</t>
        </r>
      </text>
    </comment>
    <comment ref="C274" authorId="0">
      <text>
        <r>
          <rPr>
            <sz val="9"/>
            <color rgb="FF000000"/>
            <rFont val="Arial"/>
            <family val="2"/>
          </rPr>
          <t>Tesla Q4-FY2025 Update (8-K Ex.99.1) exhibit991.htm | Page 28 | 0.6</t>
        </r>
      </text>
    </comment>
    <comment ref="D274" authorId="0">
      <text>
        <r>
          <rPr>
            <sz val="9"/>
            <color rgb="FF000000"/>
            <rFont val="Arial"/>
            <family val="2"/>
          </rPr>
          <t>Tesla Q4-FY2025 Update (8-K Ex.99.1) exhibit991.htm | Page 28 | 0.12</t>
        </r>
      </text>
    </comment>
    <comment ref="E274" authorId="0">
      <text>
        <r>
          <rPr>
            <sz val="9"/>
            <color rgb="FF000000"/>
            <rFont val="Arial"/>
            <family val="2"/>
          </rPr>
          <t>Tesla Q2-2026 Update (8-K Ex.99.1) exhibit991.htm | Page 27 | 0.33</t>
        </r>
      </text>
    </comment>
    <comment ref="F274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2.04</t>
        </r>
      </text>
    </comment>
    <comment ref="B278" authorId="0">
      <text>
        <r>
          <rPr>
            <sz val="9"/>
            <color rgb="FF000000"/>
            <rFont val="Arial"/>
            <family val="2"/>
          </rPr>
          <t>Tesla Q3-2025 Update (8-K Ex.99.1) exhibit991.htm | Page 26 | 338</t>
        </r>
      </text>
    </comment>
    <comment ref="C278" authorId="0">
      <text>
        <r>
          <rPr>
            <sz val="9"/>
            <color rgb="FF000000"/>
            <rFont val="Arial"/>
            <family val="2"/>
          </rPr>
          <t>Tesla Q4-FY2025 Update (8-K Ex.99.1) exhibit991.htm | Page 31 | 249</t>
        </r>
      </text>
    </comment>
    <comment ref="D278" authorId="0">
      <text>
        <r>
          <rPr>
            <sz val="9"/>
            <color rgb="FF000000"/>
            <rFont val="Arial"/>
            <family val="2"/>
          </rPr>
          <t>Tesla Q4-FY2025 Update (8-K Ex.99.1) exhibit991.htm | Page 31 | 428</t>
        </r>
      </text>
    </comment>
    <comment ref="E278" authorId="0">
      <text>
        <r>
          <rPr>
            <sz val="9"/>
            <color rgb="FF000000"/>
            <rFont val="Arial"/>
            <family val="2"/>
          </rPr>
          <t>Tesla Q2-2026 Update (8-K Ex.99.1) exhibit991.htm | Page 30 | 443</t>
        </r>
      </text>
    </comment>
    <comment ref="F278" authorId="0">
      <text>
        <r>
          <rPr>
            <sz val="9"/>
            <color rgb="FF000000"/>
            <rFont val="Arial"/>
            <family val="2"/>
          </rPr>
          <t>Tesla Q4-FY2025 Update (8-K Ex.99.1) exhibit991.htm | Page 32 | 1,328</t>
        </r>
      </text>
    </comment>
    <comment ref="B279" authorId="0">
      <text>
        <r>
          <rPr>
            <sz val="9"/>
            <color rgb="FF000000"/>
            <rFont val="Arial"/>
            <family val="2"/>
          </rPr>
          <t>Tesla Q3-2025 Update (8-K Ex.99.1) exhibit991.htm | Page 26 | (6)</t>
        </r>
      </text>
    </comment>
    <comment ref="C279" authorId="0">
      <text>
        <r>
          <rPr>
            <sz val="9"/>
            <color rgb="FF000000"/>
            <rFont val="Arial"/>
            <family val="2"/>
          </rPr>
          <t>Tesla Q4-FY2025 Update (8-K Ex.99.1) exhibit991.htm | Page 31 | (270)</t>
        </r>
      </text>
    </comment>
    <comment ref="D279" authorId="0">
      <text>
        <r>
          <rPr>
            <sz val="9"/>
            <color rgb="FF000000"/>
            <rFont val="Arial"/>
            <family val="2"/>
          </rPr>
          <t>Tesla Q4-FY2025 Update (8-K Ex.99.1) exhibit991.htm | Page 31 | 97</t>
        </r>
      </text>
    </comment>
    <comment ref="E279" authorId="0">
      <text>
        <r>
          <rPr>
            <sz val="9"/>
            <color rgb="FF000000"/>
            <rFont val="Arial"/>
            <family val="2"/>
          </rPr>
          <t>Tesla Q2-2026 Update (8-K Ex.99.1) exhibit991.htm | Page 30 | (222)</t>
        </r>
      </text>
    </comment>
    <comment ref="F279" authorId="0">
      <text>
        <r>
          <rPr>
            <sz val="9"/>
            <color rgb="FF000000"/>
            <rFont val="Arial"/>
            <family val="2"/>
          </rPr>
          <t>Tesla Q4-FY2025 Update (8-K Ex.99.1) exhibit991.htm | Page 32 | (459)</t>
        </r>
      </text>
    </comment>
    <comment ref="B280" authorId="0">
      <text>
        <r>
          <rPr>
            <sz val="9"/>
            <color rgb="FF000000"/>
            <rFont val="Arial"/>
            <family val="2"/>
          </rPr>
          <t>Tesla Q3-2025 Update (8-K Ex.99.1) exhibit991.htm | Page 26 | 0</t>
        </r>
      </text>
    </comment>
    <comment ref="C280" authorId="0">
      <text>
        <r>
          <rPr>
            <sz val="9"/>
            <color rgb="FF000000"/>
            <rFont val="Arial"/>
            <family val="2"/>
          </rPr>
          <t>Tesla Q4-FY2025 Update (8-K Ex.99.1) exhibit991.htm | Page 31 | 0</t>
        </r>
      </text>
    </comment>
    <comment ref="D280" authorId="0">
      <text>
        <r>
          <rPr>
            <sz val="9"/>
            <color rgb="FF000000"/>
            <rFont val="Arial"/>
            <family val="2"/>
          </rPr>
          <t>Tesla Q4-FY2025 Update (8-K Ex.99.1) exhibit991.htm | Page 31 | 0</t>
        </r>
      </text>
    </comment>
    <comment ref="E280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F280" authorId="0">
      <text>
        <r>
          <rPr>
            <sz val="9"/>
            <color rgb="FF000000"/>
            <rFont val="Arial"/>
            <family val="2"/>
          </rPr>
          <t>Tesla Q4-FY2025 Update (8-K Ex.99.1) exhibit991.htm | Page 32 | 0</t>
        </r>
      </text>
    </comment>
    <comment ref="B281" authorId="0">
      <text>
        <r>
          <rPr>
            <sz val="9"/>
            <color rgb="FF000000"/>
            <rFont val="Arial"/>
            <family val="2"/>
          </rPr>
          <t>Tesla Q3-2025 Update (8-K Ex.99.1) exhibit991.htm | Page 26 | 0</t>
        </r>
      </text>
    </comment>
    <comment ref="C281" authorId="0">
      <text>
        <r>
          <rPr>
            <sz val="9"/>
            <color rgb="FF000000"/>
            <rFont val="Arial"/>
            <family val="2"/>
          </rPr>
          <t>Tesla Q4-FY2025 Update (8-K Ex.99.1) exhibit991.htm | Page 31 | 0</t>
        </r>
      </text>
    </comment>
    <comment ref="D281" authorId="0">
      <text>
        <r>
          <rPr>
            <sz val="9"/>
            <color rgb="FF000000"/>
            <rFont val="Arial"/>
            <family val="2"/>
          </rPr>
          <t>Tesla Q4-FY2025 Update (8-K Ex.99.1) exhibit991.htm | Page 31 | 0</t>
        </r>
      </text>
    </comment>
    <comment ref="E281" authorId="0">
      <text>
        <r>
          <rPr>
            <sz val="9"/>
            <color rgb="FF000000"/>
            <rFont val="Arial"/>
            <family val="2"/>
          </rPr>
          <t>Tesla Q2-2026 Update (8-K Ex.99.1) exhibit991.htm | Page 30 | 0</t>
        </r>
      </text>
    </comment>
    <comment ref="F281" authorId="0">
      <text>
        <r>
          <rPr>
            <sz val="9"/>
            <color rgb="FF000000"/>
            <rFont val="Arial"/>
            <family val="2"/>
          </rPr>
          <t>Tesla Q4-FY2025 Update (8-K Ex.99.1) exhibit991.htm | Page 32 | 0</t>
        </r>
      </text>
    </comment>
    <comment ref="B283" authorId="0">
      <text>
        <r>
          <rPr>
            <sz val="9"/>
            <color rgb="FF000000"/>
            <rFont val="Arial"/>
            <family val="2"/>
          </rPr>
          <t>Tesla Q3-2025 Update (8-K Ex.99.1) exhibit991.htm | Page 26 | 2,505</t>
        </r>
      </text>
    </comment>
    <comment ref="C283" authorId="0">
      <text>
        <r>
          <rPr>
            <sz val="9"/>
            <color rgb="FF000000"/>
            <rFont val="Arial"/>
            <family val="2"/>
          </rPr>
          <t>Tesla Q4-FY2025 Update (8-K Ex.99.1) exhibit991.htm | Page 31 | 2,107</t>
        </r>
      </text>
    </comment>
    <comment ref="D283" authorId="0">
      <text>
        <r>
          <rPr>
            <sz val="9"/>
            <color rgb="FF000000"/>
            <rFont val="Arial"/>
            <family val="2"/>
          </rPr>
          <t>Tesla Q4-FY2025 Update (8-K Ex.99.1) exhibit991.htm | Page 31 | 934</t>
        </r>
      </text>
    </comment>
    <comment ref="E283" authorId="0">
      <text>
        <r>
          <rPr>
            <sz val="9"/>
            <color rgb="FF000000"/>
            <rFont val="Arial"/>
            <family val="2"/>
          </rPr>
          <t>Tesla Q2-2026 Update (8-K Ex.99.1) exhibit991.htm | Page 30 | 1,393</t>
        </r>
      </text>
    </comment>
    <comment ref="F283" authorId="0">
      <text>
        <r>
          <rPr>
            <sz val="9"/>
            <color rgb="FF000000"/>
            <rFont val="Arial"/>
            <family val="2"/>
          </rPr>
          <t>Tesla Q4-FY2025 Update (8-K Ex.99.1) exhibit991.htm | Page 32 | 7,960</t>
        </r>
      </text>
    </comment>
    <comment ref="B286" authorId="0">
      <text>
        <r>
          <rPr>
            <sz val="9"/>
            <color rgb="FF000000"/>
            <rFont val="Arial"/>
            <family val="2"/>
          </rPr>
          <t>Tesla Q3-2025 Update (8-K Ex.99.1) exhibit991.htm | Page 26 | 0.72</t>
        </r>
      </text>
    </comment>
    <comment ref="C286" authorId="0">
      <text>
        <r>
          <rPr>
            <sz val="9"/>
            <color rgb="FF000000"/>
            <rFont val="Arial"/>
            <family val="2"/>
          </rPr>
          <t>Tesla Q4-FY2025 Update (8-K Ex.99.1) exhibit991.htm | Page 31 | 0.6</t>
        </r>
      </text>
    </comment>
    <comment ref="D286" authorId="0">
      <text>
        <r>
          <rPr>
            <sz val="9"/>
            <color rgb="FF000000"/>
            <rFont val="Arial"/>
            <family val="2"/>
          </rPr>
          <t>Tesla Q4-FY2025 Update (8-K Ex.99.1) exhibit991.htm | Page 31 | 0.27</t>
        </r>
      </text>
    </comment>
    <comment ref="E286" authorId="0">
      <text>
        <r>
          <rPr>
            <sz val="9"/>
            <color rgb="FF000000"/>
            <rFont val="Arial"/>
            <family val="2"/>
          </rPr>
          <t>Tesla Q2-2026 Update (8-K Ex.99.1) exhibit991.htm | Page 30 | 0.4</t>
        </r>
      </text>
    </comment>
    <comment ref="F286" authorId="0">
      <text>
        <r>
          <rPr>
            <sz val="9"/>
            <color rgb="FF000000"/>
            <rFont val="Arial"/>
            <family val="2"/>
          </rPr>
          <t>Tesla Q4-FY2025 Update (8-K Ex.99.1) exhibit991.htm | Page 32 | 2.29</t>
        </r>
      </text>
    </comment>
    <comment ref="B287" authorId="0">
      <text>
        <r>
          <rPr>
            <sz val="9"/>
            <color rgb="FF000000"/>
            <rFont val="Arial"/>
            <family val="2"/>
          </rPr>
          <t>Tesla Q3-2025 Update (8-K Ex.99.1) exhibit991.htm | Page 26 | 457</t>
        </r>
      </text>
    </comment>
    <comment ref="C287" authorId="0">
      <text>
        <r>
          <rPr>
            <sz val="9"/>
            <color rgb="FF000000"/>
            <rFont val="Arial"/>
            <family val="2"/>
          </rPr>
          <t>Tesla Q4-FY2025 Update (8-K Ex.99.1) exhibit991.htm | Page 31 | 579</t>
        </r>
      </text>
    </comment>
    <comment ref="D287" authorId="0">
      <text>
        <r>
          <rPr>
            <sz val="9"/>
            <color rgb="FF000000"/>
            <rFont val="Arial"/>
            <family val="2"/>
          </rPr>
          <t>Tesla Q4-FY2025 Update (8-K Ex.99.1) exhibit991.htm | Page 31 | 573</t>
        </r>
      </text>
    </comment>
    <comment ref="E287" authorId="0">
      <text>
        <r>
          <rPr>
            <sz val="9"/>
            <color rgb="FF000000"/>
            <rFont val="Arial"/>
            <family val="2"/>
          </rPr>
          <t>Tesla Q2-2026 Update (8-K Ex.99.1) exhibit991.htm | Page 30 | 635</t>
        </r>
      </text>
    </comment>
    <comment ref="F287" authorId="0">
      <text>
        <r>
          <rPr>
            <sz val="9"/>
            <color rgb="FF000000"/>
            <rFont val="Arial"/>
            <family val="2"/>
          </rPr>
          <t>Tesla Q4-FY2025 Update (8-K Ex.99.1) exhibit991.htm | Page 32 | 1,999</t>
        </r>
      </text>
    </comment>
    <comment ref="B294" authorId="0">
      <text>
        <r>
          <rPr>
            <sz val="9"/>
            <color rgb="FF000000"/>
            <rFont val="Arial"/>
            <family val="2"/>
          </rPr>
          <t>Tesla Q3-2025 Update (8-K Ex.99.1) exhibit991.htm | Page 26 | 4,665</t>
        </r>
      </text>
    </comment>
    <comment ref="C294" authorId="0">
      <text>
        <r>
          <rPr>
            <sz val="9"/>
            <color rgb="FF000000"/>
            <rFont val="Arial"/>
            <family val="2"/>
          </rPr>
          <t>Tesla Q4-FY2025 Update (8-K Ex.99.1) exhibit991.htm | Page 31 | 4,333</t>
        </r>
      </text>
    </comment>
    <comment ref="D294" authorId="0">
      <text>
        <r>
          <rPr>
            <sz val="9"/>
            <color rgb="FF000000"/>
            <rFont val="Arial"/>
            <family val="2"/>
          </rPr>
          <t>Tesla Q4-FY2025 Update (8-K Ex.99.1) exhibit991.htm | Page 31 | 2,814</t>
        </r>
      </text>
    </comment>
    <comment ref="E294" authorId="0">
      <text>
        <r>
          <rPr>
            <sz val="9"/>
            <color rgb="FF000000"/>
            <rFont val="Arial"/>
            <family val="2"/>
          </rPr>
          <t>Tesla Q2-2026 Update (8-K Ex.99.1) exhibit991.htm | Page 30 | 3,401</t>
        </r>
      </text>
    </comment>
    <comment ref="F294" authorId="0">
      <text>
        <r>
          <rPr>
            <sz val="9"/>
            <color rgb="FF000000"/>
            <rFont val="Arial"/>
            <family val="2"/>
          </rPr>
          <t>Tesla Q4-FY2025 Update (8-K Ex.99.1) exhibit991.htm | Page 32 | 16,056</t>
        </r>
      </text>
    </comment>
    <comment ref="B296" authorId="0">
      <text>
        <r>
          <rPr>
            <sz val="9"/>
            <color rgb="FF000000"/>
            <rFont val="Arial"/>
            <family val="2"/>
          </rPr>
          <t>Tesla Q3-2025 Update (8-K Ex.99.1) exhibit991.htm | Page 25 | 1,348</t>
        </r>
      </text>
    </comment>
    <comment ref="C296" authorId="0">
      <text>
        <r>
          <rPr>
            <sz val="9"/>
            <color rgb="FF000000"/>
            <rFont val="Arial"/>
            <family val="2"/>
          </rPr>
          <t>Tesla Q4-FY2025 Update (8-K Ex.99.1) exhibit991.htm | Page 30 | 1,496</t>
        </r>
      </text>
    </comment>
    <comment ref="D296" authorId="0">
      <text>
        <r>
          <rPr>
            <sz val="9"/>
            <color rgb="FF000000"/>
            <rFont val="Arial"/>
            <family val="2"/>
          </rPr>
          <t>Tesla Q1-2026 Update (8-K Ex.99.1) exhibit991.htm | Page 27 | 1,447</t>
        </r>
      </text>
    </comment>
    <comment ref="E296" authorId="0">
      <text>
        <r>
          <rPr>
            <sz val="9"/>
            <color rgb="FF000000"/>
            <rFont val="Arial"/>
            <family val="2"/>
          </rPr>
          <t>Tesla Q2-2026 Update (8-K Ex.99.1) exhibit991.htm | Page 29 | 1,433</t>
        </r>
      </text>
    </comment>
    <comment ref="F296" authorId="0">
      <text>
        <r>
          <rPr>
            <sz val="9"/>
            <color rgb="FF000000"/>
            <rFont val="Arial"/>
            <family val="2"/>
          </rPr>
          <t>Tesla Form 10-K FY2025 tsla-20251231.htm | Page R9 Statements of Cash Flows | 5,368</t>
        </r>
      </text>
    </comment>
    <comment ref="D298" authorId="0">
      <text>
        <r>
          <rPr>
            <sz val="9"/>
            <color rgb="FF000000"/>
            <rFont val="Arial"/>
            <family val="2"/>
          </rPr>
          <t>Tesla Q1-2026 Update (8-K Ex.99.1) exhibit991.htm | Page 27 | 112</t>
        </r>
      </text>
    </comment>
    <comment ref="E298" authorId="0">
      <text>
        <r>
          <rPr>
            <sz val="9"/>
            <color rgb="FF000000"/>
            <rFont val="Arial"/>
            <family val="2"/>
          </rPr>
          <t>Tesla Q2-2026 Update (8-K Ex.99.1) exhibit991.htm | Page 29 | 136</t>
        </r>
      </text>
    </comment>
    <comment ref="D300" authorId="0">
      <text>
        <r>
          <rPr>
            <sz val="9"/>
            <color rgb="FF000000"/>
            <rFont val="Arial"/>
            <family val="2"/>
          </rPr>
          <t>Tesla Q1-2026 Update (8-K Ex.99.1) exhibit991.htm | Page 27 | (43)</t>
        </r>
      </text>
    </comment>
    <comment ref="E300" authorId="0">
      <text>
        <r>
          <rPr>
            <sz val="9"/>
            <color rgb="FF000000"/>
            <rFont val="Arial"/>
            <family val="2"/>
          </rPr>
          <t>Tesla Q2-2026 Update (8-K Ex.99.1) exhibit991.htm | Page 29 | 52</t>
        </r>
      </text>
    </comment>
    <comment ref="D301" authorId="0">
      <text>
        <r>
          <rPr>
            <sz val="9"/>
            <color rgb="FF000000"/>
            <rFont val="Arial"/>
            <family val="2"/>
          </rPr>
          <t>Tesla Q1-2026 Update (8-K Ex.99.1) exhibit991.htm | Page 27 | 46</t>
        </r>
      </text>
    </comment>
    <comment ref="E301" authorId="0">
      <text>
        <r>
          <rPr>
            <sz val="9"/>
            <color rgb="FF000000"/>
            <rFont val="Arial"/>
            <family val="2"/>
          </rPr>
          <t>Tesla Q2-2026 Update (8-K Ex.99.1) exhibit991.htm | Page 29 | 27</t>
        </r>
      </text>
    </comment>
    <comment ref="D304" authorId="0">
      <text>
        <r>
          <rPr>
            <sz val="9"/>
            <color rgb="FF000000"/>
            <rFont val="Arial"/>
            <family val="2"/>
          </rPr>
          <t>Tesla Q1-2026 Update (8-K Ex.99.1) exhibit991.htm | Page 27 | 630</t>
        </r>
      </text>
    </comment>
    <comment ref="E304" authorId="0">
      <text>
        <r>
          <rPr>
            <sz val="9"/>
            <color rgb="FF000000"/>
            <rFont val="Arial"/>
            <family val="2"/>
          </rPr>
          <t>Tesla Q2-2026 Update (8-K Ex.99.1) exhibit991.htm | Page 29 | (29)</t>
        </r>
      </text>
    </comment>
    <comment ref="D305" authorId="0">
      <text>
        <r>
          <rPr>
            <sz val="9"/>
            <color rgb="FF000000"/>
            <rFont val="Arial"/>
            <family val="2"/>
          </rPr>
          <t>Tesla Q1-2026 Update (8-K Ex.99.1) exhibit991.htm | Page 27 | (1,704)</t>
        </r>
      </text>
    </comment>
    <comment ref="E305" authorId="0">
      <text>
        <r>
          <rPr>
            <sz val="9"/>
            <color rgb="FF000000"/>
            <rFont val="Arial"/>
            <family val="2"/>
          </rPr>
          <t>Tesla Q2-2026 Update (8-K Ex.99.1) exhibit991.htm | Page 29 | (703)</t>
        </r>
      </text>
    </comment>
    <comment ref="D306" authorId="0">
      <text>
        <r>
          <rPr>
            <sz val="9"/>
            <color rgb="FF000000"/>
            <rFont val="Arial"/>
            <family val="2"/>
          </rPr>
          <t>Tesla Q1-2026 Update (8-K Ex.99.1) exhibit991.htm | Page 27 | (76)</t>
        </r>
      </text>
    </comment>
    <comment ref="E306" authorId="0">
      <text>
        <r>
          <rPr>
            <sz val="9"/>
            <color rgb="FF000000"/>
            <rFont val="Arial"/>
            <family val="2"/>
          </rPr>
          <t>Tesla Q2-2026 Update (8-K Ex.99.1) exhibit991.htm | Page 29 | 141</t>
        </r>
      </text>
    </comment>
    <comment ref="D307" authorId="0">
      <text>
        <r>
          <rPr>
            <sz val="9"/>
            <color rgb="FF000000"/>
            <rFont val="Arial"/>
            <family val="2"/>
          </rPr>
          <t>Tesla Q1-2026 Update (8-K Ex.99.1) exhibit991.htm | Page 27 | (419)</t>
        </r>
      </text>
    </comment>
    <comment ref="E307" authorId="0">
      <text>
        <r>
          <rPr>
            <sz val="9"/>
            <color rgb="FF000000"/>
            <rFont val="Arial"/>
            <family val="2"/>
          </rPr>
          <t>Tesla Q2-2026 Update (8-K Ex.99.1) exhibit991.htm | Page 29 | (718)</t>
        </r>
      </text>
    </comment>
    <comment ref="D308" authorId="0">
      <text>
        <r>
          <rPr>
            <sz val="9"/>
            <color rgb="FF000000"/>
            <rFont val="Arial"/>
            <family val="2"/>
          </rPr>
          <t>Tesla Q1-2026 Update (8-K Ex.99.1) exhibit991.htm | Page 27 | 706</t>
        </r>
      </text>
    </comment>
    <comment ref="E308" authorId="0">
      <text>
        <r>
          <rPr>
            <sz val="9"/>
            <color rgb="FF000000"/>
            <rFont val="Arial"/>
            <family val="2"/>
          </rPr>
          <t>Tesla Q2-2026 Update (8-K Ex.99.1) exhibit991.htm | Page 29 | 627</t>
        </r>
      </text>
    </comment>
    <comment ref="D309" authorId="0">
      <text>
        <r>
          <rPr>
            <sz val="9"/>
            <color rgb="FF000000"/>
            <rFont val="Arial"/>
            <family val="2"/>
          </rPr>
          <t>Tesla Q1-2026 Update (8-K Ex.99.1) exhibit991.htm | Page 27 | 309</t>
        </r>
      </text>
    </comment>
    <comment ref="E309" authorId="0">
      <text>
        <r>
          <rPr>
            <sz val="9"/>
            <color rgb="FF000000"/>
            <rFont val="Arial"/>
            <family val="2"/>
          </rPr>
          <t>Tesla Q2-2026 Update (8-K Ex.99.1) exhibit991.htm | Page 29 | 9</t>
        </r>
      </text>
    </comment>
    <comment ref="B310" authorId="0">
      <text>
        <r>
          <rPr>
            <sz val="9"/>
            <color rgb="FF000000"/>
            <rFont val="Arial"/>
            <family val="2"/>
          </rPr>
          <t>Tesla Q3-2025 Update (8-K Ex.99.1) exhibit991.htm | Page 25 | 6,255</t>
        </r>
      </text>
    </comment>
    <comment ref="C310" authorId="0">
      <text>
        <r>
          <rPr>
            <sz val="9"/>
            <color rgb="FF000000"/>
            <rFont val="Arial"/>
            <family val="2"/>
          </rPr>
          <t>Tesla Q4-FY2025 Update (8-K Ex.99.1) exhibit991.htm | Page 30 | 4,814</t>
        </r>
      </text>
    </comment>
    <comment ref="F310" authorId="0">
      <text>
        <r>
          <rPr>
            <sz val="9"/>
            <color rgb="FF000000"/>
            <rFont val="Arial"/>
            <family val="2"/>
          </rPr>
          <t>Tesla Form 10-K FY2025 tsla-20251231.htm | Page R9 Statements of Cash Flows | 14,923</t>
        </r>
      </text>
    </comment>
    <comment ref="B311" authorId="0">
      <text>
        <r>
          <rPr>
            <sz val="9"/>
            <color rgb="FF000000"/>
            <rFont val="Arial"/>
            <family val="2"/>
          </rPr>
          <t>Tesla Q3-2025 Update (8-K Ex.99.1) exhibit991.htm | Page 25 | (3,513)</t>
        </r>
      </text>
    </comment>
    <comment ref="C311" authorId="0">
      <text>
        <r>
          <rPr>
            <sz val="9"/>
            <color rgb="FF000000"/>
            <rFont val="Arial"/>
            <family val="2"/>
          </rPr>
          <t>Tesla Q4-FY2025 Update (8-K Ex.99.1) exhibit991.htm | Page 30 | (2,780)</t>
        </r>
      </text>
    </comment>
    <comment ref="D311" authorId="0">
      <text>
        <r>
          <rPr>
            <sz val="9"/>
            <color rgb="FF000000"/>
            <rFont val="Arial"/>
            <family val="2"/>
          </rPr>
          <t>Tesla Q1-2026 Update (8-K Ex.99.1) exhibit991.htm | Page 27 | (1,492)</t>
        </r>
      </text>
    </comment>
    <comment ref="E311" authorId="0">
      <text>
        <r>
          <rPr>
            <sz val="9"/>
            <color rgb="FF000000"/>
            <rFont val="Arial"/>
            <family val="2"/>
          </rPr>
          <t>Tesla Q2-2026 Update (8-K Ex.99.1) exhibit991.htm | Page 29 | (2,394)</t>
        </r>
      </text>
    </comment>
    <comment ref="F311" authorId="0">
      <text>
        <r>
          <rPr>
            <sz val="9"/>
            <color rgb="FF000000"/>
            <rFont val="Arial"/>
            <family val="2"/>
          </rPr>
          <t>Tesla Form 10-K FY2025 tsla-20251231.htm | Page R9 Statements of Cash Flows | (11,342)</t>
        </r>
      </text>
    </comment>
    <comment ref="D312" authorId="0">
      <text>
        <r>
          <rPr>
            <sz val="9"/>
            <color rgb="FF000000"/>
            <rFont val="Arial"/>
            <family val="2"/>
          </rPr>
          <t>Tesla Q1-2026 Update (8-K Ex.99.1) exhibit991.htm | Page 27 | 0</t>
        </r>
      </text>
    </comment>
    <comment ref="E312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D313" authorId="0">
      <text>
        <r>
          <rPr>
            <sz val="9"/>
            <color rgb="FF000000"/>
            <rFont val="Arial"/>
            <family val="2"/>
          </rPr>
          <t>Tesla Q1-2026 Update (8-K Ex.99.1) exhibit991.htm | Page 27 | (6,015)</t>
        </r>
      </text>
    </comment>
    <comment ref="E313" authorId="0">
      <text>
        <r>
          <rPr>
            <sz val="9"/>
            <color rgb="FF000000"/>
            <rFont val="Arial"/>
            <family val="2"/>
          </rPr>
          <t>Tesla Q2-2026 Update (8-K Ex.99.1) exhibit991.htm | Page 29 | (7,485)</t>
        </r>
      </text>
    </comment>
    <comment ref="D314" authorId="0">
      <text>
        <r>
          <rPr>
            <sz val="9"/>
            <color rgb="FF000000"/>
            <rFont val="Arial"/>
            <family val="2"/>
          </rPr>
          <t>Tesla Q1-2026 Update (8-K Ex.99.1) exhibit991.htm | Page 27 | 5,856</t>
        </r>
      </text>
    </comment>
    <comment ref="E314" authorId="0">
      <text>
        <r>
          <rPr>
            <sz val="9"/>
            <color rgb="FF000000"/>
            <rFont val="Arial"/>
            <family val="2"/>
          </rPr>
          <t>Tesla Q2-2026 Update (8-K Ex.99.1) exhibit991.htm | Page 29 | 6,935</t>
        </r>
      </text>
    </comment>
    <comment ref="D315" authorId="0">
      <text>
        <r>
          <rPr>
            <sz val="9"/>
            <color rgb="FF000000"/>
            <rFont val="Arial"/>
            <family val="2"/>
          </rPr>
          <t>Tesla Q1-2026 Update (8-K Ex.99.1) exhibit991.htm | Page 27 | 0</t>
        </r>
      </text>
    </comment>
    <comment ref="E315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D317" authorId="0">
      <text>
        <r>
          <rPr>
            <sz val="9"/>
            <color rgb="FF000000"/>
            <rFont val="Arial"/>
            <family val="2"/>
          </rPr>
          <t>Tesla Q1-2026 Update (8-K Ex.99.1) exhibit991.htm | Page 27 | 625</t>
        </r>
      </text>
    </comment>
    <comment ref="E317" authorId="0">
      <text>
        <r>
          <rPr>
            <sz val="9"/>
            <color rgb="FF000000"/>
            <rFont val="Arial"/>
            <family val="2"/>
          </rPr>
          <t>Tesla Q2-2026 Update (8-K Ex.99.1) exhibit991.htm | Page 29 | 2,425</t>
        </r>
      </text>
    </comment>
    <comment ref="D318" authorId="0">
      <text>
        <r>
          <rPr>
            <sz val="9"/>
            <color rgb="FF000000"/>
            <rFont val="Arial"/>
            <family val="2"/>
          </rPr>
          <t>Tesla Q1-2026 Update (8-K Ex.99.1) exhibit991.htm | Page 27 | (1,301)</t>
        </r>
      </text>
    </comment>
    <comment ref="E318" authorId="0">
      <text>
        <r>
          <rPr>
            <sz val="9"/>
            <color rgb="FF000000"/>
            <rFont val="Arial"/>
            <family val="2"/>
          </rPr>
          <t>Tesla Q2-2026 Update (8-K Ex.99.1) exhibit991.htm | Page 29 | (2,828)</t>
        </r>
      </text>
    </comment>
    <comment ref="D319" authorId="0">
      <text>
        <r>
          <rPr>
            <sz val="9"/>
            <color rgb="FF000000"/>
            <rFont val="Arial"/>
            <family val="2"/>
          </rPr>
          <t>Tesla Q1-2026 Update (8-K Ex.99.1) exhibit991.htm | Page 27 | 0</t>
        </r>
      </text>
    </comment>
    <comment ref="E319" authorId="0">
      <text>
        <r>
          <rPr>
            <sz val="9"/>
            <color rgb="FF000000"/>
            <rFont val="Arial"/>
            <family val="2"/>
          </rPr>
          <t>Tesla Q2-2026 Update (8-K Ex.99.1) exhibit991.htm | Page 29 | (1)</t>
        </r>
      </text>
    </comment>
    <comment ref="D320" authorId="0">
      <text>
        <r>
          <rPr>
            <sz val="9"/>
            <color rgb="FF000000"/>
            <rFont val="Arial"/>
            <family val="2"/>
          </rPr>
          <t>Tesla Q1-2026 Update (8-K Ex.99.1) exhibit991.htm | Page 27 | 313</t>
        </r>
      </text>
    </comment>
    <comment ref="E320" authorId="0">
      <text>
        <r>
          <rPr>
            <sz val="9"/>
            <color rgb="FF000000"/>
            <rFont val="Arial"/>
            <family val="2"/>
          </rPr>
          <t>Tesla Q2-2026 Update (8-K Ex.99.1) exhibit991.htm | Page 29 | 215</t>
        </r>
      </text>
    </comment>
    <comment ref="D321" authorId="0">
      <text>
        <r>
          <rPr>
            <sz val="9"/>
            <color rgb="FF000000"/>
            <rFont val="Arial"/>
            <family val="2"/>
          </rPr>
          <t>Tesla Q1-2026 Update (8-K Ex.99.1) exhibit991.htm | Page 27 | (48)</t>
        </r>
      </text>
    </comment>
    <comment ref="E321" authorId="0">
      <text>
        <r>
          <rPr>
            <sz val="9"/>
            <color rgb="FF000000"/>
            <rFont val="Arial"/>
            <family val="2"/>
          </rPr>
          <t>Tesla Q2-2026 Update (8-K Ex.99.1) exhibit991.htm | Page 29 | (19)</t>
        </r>
      </text>
    </comment>
    <comment ref="D322" authorId="0">
      <text>
        <r>
          <rPr>
            <sz val="9"/>
            <color rgb="FF000000"/>
            <rFont val="Arial"/>
            <family val="2"/>
          </rPr>
          <t>Tesla Q1-2026 Update (8-K Ex.99.1) exhibit991.htm | Page 27 | 101</t>
        </r>
      </text>
    </comment>
    <comment ref="E322" authorId="0">
      <text>
        <r>
          <rPr>
            <sz val="9"/>
            <color rgb="FF000000"/>
            <rFont val="Arial"/>
            <family val="2"/>
          </rPr>
          <t>Tesla Q2-2026 Update (8-K Ex.99.1) exhibit991.htm | Page 29 | 0</t>
        </r>
      </text>
    </comment>
    <comment ref="D323" authorId="0">
      <text>
        <r>
          <rPr>
            <sz val="9"/>
            <color rgb="FF000000"/>
            <rFont val="Arial"/>
            <family val="2"/>
          </rPr>
          <t>Tesla Q1-2026 Update (8-K Ex.99.1) exhibit991.htm | Page 27 | (22)</t>
        </r>
      </text>
    </comment>
    <comment ref="E323" authorId="0">
      <text>
        <r>
          <rPr>
            <sz val="9"/>
            <color rgb="FF000000"/>
            <rFont val="Arial"/>
            <family val="2"/>
          </rPr>
          <t>Tesla Q2-2026 Update (8-K Ex.99.1) exhibit991.htm | Page 29 | (14)</t>
        </r>
      </text>
    </comment>
    <comment ref="D325" authorId="0">
      <text>
        <r>
          <rPr>
            <sz val="9"/>
            <color rgb="FF000000"/>
            <rFont val="Arial"/>
            <family val="2"/>
          </rPr>
          <t>Tesla Q1-2026 Update (8-K Ex.99.1) exhibit991.htm | Page 27 | 40</t>
        </r>
      </text>
    </comment>
    <comment ref="E325" authorId="0">
      <text>
        <r>
          <rPr>
            <sz val="9"/>
            <color rgb="FF000000"/>
            <rFont val="Arial"/>
            <family val="2"/>
          </rPr>
          <t>Tesla Q2-2026 Update (8-K Ex.99.1) exhibit991.htm | Page 29 | 111</t>
        </r>
      </text>
    </comment>
    <comment ref="D327" authorId="0">
      <text>
        <r>
          <rPr>
            <sz val="9"/>
            <color rgb="FF000000"/>
            <rFont val="Arial"/>
            <family val="2"/>
          </rPr>
          <t>Tesla Q1-2026 Update (8-K Ex.99.1) exhibit991.htm | Page 27 | 17,037</t>
        </r>
      </text>
    </comment>
    <comment ref="B331" authorId="0">
      <text>
        <r>
          <rPr>
            <sz val="9"/>
            <color rgb="FF000000"/>
            <rFont val="Arial"/>
            <family val="2"/>
          </rPr>
          <t>Tesla Form 10-Q Q3-2025 tsla-20250930.htm | Page Note 14 Revenues by geographic area | 12,584</t>
        </r>
      </text>
    </comment>
    <comment ref="D331" authorId="0">
      <text>
        <r>
          <rPr>
            <sz val="9"/>
            <color rgb="FF000000"/>
            <rFont val="Arial"/>
            <family val="2"/>
          </rPr>
          <t>Tesla Form 10-Q Q1-2026 tsla-20260331.htm | Page Note 13 Revenues by geographic area | 10,333</t>
        </r>
      </text>
    </comment>
    <comment ref="E331" authorId="0">
      <text>
        <r>
          <rPr>
            <sz val="9"/>
            <color rgb="FF000000"/>
            <rFont val="Arial"/>
            <family val="2"/>
          </rPr>
          <t>Tesla Form 10-Q Q2-2026 tsla-20260630.htm | Page Note 14 Revenues by geographic area | 11,809</t>
        </r>
      </text>
    </comment>
    <comment ref="B333" authorId="0">
      <text>
        <r>
          <rPr>
            <sz val="9"/>
            <color rgb="FF000000"/>
            <rFont val="Arial"/>
            <family val="2"/>
          </rPr>
          <t>Tesla Form 10-Q Q3-2025 tsla-20250930.htm | Page Note 14 Revenues by geographic area | 5,665</t>
        </r>
      </text>
    </comment>
    <comment ref="D333" authorId="0">
      <text>
        <r>
          <rPr>
            <sz val="9"/>
            <color rgb="FF000000"/>
            <rFont val="Arial"/>
            <family val="2"/>
          </rPr>
          <t>Tesla Form 10-Q Q1-2026 tsla-20260331.htm | Page Note 13 Revenues by geographic area | 4,303</t>
        </r>
      </text>
    </comment>
    <comment ref="E333" authorId="0">
      <text>
        <r>
          <rPr>
            <sz val="9"/>
            <color rgb="FF000000"/>
            <rFont val="Arial"/>
            <family val="2"/>
          </rPr>
          <t>Tesla Form 10-Q Q2-2026 tsla-20260630.htm | Page Note 14 Revenues by geographic area | 4,305</t>
        </r>
      </text>
    </comment>
    <comment ref="B334" authorId="0">
      <text>
        <r>
          <rPr>
            <sz val="9"/>
            <color rgb="FF000000"/>
            <rFont val="Arial"/>
            <family val="2"/>
          </rPr>
          <t>Tesla Form 10-Q Q3-2025 tsla-20250930.htm | Page Note 14 Revenues by geographic area | 6,933</t>
        </r>
      </text>
    </comment>
    <comment ref="D334" authorId="0">
      <text>
        <r>
          <rPr>
            <sz val="9"/>
            <color rgb="FF000000"/>
            <rFont val="Arial"/>
            <family val="2"/>
          </rPr>
          <t>Tesla Form 10-Q Q1-2026 tsla-20260331.htm | Page Note 13 Revenues by geographic area | 4,699</t>
        </r>
      </text>
    </comment>
    <comment ref="E334" authorId="0">
      <text>
        <r>
          <rPr>
            <sz val="9"/>
            <color rgb="FF000000"/>
            <rFont val="Arial"/>
            <family val="2"/>
          </rPr>
          <t>Tesla Form 10-Q Q2-2026 tsla-20260630.htm | Page Note 14 Revenues by geographic area | 6,382</t>
        </r>
      </text>
    </comment>
    <comment ref="B337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3,198</t>
        </r>
      </text>
    </comment>
    <comment ref="C337" authorId="0">
      <text>
        <r>
          <rPr>
            <sz val="9"/>
            <color rgb="FF000000"/>
            <rFont val="Arial"/>
            <family val="2"/>
          </rPr>
          <t>Tesla Q4-FY2025 Update (8-K Ex.99.1) exhibit991.htm | Page 28 | 3,213</t>
        </r>
      </text>
    </comment>
    <comment ref="D337" authorId="0">
      <text>
        <r>
          <rPr>
            <sz val="9"/>
            <color rgb="FF000000"/>
            <rFont val="Arial"/>
            <family val="2"/>
          </rPr>
          <t>Tesla Q4-FY2025 Update (8-K Ex.99.1) exhibit991.htm | Page 28 | 3,218</t>
        </r>
      </text>
    </comment>
    <comment ref="E337" authorId="0">
      <text>
        <r>
          <rPr>
            <sz val="9"/>
            <color rgb="FF000000"/>
            <rFont val="Arial"/>
            <family val="2"/>
          </rPr>
          <t>Tesla Q2-2026 Update (8-K Ex.99.1) exhibit991.htm | Page 27 | 3,223</t>
        </r>
      </text>
    </comment>
    <comment ref="F337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3,197</t>
        </r>
      </text>
    </comment>
    <comment ref="B338" authorId="0">
      <text>
        <r>
          <rPr>
            <sz val="9"/>
            <color rgb="FF000000"/>
            <rFont val="Arial"/>
            <family val="2"/>
          </rPr>
          <t>Tesla Form 10-Q Q3-2025 tsla-20250930.htm | Page Item 1 Statements of Operations | 3,497</t>
        </r>
      </text>
    </comment>
    <comment ref="C338" authorId="0">
      <text>
        <r>
          <rPr>
            <sz val="9"/>
            <color rgb="FF000000"/>
            <rFont val="Arial"/>
            <family val="2"/>
          </rPr>
          <t>Tesla Q4-FY2025 Update (8-K Ex.99.1) exhibit991.htm | Page 28 | 3,517</t>
        </r>
      </text>
    </comment>
    <comment ref="D338" authorId="0">
      <text>
        <r>
          <rPr>
            <sz val="9"/>
            <color rgb="FF000000"/>
            <rFont val="Arial"/>
            <family val="2"/>
          </rPr>
          <t>Tesla Q4-FY2025 Update (8-K Ex.99.1) exhibit991.htm | Page 28 | 3,521</t>
        </r>
      </text>
    </comment>
    <comment ref="E338" authorId="0">
      <text>
        <r>
          <rPr>
            <sz val="9"/>
            <color rgb="FF000000"/>
            <rFont val="Arial"/>
            <family val="2"/>
          </rPr>
          <t>Tesla Q2-2026 Update (8-K Ex.99.1) exhibit991.htm | Page 27 | 3,519</t>
        </r>
      </text>
    </comment>
    <comment ref="F338" authorId="0">
      <text>
        <r>
          <rPr>
            <sz val="9"/>
            <color rgb="FF000000"/>
            <rFont val="Arial"/>
            <family val="2"/>
          </rPr>
          <t>Tesla Form 10-K FY2025 tsla-20251231.htm | Page R5 Statements of Operations | 3,498</t>
        </r>
      </text>
    </comment>
  </commentList>
</comments>
</file>

<file path=xl/sharedStrings.xml><?xml version="1.0" encoding="utf-8"?>
<sst xmlns="http://schemas.openxmlformats.org/spreadsheetml/2006/main" count="805" uniqueCount="805">
  <si>
    <t>Tesla, Inc. (NasdaqGS:TSLA)</t>
  </si>
  <si>
    <t>Company Model — built by Shortcut</t>
  </si>
  <si>
    <t>$ millions, except per share</t>
  </si>
  <si>
    <t>Period</t>
  </si>
  <si>
    <t>3Q26E</t>
  </si>
  <si>
    <t>Period end</t>
  </si>
  <si>
    <t>Days in period</t>
  </si>
  <si>
    <t>Company</t>
  </si>
  <si>
    <t>Tesla, Inc.</t>
  </si>
  <si>
    <t>Ticker / exchange</t>
  </si>
  <si>
    <t>TSLA / Nasdaq Global Select (NasdaqGS:TSLA)</t>
  </si>
  <si>
    <t>Fiscal year end</t>
  </si>
  <si>
    <t>December 31 (calendar year; FQ3 2026 = quarter ended 2026-09-30)</t>
  </si>
  <si>
    <t>Reporting currency</t>
  </si>
  <si>
    <t>USD; financial amounts in $ millions</t>
  </si>
  <si>
    <t>EPS basis (consensus)</t>
  </si>
  <si>
    <t>Normalized diluted EPS = Tesla non-GAAP diluted EPS (ex SBC, digital assets, SpaceX MTM, tax items)</t>
  </si>
  <si>
    <t>Information cutoff</t>
  </si>
  <si>
    <t>2026-10-18T21:34:46Z (CapIQ snapshot captured 2026-10-18)</t>
  </si>
  <si>
    <t>Expected report date</t>
  </si>
  <si>
    <t>2026-10-21, after market close (confirmed by Tesla 2026-10-02)</t>
  </si>
  <si>
    <t>Target period</t>
  </si>
  <si>
    <t>3Q26E (FQ3 2026 - Sep 2026; supplied period-end label 2026-09-30 matches issuer quarter end)</t>
  </si>
  <si>
    <t>Headline estimates - 3Q26E</t>
  </si>
  <si>
    <t>Shortcut estimate</t>
  </si>
  <si>
    <t>Consensus (CapIQ, cutoff)</t>
  </si>
  <si>
    <t>Variance</t>
  </si>
  <si>
    <t>Variance %</t>
  </si>
  <si>
    <t>Guidance midpoint</t>
  </si>
  <si>
    <t>Est. vs guidance</t>
  </si>
  <si>
    <t>Total revenues ($m)</t>
  </si>
  <si>
    <t>n/a</t>
  </si>
  <si>
    <t>Tesla gives no revenue, earnings or EPS guidance (see Guidance tab) - guidance midpoint unavailable.</t>
  </si>
  <si>
    <t>Net income to common - non-GAAP ($m)</t>
  </si>
  <si>
    <t>EPS - normalized diluted</t>
  </si>
  <si>
    <t>Net income to common - GAAP ($m)</t>
  </si>
  <si>
    <t>EPS - GAAP diluted</t>
  </si>
  <si>
    <t>Overall model check</t>
  </si>
  <si>
    <t>PASS</t>
  </si>
  <si>
    <t>Structural / linkage / arithmetic-identity checks. Forecast-column (G) identities that hold by construction and cannot fail: 'Income Statement'!G142, 'Cash Flow Statement'!G113, 'Balance Sheet'!G42, Geo!G39, 'Revenue summary'!G65 and 'Income Statement'!G202; historical columns test against reported figures or internal ties. PASS is not independent validation of the forecast.</t>
  </si>
  <si>
    <t>P(beat consensus EPS)</t>
  </si>
  <si>
    <t>Starting prob. (size/history prior) on Inputs; shaded down for model EPS below consensus.</t>
  </si>
  <si>
    <t>Confidence</t>
  </si>
  <si>
    <t>low</t>
  </si>
  <si>
    <t>Cover ties to statements (estimate less source, should be 0)</t>
  </si>
  <si>
    <t>Check: Total revenues</t>
  </si>
  <si>
    <t>Check: NI to common - non-GAAP</t>
  </si>
  <si>
    <t>Check: EPS - normalized diluted</t>
  </si>
  <si>
    <t>Check: NI to common - GAAP</t>
  </si>
  <si>
    <t>Check: EPS - GAAP diluted</t>
  </si>
  <si>
    <t>Check: P(beat) = Inputs final p</t>
  </si>
  <si>
    <t>Revenue summary</t>
  </si>
  <si>
    <t>3Q25A</t>
  </si>
  <si>
    <t>4Q25A</t>
  </si>
  <si>
    <t>FY25A</t>
  </si>
  <si>
    <t>1Q26A</t>
  </si>
  <si>
    <t>2Q26A</t>
  </si>
  <si>
    <t>Notes</t>
  </si>
  <si>
    <t>Revenue by reported segment ($ millions)</t>
  </si>
  <si>
    <t>Automotive segment</t>
  </si>
  <si>
    <t>% Y/Y</t>
  </si>
  <si>
    <t>% Q/Q</t>
  </si>
  <si>
    <t>% of total revenue</t>
  </si>
  <si>
    <t>Energy generation &amp; storage segment</t>
  </si>
  <si>
    <t>Total revenues</t>
  </si>
  <si>
    <t>Q/Q change (abs.)</t>
  </si>
  <si>
    <t>Growth decomposition - total revenues</t>
  </si>
  <si>
    <t>Total Y/Y growth (reported)</t>
  </si>
  <si>
    <t>Y/Y change (bp)</t>
  </si>
  <si>
    <t>Q/Q change (bp)</t>
  </si>
  <si>
    <t>FX impact on revenue, Y/Y ($m)</t>
  </si>
  <si>
    <t>Tesla quantifies FX only to $0.1bn; 3Q25 and FY25 not quantified (unavailable). 3Q26E: assumption - CNY +6% y/y vs EUR -1.5% y/y on Q3 averages -&gt; ~+$0.2bn.</t>
  </si>
  <si>
    <t>Y/Y change</t>
  </si>
  <si>
    <t>FX impact (% of prior-year revenue)</t>
  </si>
  <si>
    <t>M&amp;A / scope impact</t>
  </si>
  <si>
    <t>No acquired revenue disclosed; Apr-2026 AI-hardware acquisition (stock) has no disclosed revenue.</t>
  </si>
  <si>
    <t>Organic growth (const. FX, ex M&amp;A)</t>
  </si>
  <si>
    <t>Revenue by source (10-Q Note 2 disaggregation, $ millions)</t>
  </si>
  <si>
    <t>Automotive sales</t>
  </si>
  <si>
    <t>Automotive regulatory credits</t>
  </si>
  <si>
    <t>Automotive leasing</t>
  </si>
  <si>
    <t>Services and other</t>
  </si>
  <si>
    <t>Energy generation and storage sales</t>
  </si>
  <si>
    <t>Energy generation &amp; storage leasing</t>
  </si>
  <si>
    <t>Total revenues by source</t>
  </si>
  <si>
    <t>Check: segments sum to total = 0</t>
  </si>
  <si>
    <t>Geography</t>
  </si>
  <si>
    <t>Tesla discloses three geographies (US, China, Other international) - see Geo tab.</t>
  </si>
  <si>
    <t>Segment - Automotive</t>
  </si>
  <si>
    <t>Vehicle production (units)</t>
  </si>
  <si>
    <t>Model 3/Y production</t>
  </si>
  <si>
    <t>Other models production</t>
  </si>
  <si>
    <t>Total production</t>
  </si>
  <si>
    <t>Vehicle deliveries (units)</t>
  </si>
  <si>
    <t>Model 3/Y deliveries</t>
  </si>
  <si>
    <t>Other models deliveries</t>
  </si>
  <si>
    <t>Total deliveries</t>
  </si>
  <si>
    <t>Other models % of deliveries</t>
  </si>
  <si>
    <t>Inventory build / (draw), units</t>
  </si>
  <si>
    <t>Vehicle inventory (days of supply)</t>
  </si>
  <si>
    <t>Reported KPI; 3Q26 figure is only published with results (not forecast).</t>
  </si>
  <si>
    <t>Operating lease accounting</t>
  </si>
  <si>
    <t>Model 3/Y on operating lease (%)</t>
  </si>
  <si>
    <t>Percentages only disclosed in the 3Q26 P&amp;D release (1% / 4%).</t>
  </si>
  <si>
    <t>Other models on operating lease (%)</t>
  </si>
  <si>
    <t>Deliveries on operating lease</t>
  </si>
  <si>
    <t>Leased % of total deliveries</t>
  </si>
  <si>
    <t>Cash deliveries (ex op. leases)</t>
  </si>
  <si>
    <t>Operating lease fleet - new vehicles (units)</t>
  </si>
  <si>
    <t>Opening operating lease fleet</t>
  </si>
  <si>
    <t>Gross additions (new leases)</t>
  </si>
  <si>
    <t>Terminations / buy-outs (derived)</t>
  </si>
  <si>
    <t>3Q26E: assumption - terminations near the 1Q26-2Q26 run-rate (14.5k-17.7k).</t>
  </si>
  <si>
    <t>Net additions</t>
  </si>
  <si>
    <t>Closing operating lease fleet</t>
  </si>
  <si>
    <t>New vehicles only (definition from 4Q25; 3Q25 restated). 3Q24 old-definition figure excluded. Source coverage: Q4/FY25 Update (S4) row 'Total end of quarter operating lease (new vehicle) count' shows Q4-24 180,523 / Q1-25 179,930 / Q2-25 172,882 / Q3-25 167,163 / Q4-25 163,075; Q1-26 Update (S5) corroborates. Opening counts (Inputs C181:E181) are therefore on the explicit new-vehicle basis.</t>
  </si>
  <si>
    <t>Average operating lease fleet</t>
  </si>
  <si>
    <t>FY25A (D): two-point average of FY opening and closing fleet, not an average of quarterly averages.</t>
  </si>
  <si>
    <t>Termination rate (% of opening)</t>
  </si>
  <si>
    <t>FY25A (D): annual terminations / FY opening fleet (annual scale) - not comparable with quarterly rates.</t>
  </si>
  <si>
    <t>FSD (Supervised) paid customers (millions)</t>
  </si>
  <si>
    <t>Opening active FSD subscriptions</t>
  </si>
  <si>
    <t>Gross additions / churn</t>
  </si>
  <si>
    <t>Not disclosed by Tesla (only net closing count reported).</t>
  </si>
  <si>
    <t>3Q26E: assumption - net adds slightly below 2Q26 record (+0.20m).</t>
  </si>
  <si>
    <t>Closing active FSD subscriptions</t>
  </si>
  <si>
    <t>Average active FSD subscriptions</t>
  </si>
  <si>
    <t>FY25A (D): two-point average of FY opening and closing subscriptions, not an average of quarterly averages.</t>
  </si>
  <si>
    <t>Fleet and charging network</t>
  </si>
  <si>
    <t>Cumulative deliveries (m, fleet)</t>
  </si>
  <si>
    <t>Reported to one decimal; includes unsupervised Robotaxis placed in service.</t>
  </si>
  <si>
    <t>Average fleet (millions)</t>
  </si>
  <si>
    <t>Opening Supercharger connectors</t>
  </si>
  <si>
    <t>Net connector additions</t>
  </si>
  <si>
    <t>3Q26E: assumption - in line with 2Q26 net adds (+2,439).</t>
  </si>
  <si>
    <t>Closing Supercharger connectors</t>
  </si>
  <si>
    <t>Revenue build ($ millions)</t>
  </si>
  <si>
    <t>ASP per cash delivery ($)</t>
  </si>
  <si>
    <t>3Q26E: assumption - -1.4% q/q - S/X mix loss (other models 1.7% of deliveries vs 2.6%), China Sept cash cuts; partly offset by FSD subs and Model YL.</t>
  </si>
  <si>
    <t>Total Y/Y growth</t>
  </si>
  <si>
    <t>FX impact</t>
  </si>
  <si>
    <t>Organic growth</t>
  </si>
  <si>
    <t>3Q26E: assumption - near 2Q26 level; programs restricted (OBBBA).</t>
  </si>
  <si>
    <t>Leasing revenue per avg. lease ($)</t>
  </si>
  <si>
    <t>3Q26E: assumption - ~flat vs 2Q26 ($2,477). FY25A (D): annual leasing revenue / two-point avg fleet (annual scale) - not comparable with quarterly columns.</t>
  </si>
  <si>
    <t>Total automotive revenues</t>
  </si>
  <si>
    <t>Services rev. per fleet vehicle ($)</t>
  </si>
  <si>
    <t>3Q26E: assumption - ~flat vs 2Q26 ($485) - used-car, service and Supercharging volume. FY25A (D): annual services revenue / two-point avg fleet (annual scale) - not comparable with quarterly columns.</t>
  </si>
  <si>
    <t>Automotive segment revenue</t>
  </si>
  <si>
    <t>Segment revenue - reported</t>
  </si>
  <si>
    <t>4Q figures implied: 10-K full year less 10-Q nine months.</t>
  </si>
  <si>
    <t>Check: build - reported = 0</t>
  </si>
  <si>
    <t>Cost of revenues and gross profit ($ millions)</t>
  </si>
  <si>
    <t>Cost per cash delivery ($)</t>
  </si>
  <si>
    <t>3Q26E: assumption - -1.7% q/q on 2.8% higher production, lighter other-model mix; commodity and subvention headwinds per 2Q26 call.</t>
  </si>
  <si>
    <t>Cost of automotive sales</t>
  </si>
  <si>
    <t>Automotive leasing gross margin</t>
  </si>
  <si>
    <t>3Q26E: assumption - 2Q26 level (48.6%).</t>
  </si>
  <si>
    <t>Cost of automotive leasing</t>
  </si>
  <si>
    <t>Total automotive cost of revenues</t>
  </si>
  <si>
    <t>Services and other gross margin</t>
  </si>
  <si>
    <t>3Q26E: assumption - slightly below 2Q26 record 14.1% (Robotaxi infrastructure spend).</t>
  </si>
  <si>
    <t>Cost of services and other</t>
  </si>
  <si>
    <t>Automotive segment cost of revenues</t>
  </si>
  <si>
    <t>Gross profit - automotive sales</t>
  </si>
  <si>
    <t>Gross margin - automotive sales</t>
  </si>
  <si>
    <t>Gross profit - automotive leasing</t>
  </si>
  <si>
    <t>Gross profit - total automotive</t>
  </si>
  <si>
    <t>GM - total automotive (GAAP)</t>
  </si>
  <si>
    <t>GM - auto ex credits (non-GAAP)</t>
  </si>
  <si>
    <t>Gross profit - services and other</t>
  </si>
  <si>
    <t>Automotive segment gross profit</t>
  </si>
  <si>
    <t>Automotive segment gross margin</t>
  </si>
  <si>
    <t>Per-unit economics ($ per cash delivery)</t>
  </si>
  <si>
    <t>Auto sales GP per cash delivery ($)</t>
  </si>
  <si>
    <t>Memo: D&amp;A in segment COGS</t>
  </si>
  <si>
    <t>4Q not separately reported (10-Q nine-month figure rounded); 3Q26E not forecast.</t>
  </si>
  <si>
    <t>Segment - Energy</t>
  </si>
  <si>
    <t>Deployments</t>
  </si>
  <si>
    <t>Energy storage deployed (GWh)</t>
  </si>
  <si>
    <t>3Q26 actual from the 2 Oct 2026 P&amp;D release; missed the 15.9 GWh company-compiled consensus.</t>
  </si>
  <si>
    <t>Energy sales revenue per GWh ($m)</t>
  </si>
  <si>
    <t>3Q26E: assumption - ~2Q26 level ($222m) - Megapack ASP pressure per 2Q26 call/10-Q.</t>
  </si>
  <si>
    <t>3Q26E: assumption - ~2Q26 level.</t>
  </si>
  <si>
    <t>Energy segment revenue</t>
  </si>
  <si>
    <t>Memo: SpaceX Megapack revenue</t>
  </si>
  <si>
    <t>Immaterial / not disclosed before 2026; 1Q26 derived from six-month figure.</t>
  </si>
  <si>
    <t>Cost and gross profit ($ millions)</t>
  </si>
  <si>
    <t>Energy segment gross margin</t>
  </si>
  <si>
    <t>3Q26E: assumption - 2Q26 underlying ~28% less continued ASP decline; mgmt long-term low-to-mid 20s%.</t>
  </si>
  <si>
    <t>Energy cost of revenues</t>
  </si>
  <si>
    <t>Energy segment gross profit</t>
  </si>
  <si>
    <t>Disclosed one-time items in GP</t>
  </si>
  <si>
    <t>3Q26E: assumption - no one-time items.</t>
  </si>
  <si>
    <t>Gross margin ex one-time items</t>
  </si>
  <si>
    <t>4Q not separately reported; 3Q26E not forecast.</t>
  </si>
  <si>
    <t>Income Statement</t>
  </si>
  <si>
    <t>Revenues</t>
  </si>
  <si>
    <t>Energy generation and storage</t>
  </si>
  <si>
    <t>Cost of revenues</t>
  </si>
  <si>
    <t>Total cost of revenues</t>
  </si>
  <si>
    <t>Gross profit</t>
  </si>
  <si>
    <t>Gross margin</t>
  </si>
  <si>
    <t>Operating expenses</t>
  </si>
  <si>
    <t>Research and development</t>
  </si>
  <si>
    <t>3Q26E: assumption - +$149m q/q - Cybercab/Optimus/Semi ramp costs and new compute depreciation (2Q26 call: opex to keep growing).</t>
  </si>
  <si>
    <t>R&amp;D % of revenue</t>
  </si>
  <si>
    <t>Selling, general and administrative</t>
  </si>
  <si>
    <t>3Q26E: assumption - 2Q26 litigation charges partly non-recurring, offset by CEO-award SBC.</t>
  </si>
  <si>
    <t>SG&amp;A % of revenue</t>
  </si>
  <si>
    <t>Restructuring and other</t>
  </si>
  <si>
    <t>3Q26E: assumption - none announced.</t>
  </si>
  <si>
    <t>Total operating expenses</t>
  </si>
  <si>
    <t>Income from operations (GAAP)</t>
  </si>
  <si>
    <t>Operating margin (GAAP)</t>
  </si>
  <si>
    <t>Non-operating items</t>
  </si>
  <si>
    <t>Interest income</t>
  </si>
  <si>
    <t>3Q26E: assumption - lower average cash/investments after negative FCF.</t>
  </si>
  <si>
    <t>Interest expense</t>
  </si>
  <si>
    <t>3Q26E: assumption - modestly higher debt (new facilities).</t>
  </si>
  <si>
    <t>Other income (expense), net</t>
  </si>
  <si>
    <t>of which: FX transaction loss (gain)</t>
  </si>
  <si>
    <t>Cash-flow add-back used as the FX component of other income.</t>
  </si>
  <si>
    <t>of which: digital assets loss (gain)</t>
  </si>
  <si>
    <t>of which: SpaceX MTM gain (loss)</t>
  </si>
  <si>
    <t>Investment made Mar-2026 (no gain/loss before 2Q26).</t>
  </si>
  <si>
    <t>of which: other (residual)</t>
  </si>
  <si>
    <t>3Q26E: assumption - residual ~0 (2Q26 +9, 1Q26 -26).</t>
  </si>
  <si>
    <t>Income before income taxes</t>
  </si>
  <si>
    <t>Provision for income taxes</t>
  </si>
  <si>
    <t>3Q26E GAAP tax high vs pre-tax: largely non-deductible CEO-award SBC; SpaceX MTM loss relieved at 24%.</t>
  </si>
  <si>
    <t>Effective tax rate (GAAP)</t>
  </si>
  <si>
    <t>Net income</t>
  </si>
  <si>
    <t>Net income to NCI</t>
  </si>
  <si>
    <t>3Q26E: assumption - 2Q26 level.</t>
  </si>
  <si>
    <t>Net income to common (GAAP)</t>
  </si>
  <si>
    <t>Net income to common - as reported</t>
  </si>
  <si>
    <t>Check: NI to common - reported = 0</t>
  </si>
  <si>
    <t>NCI buy-out adjustment</t>
  </si>
  <si>
    <t>3Q26E: assumption - none.</t>
  </si>
  <si>
    <t>Net income used in computing EPS</t>
  </si>
  <si>
    <t>Weighted shares - basic (m)</t>
  </si>
  <si>
    <t>Weighted shares - diluted (m)</t>
  </si>
  <si>
    <t>EPS - basic (GAAP)</t>
  </si>
  <si>
    <t>EPS - diluted (GAAP)</t>
  </si>
  <si>
    <t>EPS - diluted (GAAP), as reported</t>
  </si>
  <si>
    <t>Check: EPS = NI / diluted shares</t>
  </si>
  <si>
    <t>3Q26E (G): arithmetic identity (G137 = G125/G131) - cannot fail; not independent forecast validation. History columns test vs reported EPS.</t>
  </si>
  <si>
    <t>Margins and growth</t>
  </si>
  <si>
    <t>Pre-tax margin</t>
  </si>
  <si>
    <t>Net margin to common (GAAP)</t>
  </si>
  <si>
    <t>GAAP to non-GAAP bridge (Tesla definition = consensus normalized basis)</t>
  </si>
  <si>
    <t>SBC expense, net of tax</t>
  </si>
  <si>
    <t>Digital assets loss, net of tax</t>
  </si>
  <si>
    <t>Less: SpaceX gain (loss), net of tax</t>
  </si>
  <si>
    <t>Certain tax items</t>
  </si>
  <si>
    <t>Net income to common (non-GAAP)</t>
  </si>
  <si>
    <t>Non-GAAP NI to common - reported</t>
  </si>
  <si>
    <t>Check: NG bridge - reported = 0</t>
  </si>
  <si>
    <t>NI used in non-GAAP EPS</t>
  </si>
  <si>
    <t>EPS - diluted, non-GAAP (normalized)</t>
  </si>
  <si>
    <t>Non-GAAP diluted EPS - as reported</t>
  </si>
  <si>
    <t>Check: non-GAAP EPS - reported = 0</t>
  </si>
  <si>
    <t>Non-GAAP tax build (supports forecast GAAP tax)</t>
  </si>
  <si>
    <t>SBC expense (pre-tax)</t>
  </si>
  <si>
    <t>3Q26E: assumption - +$69m q/q (CEO performance award amortisation; 1Q26 +76, 2Q26 +121).</t>
  </si>
  <si>
    <t>Tax effect rate on SBC</t>
  </si>
  <si>
    <t>3Q26E: assumption - 2Q26 rate (14.1%); CEO award SBC largely non-deductible.</t>
  </si>
  <si>
    <t>B185:F185 and B186 not computed in this model (memo left 'n/a'); prior-period SBC comparatives exist on Inputs rows 287/278, so this is not a source gap. Memo only; no EPS effect.</t>
  </si>
  <si>
    <t>Tax effect rate on digital assets</t>
  </si>
  <si>
    <t>3Q26E: assumption - 1Q26/2Q26 rate (~22%).</t>
  </si>
  <si>
    <t>B188:F188 and B189 not computed in this model (memo left 'n/a'); prior-period digital-asset comparatives exist on Inputs rows 258/279, so this is not a source gap. Memo only; no EPS effect.</t>
  </si>
  <si>
    <t>Tax effect rate on SpaceX gain</t>
  </si>
  <si>
    <t>3Q26E: assumption - 2Q26 rate (24.1%).</t>
  </si>
  <si>
    <t>Non-GAAP pre-tax income</t>
  </si>
  <si>
    <t>Non-GAAP tax provision</t>
  </si>
  <si>
    <t>Non-GAAP effective tax rate</t>
  </si>
  <si>
    <t>3Q26E: assumption - 2Q26 26.5% / 1Q26 26.7%.</t>
  </si>
  <si>
    <t>Check: NG NI = NG PBT - tax - NCI</t>
  </si>
  <si>
    <t>Adjusted EBITDA (issuer definition)</t>
  </si>
  <si>
    <t>D&amp;A and impairment</t>
  </si>
  <si>
    <t>Adjusted EBITDA (non-GAAP)</t>
  </si>
  <si>
    <t>Adjusted EBITDA margin</t>
  </si>
  <si>
    <t>Adjusted EBITDA - as reported</t>
  </si>
  <si>
    <t>Check: EBITDA build - reported = 0</t>
  </si>
  <si>
    <t>Forecast support: mark-to-market and FX (estimate column only)</t>
  </si>
  <si>
    <t>USD/CNY at start of quarter</t>
  </si>
  <si>
    <t>USD/CNY at end of quarter</t>
  </si>
  <si>
    <t>CNY appreciation vs USD in quarter</t>
  </si>
  <si>
    <t>FX loss per 1% CNY appreciation ($m)</t>
  </si>
  <si>
    <t>3Q26E: assumption - average of 1Q26-2Q26 sensitivity (CNY-linked intercompany remeasurement).</t>
  </si>
  <si>
    <t>Bitcoin price, start of quarter ($)</t>
  </si>
  <si>
    <t>Bitcoin price, end of quarter ($)</t>
  </si>
  <si>
    <t>Bitcoin held (units, implied)</t>
  </si>
  <si>
    <t>Bitcoin MTM gain (loss)</t>
  </si>
  <si>
    <t>SpaceX carrying value, start ($m)</t>
  </si>
  <si>
    <t>SPCX price, start of quarter ($)</t>
  </si>
  <si>
    <t>SPCX price, end of quarter ($)</t>
  </si>
  <si>
    <t>Balance Sheet</t>
  </si>
  <si>
    <t>Assets</t>
  </si>
  <si>
    <t>Cash and cash equivalents</t>
  </si>
  <si>
    <t>Short-term investments</t>
  </si>
  <si>
    <t>Accounts receivable, net</t>
  </si>
  <si>
    <t>Inventory</t>
  </si>
  <si>
    <t>Prepaid and other current assets</t>
  </si>
  <si>
    <t>Total current assets</t>
  </si>
  <si>
    <t>Operating lease vehicles, net</t>
  </si>
  <si>
    <t>Energy generation &amp; storage systems</t>
  </si>
  <si>
    <t>Property, plant and equipment, net</t>
  </si>
  <si>
    <t>3Q26E (G): simplification - all D&amp;A ('Cash Flow Statement'!G12) is charged to PP&amp;E; energy generation &amp; storage systems (G16) and ROU assets (G18) are held flat. Balance sheet still balances; no EPS effect.</t>
  </si>
  <si>
    <t>Operating lease right-of-use assets</t>
  </si>
  <si>
    <t>Digital assets</t>
  </si>
  <si>
    <t>Deferred tax assets</t>
  </si>
  <si>
    <t>Other non-current assets</t>
  </si>
  <si>
    <t>3Q25 includes goodwill $257m and intangibles $131m (deck presentation).</t>
  </si>
  <si>
    <t>Total assets</t>
  </si>
  <si>
    <t>Liabilities</t>
  </si>
  <si>
    <t>Accounts payable</t>
  </si>
  <si>
    <t>Accrued liabilities and other</t>
  </si>
  <si>
    <t>3Q26E (G): simplification - non-cash FX loss ('Cash Flow Statement'!G21) and non-cash interest ('Cash Flow Statement'!G27) are posted to accrued liabilities. No EPS effect.</t>
  </si>
  <si>
    <t>Deferred revenue</t>
  </si>
  <si>
    <t>Current debt and finance leases</t>
  </si>
  <si>
    <t>Total current liabilities</t>
  </si>
  <si>
    <t>Debt and finance leases, non-current</t>
  </si>
  <si>
    <t>Deferred revenue, non-current</t>
  </si>
  <si>
    <t>Other long-term liabilities</t>
  </si>
  <si>
    <t>Total liabilities</t>
  </si>
  <si>
    <t>Redeemable NCI</t>
  </si>
  <si>
    <t>Equity</t>
  </si>
  <si>
    <t>Common stock</t>
  </si>
  <si>
    <t>Additional paid-in capital</t>
  </si>
  <si>
    <t>Accumulated OCI</t>
  </si>
  <si>
    <t>Retained earnings</t>
  </si>
  <si>
    <t>Total stockholders' equity</t>
  </si>
  <si>
    <t>Noncontrolling interests</t>
  </si>
  <si>
    <t>Total liabilities and equity</t>
  </si>
  <si>
    <t>Check: assets - liab. - equity = 0</t>
  </si>
  <si>
    <t>Total assets - as reported</t>
  </si>
  <si>
    <t>Check: total assets - reported = 0</t>
  </si>
  <si>
    <t>Memo</t>
  </si>
  <si>
    <t>Restricted cash - current</t>
  </si>
  <si>
    <t>3Q26E: assumption - flat.</t>
  </si>
  <si>
    <t>Restricted cash - non-current</t>
  </si>
  <si>
    <t>Cash and short-term investments</t>
  </si>
  <si>
    <t>Total debt and finance leases</t>
  </si>
  <si>
    <t>Net cash (cash &amp; inv. less debt)</t>
  </si>
  <si>
    <t>Cash Flow Statement</t>
  </si>
  <si>
    <t>Cash flows from operating activities</t>
  </si>
  <si>
    <t>3Q26E: assumption - rising with compute and factory capex (2Q26 +29 q/q).</t>
  </si>
  <si>
    <t>Stock-based compensation</t>
  </si>
  <si>
    <t>Inventory write-downs</t>
  </si>
  <si>
    <t>3Q26E: assumption - trailing average.</t>
  </si>
  <si>
    <t>FX transaction loss (gain), net</t>
  </si>
  <si>
    <t>Deferred income taxes</t>
  </si>
  <si>
    <t>3Q26E: assumption - near 1Q26/2Q26 trend.</t>
  </si>
  <si>
    <t>Non-cash interest and other</t>
  </si>
  <si>
    <t>3Q26E: Assumption.</t>
  </si>
  <si>
    <t>SpaceX unrealized (gain) loss</t>
  </si>
  <si>
    <t>Digital assets (gain) loss</t>
  </si>
  <si>
    <t>Change in accounts receivable</t>
  </si>
  <si>
    <t>Change in inventory</t>
  </si>
  <si>
    <t>3Q26E: assumption - ~22k-vehicle draw (deliveries &gt; production) partly offset by energy inventory build.</t>
  </si>
  <si>
    <t>Change in operating lease vehicles</t>
  </si>
  <si>
    <t>3Q26E: assumption - shrinking lease fleet.</t>
  </si>
  <si>
    <t>Change in prepaid and other assets</t>
  </si>
  <si>
    <t>Change in AP and accrued liabilities</t>
  </si>
  <si>
    <t>3Q26E: assumption - capex-related payables keep rising.</t>
  </si>
  <si>
    <t>Change in deferred revenue</t>
  </si>
  <si>
    <t>3Q26E: assumption - FSD/energy prepayments.</t>
  </si>
  <si>
    <t>Net cash from operating activities</t>
  </si>
  <si>
    <t>Cash flows from investing activities</t>
  </si>
  <si>
    <t>Capital expenditures</t>
  </si>
  <si>
    <t>3Q26E: assumption - FY26 guide &gt;$25bn with H2 &gt; H1 (1H26 $8.3bn); Visible Alpha 3Q est. $7.94bn.</t>
  </si>
  <si>
    <t>Purchase of SpaceX equity investment</t>
  </si>
  <si>
    <t>Purchases of short-term investments</t>
  </si>
  <si>
    <t>3Q26E: assumption - roll-over.</t>
  </si>
  <si>
    <t>Maturities of short-term investments</t>
  </si>
  <si>
    <t>Other investing</t>
  </si>
  <si>
    <t>Net cash from investing activities</t>
  </si>
  <si>
    <t>Cash flows from financing activities</t>
  </si>
  <si>
    <t>Proceeds from issuances of debt</t>
  </si>
  <si>
    <t>3Q26E: assumption - draw on new facilities (2Q26 call: capacity to borrow up to $30bn).</t>
  </si>
  <si>
    <t>Repayments of debt</t>
  </si>
  <si>
    <t>Debt issuance costs</t>
  </si>
  <si>
    <t>Option exercises and other issuances</t>
  </si>
  <si>
    <t>Principal payments on finance leases</t>
  </si>
  <si>
    <t>Shareholder settlement, net</t>
  </si>
  <si>
    <t>Distributions to NCI</t>
  </si>
  <si>
    <t>Net cash from financing</t>
  </si>
  <si>
    <t>FX effect on cash</t>
  </si>
  <si>
    <t>Net change in cash &amp; restricted cash</t>
  </si>
  <si>
    <t>Cash and restricted cash - beginning</t>
  </si>
  <si>
    <t>Cash and restricted cash - end</t>
  </si>
  <si>
    <t>Check: change in cash ties to BS = 0</t>
  </si>
  <si>
    <t>3Q26E (G): linkage identity (BS G9 is derived from CF G110) - cannot fail; not independent forecast validation. History columns tie to reported balances.</t>
  </si>
  <si>
    <t>Free cash flow (issuer definition: operating cash flow less capital expenditures)</t>
  </si>
  <si>
    <t>Free cash flow</t>
  </si>
  <si>
    <t>Operating cash flow - as reported</t>
  </si>
  <si>
    <t>Check: CFO build - reported = 0</t>
  </si>
  <si>
    <t>Geo</t>
  </si>
  <si>
    <t>Revenue by geography (sales location, $ millions)</t>
  </si>
  <si>
    <t>United States share of revenue</t>
  </si>
  <si>
    <t>3Q26E: assumption - 2Q26 46.8%; Europe/China strength shifts mix away from US.</t>
  </si>
  <si>
    <t>United States</t>
  </si>
  <si>
    <t>China share of revenue</t>
  </si>
  <si>
    <t>3Q26E: assumption - CPCA domestic retail rose in Aug-Sep (57.2k, 64.8k) vs 2Q26 share 16.6%.</t>
  </si>
  <si>
    <t>China</t>
  </si>
  <si>
    <t>Other international</t>
  </si>
  <si>
    <t>Estimate = total revenue less US and China.</t>
  </si>
  <si>
    <t>Other international share of revenue</t>
  </si>
  <si>
    <t>Total revenues by geography</t>
  </si>
  <si>
    <t>Check: Geo sum - total revenue = 0</t>
  </si>
  <si>
    <t>Share Count</t>
  </si>
  <si>
    <t>Weighted average shares (millions)</t>
  </si>
  <si>
    <t>Weighted basic shares, q/q increase</t>
  </si>
  <si>
    <t>3Q26E: assumption - ~3m per quarter (employee awards/options).</t>
  </si>
  <si>
    <t>Weighted average shares - basic</t>
  </si>
  <si>
    <t>Dilutive stock-based awards</t>
  </si>
  <si>
    <t>3Q26E: assumption - 1Q26 304 / 2Q26 303; unearned 2025 CEO award RSAs excluded until earned.</t>
  </si>
  <si>
    <t>B16:F16 and B17 not computed in this model (memo left 'n/a'); prior-period basic/diluted weighted shares exist on Inputs rows 337/338, so this is not a source gap. Memo only; no EPS effect.</t>
  </si>
  <si>
    <t>Weighted average shares - diluted</t>
  </si>
  <si>
    <t>Dilution (% of basic)</t>
  </si>
  <si>
    <t>B22:F22 and B23 not computed in this model (memo left 'n/a'); prior-period basic/diluted weighted shares exist on Inputs rows 337/338, so this is not a source gap. Memo only; no EPS effect.</t>
  </si>
  <si>
    <t>Shares outstanding, buybacks and issuance</t>
  </si>
  <si>
    <t>Shares outstanding, period end</t>
  </si>
  <si>
    <t>Includes restricted shares granted under the 2025 CEO Performance Award (excluded from weighted basic until earned). 2Q26 +194m (F25-E25) per 10-Q Q2-26 (S7): CEO exercised ~304.0m 2018-award options, net-settled ~17.5m -&gt; ~286.5m Restricted Shares issued (service vesting to 19-Jan-2028); 96m 2025 CEO Interim Award shares forfeited -&gt; ~190.5m net CEO; ~3.5m other issuance (equity-statement line 'equity incentive awards and acquisitions'; split not disclosed). Restricted awards are excluded from EPS shares until deemed earned (issuer 2Q26: basic 3,237 + dilutive 303), so period-end 3,949 is not the EPS basis. 3Q26E EPS shares unchanged: 3,240 basic + 304 dilutive = 3,544. 3Q26E G25 (= F25 + G9) is a simplifying convention that adds the weighted-basic q/q increment to the period-end count; not used in EPS.</t>
  </si>
  <si>
    <t>Change in shares outstanding</t>
  </si>
  <si>
    <t>Share repurchases</t>
  </si>
  <si>
    <t>None: no repurchase line in any 2025-2026 cash flow statement checked (10-K FY25, 10-Q Q1/Q2-26).</t>
  </si>
  <si>
    <t>Option exercise proceeds ($m)</t>
  </si>
  <si>
    <t>EPS chain behind the forecast</t>
  </si>
  <si>
    <t>NI used in non-GAAP EPS ($m)</t>
  </si>
  <si>
    <t>Diluted shares (millions)</t>
  </si>
  <si>
    <t>Non-GAAP diluted EPS (normalized)</t>
  </si>
  <si>
    <t>NI used in GAAP EPS ($m)</t>
  </si>
  <si>
    <t>GAAP diluted EPS</t>
  </si>
  <si>
    <t>Guidance (issuer guidance log)</t>
  </si>
  <si>
    <t>Guidance item</t>
  </si>
  <si>
    <t>Date given</t>
  </si>
  <si>
    <t>Source</t>
  </si>
  <si>
    <t>Metric</t>
  </si>
  <si>
    <t>Low</t>
  </si>
  <si>
    <t>High</t>
  </si>
  <si>
    <t>Midpoint</t>
  </si>
  <si>
    <t>Actual</t>
  </si>
  <si>
    <t>Beat / miss</t>
  </si>
  <si>
    <t>Capex 2025 (~$9bn)</t>
  </si>
  <si>
    <t>10-Q Q3-25</t>
  </si>
  <si>
    <t>FY2025</t>
  </si>
  <si>
    <t>Capital expenditures ($m)</t>
  </si>
  <si>
    <t>Below midpoint</t>
  </si>
  <si>
    <t>Capex 2026 (&gt; $20bn)</t>
  </si>
  <si>
    <t>10-K FY25</t>
  </si>
  <si>
    <t>FY2026</t>
  </si>
  <si>
    <t>Pending</t>
  </si>
  <si>
    <t>Pending / n/a</t>
  </si>
  <si>
    <t>Capex 2026 raised (&gt; $25bn)</t>
  </si>
  <si>
    <t>10-Q Q1-26</t>
  </si>
  <si>
    <t>Capex 2026 reaffirmed (&gt; $25bn)</t>
  </si>
  <si>
    <t>10-Q Q2-26 / call</t>
  </si>
  <si>
    <t>Energy GM, long term (low-mid 20s%)</t>
  </si>
  <si>
    <t>Q2-26 call</t>
  </si>
  <si>
    <t>Long term</t>
  </si>
  <si>
    <t>Energy gross margin</t>
  </si>
  <si>
    <t>Opex to keep growing (qualitative)</t>
  </si>
  <si>
    <t>2026+</t>
  </si>
  <si>
    <t>Cybercab/Semi/Megapack 3 start 2026</t>
  </si>
  <si>
    <t>Q4-25 Update</t>
  </si>
  <si>
    <t>Product timing</t>
  </si>
  <si>
    <t>Revenue / EPS / delivery guidance</t>
  </si>
  <si>
    <t>All 2025-26 updates</t>
  </si>
  <si>
    <t>3Q26</t>
  </si>
  <si>
    <t>Revenue, EPS</t>
  </si>
  <si>
    <t>Tesla provides no quantitative revenue, margin, delivery or EPS guidance; consensus is the only quantitative anchor for 3Q26.</t>
  </si>
  <si>
    <t>Energy margin "actual" shown is the latest reported quarter (2Q26, 20.4%, incl. $240m warranty true-up).</t>
  </si>
  <si>
    <t>Sources</t>
  </si>
  <si>
    <t>ID</t>
  </si>
  <si>
    <t>Published</t>
  </si>
  <si>
    <t>Publisher</t>
  </si>
  <si>
    <t>Feeds</t>
  </si>
  <si>
    <t>URL or file</t>
  </si>
  <si>
    <t>S1</t>
  </si>
  <si>
    <t>S&amp;P Capital IQ (user file)</t>
  </si>
  <si>
    <t>Inputs Block B; prior calibration (b, n); historical surprises</t>
  </si>
  <si>
    <t>TSLA_history.csv (SHA256 065424a4...)</t>
  </si>
  <si>
    <t>S2</t>
  </si>
  <si>
    <t>Inputs Block A; Cover consensus column (revenue, NI, EPS)</t>
  </si>
  <si>
    <t>TSLA_consensus.json (SHA256 7025a5be...)</t>
  </si>
  <si>
    <t>S3</t>
  </si>
  <si>
    <t>Tesla, Inc. (SEC 8-K Ex.99.1)</t>
  </si>
  <si>
    <t>Q2-26 Update: 3Q25A-2Q26A IS, BS, CF, ops KPIs, non-GAAP recon, FX impact</t>
  </si>
  <si>
    <t>https://www.sec.gov/Archives/edgar/data/1318605/000162828026049213/exhibit991.htm</t>
  </si>
  <si>
    <t>S4</t>
  </si>
  <si>
    <t>Q4/FY25 Update: 4Q24A, 1Q25A comparatives; FY24/FY25 recon; FX impact 4Q25</t>
  </si>
  <si>
    <t>https://www.sec.gov/Archives/edgar/data/1318605/000162828026003837/exhibit991.htm</t>
  </si>
  <si>
    <t>S5</t>
  </si>
  <si>
    <t>Q1-26 Update: 1Q25A cash flow detail; FX impact 1Q26</t>
  </si>
  <si>
    <t>https://www.sec.gov/Archives/edgar/data/1318605/000162828026026551/exhibit991.htm</t>
  </si>
  <si>
    <t>S6</t>
  </si>
  <si>
    <t>Q3-25 Update: 3Q24A recon and ops KPIs</t>
  </si>
  <si>
    <t>https://www.sec.gov/Archives/edgar/data/1318605/000162828025045861/exhibit991.htm</t>
  </si>
  <si>
    <t>S7</t>
  </si>
  <si>
    <t>Tesla, Inc. (SEC 10-Q)</t>
  </si>
  <si>
    <t>Revenue by source, segments, geography, restricted cash, BS detail, capex guidance, MD&amp;A</t>
  </si>
  <si>
    <t>https://www.sec.gov/Archives/edgar/data/1318605/000162828026049270/tsla-20260630.htm</t>
  </si>
  <si>
    <t>S8</t>
  </si>
  <si>
    <t>1Q26/1Q25 revenue by source, segments, geography, BS</t>
  </si>
  <si>
    <t>https://www.sec.gov/Archives/edgar/data/1318605/000162828026026673/tsla-20260331.htm</t>
  </si>
  <si>
    <t>S9</t>
  </si>
  <si>
    <t>3Q25/3Q24 IS, revenue by source, segments, geography, BS; 9M figures</t>
  </si>
  <si>
    <t>https://www.sec.gov/Archives/edgar/data/1318605/000162828025045968/tsla-20250930.htm</t>
  </si>
  <si>
    <t>S10</t>
  </si>
  <si>
    <t>Tesla, Inc. (SEC 10-K)</t>
  </si>
  <si>
    <t>FY25/FY24 IS (R5), CF (R9), revenue by source (R44), segments (R93), geography (R94); capex guidance</t>
  </si>
  <si>
    <t>https://www.sec.gov/Archives/edgar/data/1318605/000162828026003952/tsla-20251231.htm</t>
  </si>
  <si>
    <t>S11</t>
  </si>
  <si>
    <t>Tesla, Inc. (IR / SEC 8-K)</t>
  </si>
  <si>
    <t>3Q26 production, deliveries, lease %, storage GWh; report date</t>
  </si>
  <si>
    <t>https://ir.tesla.com/press-release/tesla-third-quarter-2026-production-deliveries-and-deployments</t>
  </si>
  <si>
    <t>S12</t>
  </si>
  <si>
    <t>TickerTrends (transcript)</t>
  </si>
  <si>
    <t>CFO remarks: margins, energy one-offs, opex, capex, FX loss</t>
  </si>
  <si>
    <t>https://tickertrends.io/transcripts/TSLA/Q2-earnings-transcript-2026</t>
  </si>
  <si>
    <t>S13</t>
  </si>
  <si>
    <t>Tesla, Inc. (Q4-24 Update)</t>
  </si>
  <si>
    <t>FY24 production, deliveries, leases, storage</t>
  </si>
  <si>
    <t>https://ir.tesla.com/_flysystem/s3/sec/000162828025002993/tsla-20250129-gen.pdf</t>
  </si>
  <si>
    <t>S14</t>
  </si>
  <si>
    <t>Zacks (Yahoo Finance)</t>
  </si>
  <si>
    <t>Other consensus (0.44 / $27.8bn), Most Accurate Estimate 0.38</t>
  </si>
  <si>
    <t>https://finance.yahoo.com/markets/stocks/articles/tesla-gears-report-q3-earnings-125800623.html</t>
  </si>
  <si>
    <t>S15</t>
  </si>
  <si>
    <t>S&amp;P Global / Visible Alpha</t>
  </si>
  <si>
    <t>Other consensus (0.44 / $28.04bn); capex $7.94bn, FCF -$4.09bn</t>
  </si>
  <si>
    <t>https://www.spglobal.com/market-intelligence/en/news-insights/research/2026/10/tesla-s-revenue-earnings-expected-to-edge-lower-despite-delivery-beat</t>
  </si>
  <si>
    <t>S16</t>
  </si>
  <si>
    <t>Tesla IR</t>
  </si>
  <si>
    <t>Delivery consensus 461,974</t>
  </si>
  <si>
    <t>https://ir.tesla.com/press-release/delivery-consensus-third-quarter-2026</t>
  </si>
  <si>
    <t>S17</t>
  </si>
  <si>
    <t>GuruFocus (Yahoo Finance)</t>
  </si>
  <si>
    <t>Storage miss vs consensus (HSBC)</t>
  </si>
  <si>
    <t>https://finance.yahoo.com/markets/stocks/articles/tesla-beat-q3-delivery-estimates-124854896.html</t>
  </si>
  <si>
    <t>S18</t>
  </si>
  <si>
    <t>TeslaNorth / Sina</t>
  </si>
  <si>
    <t>China Model 3/Y cash cuts in September (ASP assumption)</t>
  </si>
  <si>
    <t>https://teslanorth.com/2026/09/07/tesla-china-model-y-10000-autumn-push/</t>
  </si>
  <si>
    <t>S19</t>
  </si>
  <si>
    <t>CnEVPost / EVwire (CPCA)</t>
  </si>
  <si>
    <t>China wholesale/retail Q3 (geo mix assumption)</t>
  </si>
  <si>
    <t>https://evwire.com/p/china-tesla-model-y-best-selling-vehicle-any-fuel-type-september-2026</t>
  </si>
  <si>
    <t>S20</t>
  </si>
  <si>
    <t>Reuters</t>
  </si>
  <si>
    <t>Europe registrations (geo mix)</t>
  </si>
  <si>
    <t>https://www.reuters.com/business/autos-transportation/tesla-september-registrations-rise-across-europe-extending-recovery-2026-10-01/</t>
  </si>
  <si>
    <t>S21</t>
  </si>
  <si>
    <t>StatMuse Money</t>
  </si>
  <si>
    <t>Market cap $1.40tn (size bucket)</t>
  </si>
  <si>
    <t>https://www.statmuse.com/money/ask/tesla-market-cap-2026</t>
  </si>
  <si>
    <t>S22</t>
  </si>
  <si>
    <t>S&amp;P Dow Jones Indices</t>
  </si>
  <si>
    <t>S&amp;P 500 membership</t>
  </si>
  <si>
    <t>https://www.spglobal.com/spdji/en/indices/equity/sp-500/ (TSLA added 21-Dec-2020 press release)</t>
  </si>
  <si>
    <t>S23</t>
  </si>
  <si>
    <t>Market data (exa/Yahoo/fx.initask)</t>
  </si>
  <si>
    <t>USD/CNY quarter-end rates (FX loss estimate)</t>
  </si>
  <si>
    <t>https://finance.yahoo.com/quote/USDCNY=X/history/</t>
  </si>
  <si>
    <t>S24</t>
  </si>
  <si>
    <t>Bitcoin 30-Jun / 30-Sep closes (digital-asset MTM, GAAP only)</t>
  </si>
  <si>
    <t>https://www.statmuse.com/money/ask/bitcoin-q3-closing-price</t>
  </si>
  <si>
    <t>S25</t>
  </si>
  <si>
    <t>Bullstory / exa (SPCX)</t>
  </si>
  <si>
    <t>SPCX 30-Jun / 30-Sep closes (SpaceX MTM, GAAP only)</t>
  </si>
  <si>
    <t>https://bullstory.io/en/stocks/spcx/history/2026-09-30</t>
  </si>
  <si>
    <t>S26</t>
  </si>
  <si>
    <t>Banque de France</t>
  </si>
  <si>
    <t>EUR/USD monthly averages (FX impact assumption)</t>
  </si>
  <si>
    <t>https://www.banque-france.fr/en/statistics/rates-and-prices/exchange-rates-average-month-2026-09</t>
  </si>
  <si>
    <t>S27</t>
  </si>
  <si>
    <t>Yahoo Finance</t>
  </si>
  <si>
    <t>SpaceX stake background (conversion of xAI investment)</t>
  </si>
  <si>
    <t>https://finance.yahoo.com/markets/stocks/articles/spcx-gains-hours-ahead-upcoming-001009075.html</t>
  </si>
  <si>
    <t>Tabs omitted</t>
  </si>
  <si>
    <t>None omitted: two reportable segments (10-Q Q2-26 Note 14) -&gt; two segment tabs; three geographies disclosed -&gt; Geo tab.</t>
  </si>
  <si>
    <t>Inputs tab holds raw CapIQ data, comparatives (3Q24A-2Q25A, FY24A) and calibration; placed last.</t>
  </si>
  <si>
    <t>Retrieval: all web sources retrieved 2026-10-19 via web_fetch/web search; every cited publication predates the 2026-10-18T21:34Z cutoff. No 3Q26 financial results were seen. Limitation (unresolved, documented): retrieval post-dates the cutoff and no pre-cutoff capture timestamps exist for the quarter-end market closes 30-Jun-2025 to 30-Sep-2026 (Inputs!B115:B124); values are retained unchanged. USD/CNY closes enter normalized EPS through the FX loss: B119:B120 directly via 'Income Statement'!G222 (~$0.054/sh in total; ~$0.006/sh per 0.01 CNY move in B120), and B117:B119 through the FX-sensitivity calibration ('Income Statement'!E225:F225). Bitcoin and SPCX closes (B121:B124) affect GAAP EPS only (excluded from non-GAAP).</t>
  </si>
  <si>
    <t>Inputs (raw source data, comparatives and calibration)</t>
  </si>
  <si>
    <t>3Q24A</t>
  </si>
  <si>
    <t>4Q24A</t>
  </si>
  <si>
    <t>1Q25A</t>
  </si>
  <si>
    <t>2Q25A</t>
  </si>
  <si>
    <t>FY24A</t>
  </si>
  <si>
    <t>Notes (period header in rows 4-6 applies to Block G only)</t>
  </si>
  <si>
    <t>Block A - S&amp;P Capital IQ consensus snapshot (TSLA_consensus.json, captured 2026-10-18, frozen scoring baseline)</t>
  </si>
  <si>
    <t>Field</t>
  </si>
  <si>
    <t>Raw value (as exported, text)</t>
  </si>
  <si>
    <t>Numeric parse (used)</t>
  </si>
  <si>
    <t>source</t>
  </si>
  <si>
    <t>S&amp;P Capital IQ</t>
  </si>
  <si>
    <t>as_of_date</t>
  </si>
  <si>
    <t>2026-10-18</t>
  </si>
  <si>
    <t>analyst_count</t>
  </si>
  <si>
    <t>25</t>
  </si>
  <si>
    <t>consensus_eps</t>
  </si>
  <si>
    <t>0.45</t>
  </si>
  <si>
    <t>consensus_revenue_m</t>
  </si>
  <si>
    <t>28111.09</t>
  </si>
  <si>
    <t>eps_basis</t>
  </si>
  <si>
    <t>Normalized diluted EPS per ordinary/common share, USD; verify issuer adjustments and share identity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</si>
  <si>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</si>
  <si>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</si>
  <si>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</si>
  <si>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</si>
  <si>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</si>
  <si>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</si>
  <si>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summary_row (complete, 75 fields; blank source values preserved as blank)</t>
  </si>
  <si>
    <t>ticker</t>
  </si>
  <si>
    <t>TSLA</t>
  </si>
  <si>
    <t>company_name</t>
  </si>
  <si>
    <t>exchange_ticker</t>
  </si>
  <si>
    <t>NasdaqGS:TSLA</t>
  </si>
  <si>
    <t>capiq_company_id</t>
  </si>
  <si>
    <t>27444752</t>
  </si>
  <si>
    <t>currency_basis</t>
  </si>
  <si>
    <t>fiscal_year_end</t>
  </si>
  <si>
    <t>Dec-31</t>
  </si>
  <si>
    <t>fiscal_quarter</t>
  </si>
  <si>
    <t>FQ3 2026 - Sep 2026</t>
  </si>
  <si>
    <t>quarter_end_date</t>
  </si>
  <si>
    <t>2026-09-30</t>
  </si>
  <si>
    <t>expected_report_date</t>
  </si>
  <si>
    <t>2026-10-21</t>
  </si>
  <si>
    <t>normalized diluted and GAAP diluted, as labelled</t>
  </si>
  <si>
    <t>eps_normalized_estimates</t>
  </si>
  <si>
    <t>eps_normalized_contributors</t>
  </si>
  <si>
    <t>27</t>
  </si>
  <si>
    <t>detail_tab_total_contributors</t>
  </si>
  <si>
    <t>47</t>
  </si>
  <si>
    <t>eps_normalized_mean</t>
  </si>
  <si>
    <t>eps_normalized_median</t>
  </si>
  <si>
    <t>eps_normalized_high</t>
  </si>
  <si>
    <t>0.7</t>
  </si>
  <si>
    <t>eps_normalized_low</t>
  </si>
  <si>
    <t>0.3</t>
  </si>
  <si>
    <t>eps_normalized_std_dev</t>
  </si>
  <si>
    <t>0.09</t>
  </si>
  <si>
    <t>eps_normalized_n_est</t>
  </si>
  <si>
    <t>eps_normalized_guidance</t>
  </si>
  <si>
    <t>eps_normalized_guidance_low</t>
  </si>
  <si>
    <t>eps_normalized_guidance_high</t>
  </si>
  <si>
    <t>eps_gaap_mean</t>
  </si>
  <si>
    <t>0.26</t>
  </si>
  <si>
    <t>eps_gaap_median</t>
  </si>
  <si>
    <t>0.21</t>
  </si>
  <si>
    <t>eps_gaap_high</t>
  </si>
  <si>
    <t>0.63</t>
  </si>
  <si>
    <t>eps_gaap_low</t>
  </si>
  <si>
    <t>eps_gaap_std_dev</t>
  </si>
  <si>
    <t>0.15</t>
  </si>
  <si>
    <t>eps_gaap_n_est</t>
  </si>
  <si>
    <t>19</t>
  </si>
  <si>
    <t>eps_gaap_guidance</t>
  </si>
  <si>
    <t>eps_gaap_guidance_low</t>
  </si>
  <si>
    <t>eps_gaap_guidance_high</t>
  </si>
  <si>
    <t>revenue_mean</t>
  </si>
  <si>
    <t>revenue_median</t>
  </si>
  <si>
    <t>28201.49</t>
  </si>
  <si>
    <t>revenue_high</t>
  </si>
  <si>
    <t>30584.55</t>
  </si>
  <si>
    <t>revenue_low</t>
  </si>
  <si>
    <t>24286.5</t>
  </si>
  <si>
    <t>revenue_std_dev</t>
  </si>
  <si>
    <t>1200.08</t>
  </si>
  <si>
    <t>revenue_n_est</t>
  </si>
  <si>
    <t>28</t>
  </si>
  <si>
    <t>revenue_guidance</t>
  </si>
  <si>
    <t>revenue_guidance_low</t>
  </si>
  <si>
    <t>revenue_guidance_high</t>
  </si>
  <si>
    <t>ebitda</t>
  </si>
  <si>
    <t>3790.55</t>
  </si>
  <si>
    <t>ebit</t>
  </si>
  <si>
    <t>916.45</t>
  </si>
  <si>
    <t>ebt_excl_excep</t>
  </si>
  <si>
    <t>2123.88</t>
  </si>
  <si>
    <t>ebt_gaap</t>
  </si>
  <si>
    <t>1163.66</t>
  </si>
  <si>
    <t>net_income_excl_excep</t>
  </si>
  <si>
    <t>1600.79</t>
  </si>
  <si>
    <t>net_income_gaap</t>
  </si>
  <si>
    <t>922.77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</si>
  <si>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</si>
  <si>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</si>
  <si>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</si>
  <si>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</si>
  <si>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</si>
  <si>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</si>
  <si>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</si>
  <si>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-85.33</t>
  </si>
  <si>
    <t>net_debt</t>
  </si>
  <si>
    <t>-29990.33</t>
  </si>
  <si>
    <t>nav</t>
  </si>
  <si>
    <t>roe_pct</t>
  </si>
  <si>
    <t>target_price_mean</t>
  </si>
  <si>
    <t>397.83</t>
  </si>
  <si>
    <t>target_price_median</t>
  </si>
  <si>
    <t>412.5</t>
  </si>
  <si>
    <t>target_price_high</t>
  </si>
  <si>
    <t>600.0</t>
  </si>
  <si>
    <t>target_price_low</t>
  </si>
  <si>
    <t>128.11</t>
  </si>
  <si>
    <t>target_price_std_dev</t>
  </si>
  <si>
    <t>102.61</t>
  </si>
  <si>
    <t>target_price_n_est</t>
  </si>
  <si>
    <t>38</t>
  </si>
  <si>
    <t>recommendation</t>
  </si>
  <si>
    <t>Outperform</t>
  </si>
  <si>
    <t>recommendation_score</t>
  </si>
  <si>
    <t>2.36</t>
  </si>
  <si>
    <t>last_close_price</t>
  </si>
  <si>
    <t>354.72</t>
  </si>
  <si>
    <t>wk52_high_low</t>
  </si>
  <si>
    <t>498.83/297.38</t>
  </si>
  <si>
    <t>estimates_captured_at</t>
  </si>
  <si>
    <t>notes</t>
  </si>
  <si>
    <t>metric_units / target manifest</t>
  </si>
  <si>
    <t>{"eps_currency": "USD", "eps_share_unit": "diluted ordinary/common share", "revenue_currency": "USD", "financial_amount_scale": "millions"}</t>
  </si>
  <si>
    <t>Block B - S&amp;P Capital IQ six-quarter history (TSLA_history.csv, all rows and columns as exported)</t>
  </si>
  <si>
    <t>Column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</si>
  <si>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</si>
  <si>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</si>
  <si>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</si>
  <si>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</si>
  <si>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</si>
  <si>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</si>
  <si>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</si>
  <si>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Norm. surprise ($/sh)</t>
  </si>
  <si>
    <t>Strict beat?</t>
  </si>
  <si>
    <t>Block C - Size-aware starting probability (forecasting playbook v2)</t>
  </si>
  <si>
    <t>Market cap, 16-Oct-2026 ($m)</t>
  </si>
  <si>
    <t>$354.72 x 3,949.5m shares; CapIQ export left it blank. Basis: period-end issued shares incl. unvested restricted awards (not the weighted EPS share count); not all of the 2Q26 +194m net issuance is restricted. Large bucket (&gt;$10bn) unaffected on a weighted or issued share basis.</t>
  </si>
  <si>
    <t>Size bucket</t>
  </si>
  <si>
    <t>Large (mega-cap &gt;$10bn)</t>
  </si>
  <si>
    <t>S&amp;P 500 member</t>
  </si>
  <si>
    <t>Yes (added 21-Dec-2020)</t>
  </si>
  <si>
    <t>Cohort prior (large or S&amp;P 500)</t>
  </si>
  <si>
    <t>Cohort prior from the frozen forecasting playbook v2 (0.78 for large OR S&amp;P 500); a rounded hypothesis, not an independently sourced probability.</t>
  </si>
  <si>
    <t>Pseudo-observations</t>
  </si>
  <si>
    <t>Valid normalized EPS pairs, n</t>
  </si>
  <si>
    <t>Strict beats, b</t>
  </si>
  <si>
    <t>Starting p = (8 x prior + b)/(8 + n)</t>
  </si>
  <si>
    <t>Mean hist. normalized surprise ($/sh)</t>
  </si>
  <si>
    <t>Std. dev. hist. surprise ($/sh)</t>
  </si>
  <si>
    <t>Evidence update (final - start)</t>
  </si>
  <si>
    <t>Final P(beat consensus EPS)</t>
  </si>
  <si>
    <t>Model EPS $0.38 vs $0.45 consensus (~0.66 sd of historical surprises below, sd $0.108 per B109; ~0.79 sd of consensus dispersion, sd $0.09 per C37); start prob. 58.9% shaded to 30%.</t>
  </si>
  <si>
    <t>Forecast confidence</t>
  </si>
  <si>
    <t>Block D - Market data used for 3Q26E mark-to-market / FX items (all published before cutoff)</t>
  </si>
  <si>
    <t>USD/CNY close 30-Jun-2025</t>
  </si>
  <si>
    <t>USD/CNY close 30-Sep-2025</t>
  </si>
  <si>
    <t>USD/CNY close 31-Dec-2025</t>
  </si>
  <si>
    <t>USD/CNY close 31-Mar-2026</t>
  </si>
  <si>
    <t>USD/CNY close 30-Jun-2026</t>
  </si>
  <si>
    <t>USD/CNY close 30-Sep-2026</t>
  </si>
  <si>
    <t>Bitcoin close 30-Jun-2026 ($)</t>
  </si>
  <si>
    <t>Bitcoin close 30-Sep-2026 ($)</t>
  </si>
  <si>
    <t>SPCX close 30-Jun-2026 ($)</t>
  </si>
  <si>
    <t>SPCX close 30-Sep-2026 ($)</t>
  </si>
  <si>
    <t>SpaceX investment cost ($ millions)</t>
  </si>
  <si>
    <t>Block E - Other consensus references at cutoff (recorded separately; NOT the scoring baseline)</t>
  </si>
  <si>
    <t>EPS</t>
  </si>
  <si>
    <t>Revenue ($m)</t>
  </si>
  <si>
    <t>Date</t>
  </si>
  <si>
    <t>Zacks consensus</t>
  </si>
  <si>
    <t>Zacks Most Accurate Estimate</t>
  </si>
  <si>
    <t>Visible Alpha consensus</t>
  </si>
  <si>
    <t>Tesla company-compiled delivery consensus (units)</t>
  </si>
  <si>
    <t>Tesla delivery consensus 3Q26 (units)</t>
  </si>
  <si>
    <t>Storage consensus 3Q26 (GWh)</t>
  </si>
  <si>
    <t>Block F - Implied fourth-quarter figures (10-K full year less 10-Q nine months)</t>
  </si>
  <si>
    <t>Line</t>
  </si>
  <si>
    <t>Full year (10-K)</t>
  </si>
  <si>
    <t>Nine months (10-Q)</t>
  </si>
  <si>
    <t>Implied 4Q</t>
  </si>
  <si>
    <t>Energy sales 2025</t>
  </si>
  <si>
    <t>Energy leasing 2025</t>
  </si>
  <si>
    <t>Revenue - United States 2025</t>
  </si>
  <si>
    <t>Revenue - China 2025</t>
  </si>
  <si>
    <t>Revenue - Other international 2025</t>
  </si>
  <si>
    <t>Auto segment revenues 2025</t>
  </si>
  <si>
    <t>Auto segment cost of revenues 2025</t>
  </si>
  <si>
    <t>Energy sales 2024</t>
  </si>
  <si>
    <t>Energy leasing 2024</t>
  </si>
  <si>
    <t>Revenue - United States 2024</t>
  </si>
  <si>
    <t>Revenue - China 2024</t>
  </si>
  <si>
    <t>Revenue - Other international 2024</t>
  </si>
  <si>
    <t>Auto segment revenues 2024</t>
  </si>
  <si>
    <t>Auto segment cost of revenues 2024</t>
  </si>
  <si>
    <t>Block G - Comparative periods for Y/Y, Q/Q and FY roll-ups (mirrors model rows; formulas where derived)</t>
  </si>
  <si>
    <t>Model tab</t>
  </si>
  <si>
    <t>RevSum</t>
  </si>
  <si>
    <t>Auto</t>
  </si>
  <si>
    <t>Energy</t>
  </si>
  <si>
    <t>IS</t>
  </si>
  <si>
    <t>CF</t>
  </si>
  <si>
    <t>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</si>
</sst>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1729" formatCode="0.0%_);(0.0%);–_)"/>
    <numFmt numFmtId="11730" formatCode="$0.00_);($0.00)"/>
    <numFmt numFmtId="11731" formatCode="#,##0.0_);(#,##0.0);–_)"/>
    <numFmt numFmtId="11734" formatCode="yyyy-mm-dd"/>
    <numFmt numFmtId="11735" formatCode="0.0%"/>
    <numFmt numFmtId="11737" formatCode="0.000"/>
    <numFmt numFmtId="11753" formatCode="#,##0_);(#,##0);–_)"/>
    <numFmt numFmtId="11763" formatCode="0.0000"/>
    <numFmt numFmtId="11774" formatCode="#,##0.00_);(#,##0.00);–_)"/>
  </numFmts>
  <fonts count="13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 val="0"/>
      <i/>
      <sz val="10"/>
      <color rgb="FF000000"/>
      <name val="Arial"/>
    </font>
    <font>
      <b val="0"/>
      <i/>
      <sz val="10"/>
      <color rgb="FF006100"/>
      <name val="Arial"/>
    </font>
    <font>
      <b val="0"/>
      <i val="0"/>
      <sz val="10"/>
      <color rgb="FF006100"/>
      <name val="Arial"/>
    </font>
    <font>
      <b/>
      <i val="0"/>
      <sz val="12"/>
      <color rgb="FF000000"/>
      <name val="Arial"/>
    </font>
    <font>
      <b/>
      <i val="0"/>
      <sz val="10"/>
      <color rgb="FF006100"/>
      <name val="Arial"/>
    </font>
    <font>
      <b val="0"/>
      <i val="0"/>
      <sz val="10"/>
      <color rgb="FF0000FF"/>
      <name val="Arial"/>
    </font>
    <font>
      <b val="0"/>
      <i/>
      <sz val="10"/>
      <color rgb="FF0000FF"/>
      <name val="Arial"/>
    </font>
    <font>
      <b/>
      <i val="0"/>
      <sz val="10"/>
      <color rgb="FF0000FF"/>
      <name val="Arial"/>
    </font>
    <font>
      <b/>
      <i/>
      <sz val="10"/>
      <color rgb="FF000000"/>
      <name val="Arial"/>
    </font>
    <font>
      <b/>
      <i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10">
    <border>
      <left/>
      <right/>
      <top/>
      <bottom/>
    </border>
    <border>
      <left/>
      <right/>
      <top/>
      <bottom/>
      <diagonal/>
    </border>
    <border>
      <top style="thin">
        <color rgb="FF808080"/>
      </top>
      <bottom style="thin">
        <color rgb="FF808080"/>
      </bottom>
    </border>
    <border>
      <top style="thin">
        <color rgb="FF808080"/>
      </top>
    </border>
    <border>
      <bottom style="thin">
        <color rgb="FF808080"/>
      </bottom>
    </border>
    <border>
      <top style="thin">
        <color rgb="FF000000"/>
      </top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1"/>
  </cellStyleXfs>
  <cellXfs count="101">
    <xf numFmtId="0" fontId="0" fillId="0" borderId="1" xfId="0"/>
    <xf numFmtId="0" fontId="6" fillId="0" borderId="1" xfId="0">
      <alignment vertical="center"/>
    </xf>
    <xf numFmtId="0" fontId="1" fillId="0" borderId="1" xfId="0"/>
    <xf numFmtId="0" fontId="2" fillId="0" borderId="1" xfId="0"/>
    <xf numFmtId="0" fontId="3" fillId="0" borderId="1" xfId="0"/>
    <xf numFmtId="0" fontId="2" fillId="2" borderId="6" xfId="0"/>
    <xf numFmtId="0" fontId="2" fillId="2" borderId="6" xfId="0">
      <alignment horizontal="right" vertical="bottom"/>
    </xf>
    <xf numFmtId="0" fontId="1" fillId="2" borderId="1" xfId="0"/>
    <xf numFmtId="11734" fontId="1" fillId="2" borderId="1" xfId="0">
      <alignment horizontal="right" vertical="bottom"/>
    </xf>
    <xf numFmtId="0" fontId="1" fillId="2" borderId="7" xfId="0"/>
    <xf numFmtId="1" fontId="1" fillId="2" borderId="7" xfId="0">
      <alignment horizontal="right" vertical="bottom"/>
    </xf>
    <xf numFmtId="0" fontId="2" fillId="2" borderId="8" xfId="0">
      <alignment vertical="bottom" wrapText="1"/>
    </xf>
    <xf numFmtId="0" fontId="2" fillId="2" borderId="8" xfId="0">
      <alignment horizontal="right" vertical="bottom" wrapText="1"/>
    </xf>
    <xf numFmtId="11731" fontId="5" fillId="0" borderId="1" xfId="0">
      <alignment horizontal="right" vertical="bottom"/>
    </xf>
    <xf numFmtId="11731" fontId="1" fillId="0" borderId="1" xfId="0">
      <alignment horizontal="right" vertical="bottom"/>
    </xf>
    <xf numFmtId="11729" fontId="3" fillId="0" borderId="1" xfId="0">
      <alignment horizontal="right" vertical="bottom"/>
    </xf>
    <xf numFmtId="0" fontId="1" fillId="0" borderId="1" xfId="0">
      <alignment horizontal="right" vertical="bottom"/>
    </xf>
    <xf numFmtId="11730" fontId="5" fillId="0" borderId="1" xfId="0">
      <alignment horizontal="right" vertical="bottom"/>
    </xf>
    <xf numFmtId="11730" fontId="1" fillId="0" borderId="1" xfId="0">
      <alignment horizontal="right" vertical="bottom"/>
    </xf>
    <xf numFmtId="0" fontId="2" fillId="0" borderId="9" xfId="0"/>
    <xf numFmtId="0" fontId="7" fillId="0" borderId="9" xfId="0">
      <alignment horizontal="right" vertical="bottom"/>
    </xf>
    <xf numFmtId="11735" fontId="4" fillId="0" borderId="1" xfId="0">
      <alignment horizontal="right" vertical="bottom"/>
    </xf>
    <xf numFmtId="0" fontId="5" fillId="0" borderId="1" xfId="0">
      <alignment horizontal="right" vertical="bottom"/>
    </xf>
    <xf numFmtId="0" fontId="3" fillId="0" borderId="1" xfId="0">
      <alignment horizontal="left" vertical="bottom" indent="1"/>
    </xf>
    <xf numFmtId="11731" fontId="4" fillId="0" borderId="1" xfId="0">
      <alignment horizontal="right" vertical="bottom"/>
    </xf>
    <xf numFmtId="11730" fontId="4" fillId="0" borderId="1" xfId="0">
      <alignment horizontal="right" vertical="bottom"/>
    </xf>
    <xf numFmtId="11737" fontId="4" fillId="0" borderId="1" xfId="0">
      <alignment horizontal="right" vertical="bottom"/>
    </xf>
    <xf numFmtId="0" fontId="6" fillId="0" borderId="1" xfId="0"/>
    <xf numFmtId="0" fontId="1" fillId="3" borderId="1" xfId="0"/>
    <xf numFmtId="0" fontId="1" fillId="0" borderId="1" xfId="0">
      <alignment horizontal="left" vertical="bottom" indent="1"/>
    </xf>
    <xf numFmtId="11731" fontId="5" fillId="3" borderId="1" xfId="0">
      <alignment horizontal="right" vertical="bottom"/>
    </xf>
    <xf numFmtId="0" fontId="3" fillId="0" borderId="1" xfId="0">
      <alignment horizontal="left" vertical="bottom" indent="2"/>
    </xf>
    <xf numFmtId="11729" fontId="4" fillId="0" borderId="1" xfId="0">
      <alignment horizontal="right" vertical="bottom"/>
    </xf>
    <xf numFmtId="11729" fontId="3" fillId="3" borderId="1" xfId="0">
      <alignment horizontal="right" vertical="bottom"/>
    </xf>
    <xf numFmtId="11731" fontId="2" fillId="0" borderId="9" xfId="0">
      <alignment horizontal="right" vertical="bottom"/>
    </xf>
    <xf numFmtId="11731" fontId="2" fillId="3" borderId="9" xfId="0">
      <alignment horizontal="right" vertical="bottom"/>
    </xf>
    <xf numFmtId="11731" fontId="3" fillId="0" borderId="1" xfId="0">
      <alignment horizontal="right" vertical="bottom"/>
    </xf>
    <xf numFmtId="11731" fontId="3" fillId="3" borderId="1" xfId="0">
      <alignment horizontal="right" vertical="bottom"/>
    </xf>
    <xf numFmtId="11753" fontId="3" fillId="0" borderId="1" xfId="0">
      <alignment horizontal="right" vertical="bottom"/>
    </xf>
    <xf numFmtId="11753" fontId="3" fillId="3" borderId="1" xfId="0">
      <alignment horizontal="right" vertical="bottom"/>
    </xf>
    <xf numFmtId="11731" fontId="8" fillId="0" borderId="1" xfId="0">
      <alignment horizontal="right" vertical="bottom"/>
    </xf>
    <xf numFmtId="11731" fontId="8" fillId="3" borderId="1" xfId="0">
      <alignment horizontal="right" vertical="bottom"/>
    </xf>
    <xf numFmtId="11729" fontId="9" fillId="0" borderId="1" xfId="0">
      <alignment horizontal="right" vertical="bottom"/>
    </xf>
    <xf numFmtId="11729" fontId="9" fillId="3" borderId="1" xfId="0">
      <alignment horizontal="right" vertical="bottom"/>
    </xf>
    <xf numFmtId="11731" fontId="4" fillId="3" borderId="1" xfId="0">
      <alignment horizontal="right" vertical="bottom"/>
    </xf>
    <xf numFmtId="11753" fontId="8" fillId="0" borderId="1" xfId="0">
      <alignment horizontal="right" vertical="bottom"/>
    </xf>
    <xf numFmtId="11753" fontId="5" fillId="0" borderId="1" xfId="0">
      <alignment horizontal="right" vertical="bottom"/>
    </xf>
    <xf numFmtId="11753" fontId="8" fillId="3" borderId="1" xfId="0">
      <alignment horizontal="right" vertical="bottom"/>
    </xf>
    <xf numFmtId="11753" fontId="4" fillId="0" borderId="1" xfId="0">
      <alignment horizontal="right" vertical="bottom"/>
    </xf>
    <xf numFmtId="11753" fontId="2" fillId="0" borderId="9" xfId="0">
      <alignment horizontal="right" vertical="bottom"/>
    </xf>
    <xf numFmtId="11753" fontId="2" fillId="3" borderId="9" xfId="0">
      <alignment horizontal="right" vertical="bottom"/>
    </xf>
    <xf numFmtId="11753" fontId="1" fillId="0" borderId="1" xfId="0">
      <alignment horizontal="right" vertical="bottom"/>
    </xf>
    <xf numFmtId="11753" fontId="1" fillId="3" borderId="1" xfId="0">
      <alignment horizontal="right" vertical="bottom"/>
    </xf>
    <xf numFmtId="11753" fontId="10" fillId="0" borderId="9" xfId="0">
      <alignment horizontal="right" vertical="bottom"/>
    </xf>
    <xf numFmtId="11774" fontId="5" fillId="0" borderId="1" xfId="0">
      <alignment horizontal="right" vertical="bottom"/>
    </xf>
    <xf numFmtId="11774" fontId="1" fillId="0" borderId="1" xfId="0">
      <alignment horizontal="right" vertical="bottom"/>
    </xf>
    <xf numFmtId="11774" fontId="1" fillId="3" borderId="1" xfId="0">
      <alignment horizontal="right" vertical="bottom"/>
    </xf>
    <xf numFmtId="11774" fontId="4" fillId="0" borderId="1" xfId="0">
      <alignment horizontal="right" vertical="bottom"/>
    </xf>
    <xf numFmtId="11774" fontId="3" fillId="0" borderId="1" xfId="0">
      <alignment horizontal="right" vertical="bottom"/>
    </xf>
    <xf numFmtId="11774" fontId="3" fillId="3" borderId="1" xfId="0">
      <alignment horizontal="right" vertical="bottom"/>
    </xf>
    <xf numFmtId="11774" fontId="8" fillId="3" borderId="1" xfId="0">
      <alignment horizontal="right" vertical="bottom"/>
    </xf>
    <xf numFmtId="11774" fontId="10" fillId="0" borderId="9" xfId="0">
      <alignment horizontal="right" vertical="bottom"/>
    </xf>
    <xf numFmtId="11774" fontId="2" fillId="0" borderId="9" xfId="0">
      <alignment horizontal="right" vertical="bottom"/>
    </xf>
    <xf numFmtId="11774" fontId="2" fillId="3" borderId="9" xfId="0">
      <alignment horizontal="right" vertical="bottom"/>
    </xf>
    <xf numFmtId="11774" fontId="8" fillId="0" borderId="1" xfId="0">
      <alignment horizontal="right" vertical="bottom"/>
    </xf>
    <xf numFmtId="11731" fontId="1" fillId="3" borderId="1" xfId="0">
      <alignment horizontal="right" vertical="bottom"/>
    </xf>
    <xf numFmtId="11729" fontId="4" fillId="3" borderId="1" xfId="0">
      <alignment horizontal="right" vertical="bottom"/>
    </xf>
    <xf numFmtId="0" fontId="3" fillId="0" borderId="1" xfId="0">
      <alignment horizontal="left" vertical="bottom" indent="3"/>
    </xf>
    <xf numFmtId="0" fontId="1" fillId="0" borderId="1" xfId="0">
      <alignment horizontal="left" vertical="bottom" indent="2"/>
    </xf>
    <xf numFmtId="11730" fontId="1" fillId="3" borderId="1" xfId="0">
      <alignment horizontal="right" vertical="bottom"/>
    </xf>
    <xf numFmtId="11730" fontId="3" fillId="3" borderId="1" xfId="0">
      <alignment horizontal="right" vertical="bottom"/>
    </xf>
    <xf numFmtId="11730" fontId="3" fillId="0" borderId="1" xfId="0">
      <alignment horizontal="right" vertical="bottom"/>
    </xf>
    <xf numFmtId="11730" fontId="2" fillId="0" borderId="9" xfId="0">
      <alignment horizontal="right" vertical="bottom"/>
    </xf>
    <xf numFmtId="11730" fontId="2" fillId="3" borderId="9" xfId="0">
      <alignment horizontal="right" vertical="bottom"/>
    </xf>
    <xf numFmtId="11730" fontId="8" fillId="0" borderId="1" xfId="0">
      <alignment horizontal="right" vertical="bottom"/>
    </xf>
    <xf numFmtId="11763" fontId="5" fillId="0" borderId="1" xfId="0">
      <alignment horizontal="right" vertical="bottom"/>
    </xf>
    <xf numFmtId="11763" fontId="1" fillId="0" borderId="1" xfId="0">
      <alignment horizontal="right" vertical="bottom"/>
    </xf>
    <xf numFmtId="11763" fontId="5" fillId="3" borderId="1" xfId="0">
      <alignment horizontal="right" vertical="bottom"/>
    </xf>
    <xf numFmtId="11763" fontId="3" fillId="0" borderId="1" xfId="0">
      <alignment horizontal="right" vertical="bottom"/>
    </xf>
    <xf numFmtId="11763" fontId="3" fillId="3" borderId="1" xfId="0">
      <alignment horizontal="right" vertical="bottom"/>
    </xf>
    <xf numFmtId="11753" fontId="5" fillId="3" borderId="1" xfId="0">
      <alignment horizontal="right" vertical="bottom"/>
    </xf>
    <xf numFmtId="11730" fontId="5" fillId="3" borderId="1" xfId="0">
      <alignment horizontal="right" vertical="bottom"/>
    </xf>
    <xf numFmtId="11731" fontId="10" fillId="0" borderId="9" xfId="0">
      <alignment horizontal="right" vertical="bottom"/>
    </xf>
    <xf numFmtId="0" fontId="2" fillId="2" borderId="8" xfId="0"/>
    <xf numFmtId="0" fontId="2" fillId="2" borderId="8" xfId="0">
      <alignment horizontal="right" vertical="bottom"/>
    </xf>
    <xf numFmtId="0" fontId="2" fillId="2" borderId="8" xfId="0">
      <alignment horizontal="left" vertical="bottom"/>
    </xf>
    <xf numFmtId="11734" fontId="8" fillId="0" borderId="1" xfId="0">
      <alignment horizontal="right" vertical="bottom"/>
    </xf>
    <xf numFmtId="0" fontId="1" fillId="0" borderId="1" xfId="0">
      <alignment horizontal="left" vertical="bottom"/>
    </xf>
    <xf numFmtId="0" fontId="1" fillId="0" borderId="1" xfId="0">
      <alignment vertical="top"/>
    </xf>
    <xf numFmtId="11734" fontId="1" fillId="0" borderId="1" xfId="0">
      <alignment horizontal="right" vertical="top"/>
    </xf>
    <xf numFmtId="0" fontId="1" fillId="0" borderId="1" xfId="0">
      <alignment vertical="top" wrapText="1"/>
    </xf>
    <xf numFmtId="0" fontId="11" fillId="0" borderId="1" xfId="0">
      <alignment horizontal="left" vertical="bottom" wrapText="1"/>
    </xf>
    <xf numFmtId="0" fontId="11" fillId="0" borderId="1" xfId="0">
      <alignment horizontal="right" vertical="bottom" wrapText="1"/>
    </xf>
    <xf numFmtId="11734" fontId="1" fillId="0" borderId="1" xfId="0">
      <alignment horizontal="left" vertical="bottom"/>
    </xf>
    <xf numFmtId="1" fontId="1" fillId="0" borderId="1" xfId="0">
      <alignment horizontal="right" vertical="bottom"/>
    </xf>
    <xf numFmtId="2" fontId="1" fillId="0" borderId="1" xfId="0">
      <alignment horizontal="right" vertical="bottom"/>
    </xf>
    <xf numFmtId="1" fontId="8" fillId="0" borderId="1" xfId="0">
      <alignment horizontal="right" vertical="bottom"/>
    </xf>
    <xf numFmtId="0" fontId="11" fillId="0" borderId="1" xfId="0"/>
    <xf numFmtId="11729" fontId="11" fillId="0" borderId="9" xfId="0">
      <alignment horizontal="right" vertical="bottom"/>
    </xf>
    <xf numFmtId="11729" fontId="12" fillId="0" borderId="9" xfId="0">
      <alignment horizontal="right" vertical="bottom"/>
    </xf>
    <xf numFmtId="11763" fontId="8" fillId="0" borderId="1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0</xdr:col>
      <xdr:colOff>600075</xdr:colOff>
      <xdr:row>0</xdr:row>
      <xdr:rowOff>590550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28575" y="1905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EBD355C-4BD8-E302-07F8-78EDCF683DE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34.00390625" customWidth="1"/>
    <col min="2" max="8" width="14.00390625" customWidth="1"/>
  </cols>
  <sheetData>
    <row r="1" ht="48" customHeight="1">
      <c r="A1" s="1"/>
      <c r="B1" s="1" t="s">
        <v>0</v>
      </c>
      <c r="C1" s="2"/>
      <c r="D1" s="2"/>
      <c r="E1" s="2"/>
      <c r="F1" s="2"/>
      <c r="G1" s="2"/>
      <c r="H1" s="2"/>
    </row>
    <row r="2" ht="15" customHeight="1">
      <c r="A2" s="3"/>
      <c r="B2" s="3" t="s">
        <v>1</v>
      </c>
      <c r="C2" s="2"/>
      <c r="D2" s="2"/>
      <c r="E2" s="2"/>
      <c r="F2" s="2"/>
      <c r="G2" s="2"/>
      <c r="H2" s="2"/>
    </row>
    <row r="3" ht="15" customHeight="1">
      <c r="A3" s="4"/>
      <c r="B3" s="4" t="s">
        <v>2</v>
      </c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4</v>
      </c>
      <c r="C4" s="5"/>
      <c r="D4" s="5"/>
      <c r="E4" s="5"/>
      <c r="F4" s="5"/>
      <c r="G4" s="5"/>
      <c r="H4" s="5"/>
    </row>
    <row r="5" ht="15" customHeight="1">
      <c r="A5" s="7" t="s">
        <v>5</v>
      </c>
      <c r="B5" s="8">
        <v>46295</v>
      </c>
      <c r="C5" s="7"/>
      <c r="D5" s="7"/>
      <c r="E5" s="7"/>
      <c r="F5" s="7"/>
      <c r="G5" s="7"/>
      <c r="H5" s="7"/>
    </row>
    <row r="6" ht="15" customHeight="1">
      <c r="A6" s="9" t="s">
        <v>6</v>
      </c>
      <c r="B6" s="10">
        <v>92</v>
      </c>
      <c r="C6" s="9"/>
      <c r="D6" s="9"/>
      <c r="E6" s="9"/>
      <c r="F6" s="9"/>
      <c r="G6" s="9"/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2" t="s">
        <v>7</v>
      </c>
      <c r="B8" s="2" t="s">
        <v>8</v>
      </c>
      <c r="C8" s="2"/>
      <c r="D8" s="2"/>
      <c r="E8" s="2"/>
      <c r="F8" s="2"/>
      <c r="G8" s="2"/>
      <c r="H8" s="2"/>
    </row>
    <row r="9" ht="15" customHeight="1">
      <c r="A9" s="2" t="s">
        <v>9</v>
      </c>
      <c r="B9" s="2" t="s">
        <v>10</v>
      </c>
      <c r="C9" s="2"/>
      <c r="D9" s="2"/>
      <c r="E9" s="2"/>
      <c r="F9" s="2"/>
      <c r="G9" s="2"/>
      <c r="H9" s="2"/>
    </row>
    <row r="10" ht="15" customHeight="1">
      <c r="A10" s="2" t="s">
        <v>11</v>
      </c>
      <c r="B10" s="2" t="s">
        <v>12</v>
      </c>
      <c r="C10" s="2"/>
      <c r="D10" s="2"/>
      <c r="E10" s="2"/>
      <c r="F10" s="2"/>
      <c r="G10" s="2"/>
      <c r="H10" s="2"/>
    </row>
    <row r="11" ht="15" customHeight="1">
      <c r="A11" s="2" t="s">
        <v>13</v>
      </c>
      <c r="B11" s="2" t="s">
        <v>14</v>
      </c>
      <c r="C11" s="2"/>
      <c r="D11" s="2"/>
      <c r="E11" s="2"/>
      <c r="F11" s="2"/>
      <c r="G11" s="2"/>
      <c r="H11" s="2"/>
    </row>
    <row r="12" ht="15" customHeight="1">
      <c r="A12" s="2" t="s">
        <v>15</v>
      </c>
      <c r="B12" s="2" t="s">
        <v>16</v>
      </c>
      <c r="C12" s="2"/>
      <c r="D12" s="2"/>
      <c r="E12" s="2"/>
      <c r="F12" s="2"/>
      <c r="G12" s="2"/>
      <c r="H12" s="2"/>
    </row>
    <row r="13" ht="15" customHeight="1">
      <c r="A13" s="2" t="s">
        <v>17</v>
      </c>
      <c r="B13" s="2" t="s">
        <v>18</v>
      </c>
      <c r="C13" s="2"/>
      <c r="D13" s="2"/>
      <c r="E13" s="2"/>
      <c r="F13" s="2"/>
      <c r="G13" s="2"/>
      <c r="H13" s="2"/>
    </row>
    <row r="14" ht="15" customHeight="1">
      <c r="A14" s="2" t="s">
        <v>19</v>
      </c>
      <c r="B14" s="2" t="s">
        <v>20</v>
      </c>
      <c r="C14" s="2"/>
      <c r="D14" s="2"/>
      <c r="E14" s="2"/>
      <c r="F14" s="2"/>
      <c r="G14" s="2"/>
      <c r="H14" s="2"/>
    </row>
    <row r="15" ht="15" customHeight="1">
      <c r="A15" s="2" t="s">
        <v>21</v>
      </c>
      <c r="B15" s="2" t="s">
        <v>22</v>
      </c>
      <c r="C15" s="2"/>
      <c r="D15" s="2"/>
      <c r="E15" s="2"/>
      <c r="F15" s="2"/>
      <c r="G15" s="2"/>
      <c r="H15" s="2"/>
    </row>
    <row r="16" ht="15" customHeight="1">
      <c r="A16" s="2"/>
      <c r="B16" s="2"/>
      <c r="C16" s="2"/>
      <c r="D16" s="2"/>
      <c r="E16" s="2"/>
      <c r="F16" s="2"/>
      <c r="G16" s="2"/>
      <c r="H16" s="2"/>
    </row>
    <row r="17" ht="25.5" customHeight="1">
      <c r="A17" s="11" t="s">
        <v>23</v>
      </c>
      <c r="B17" s="12" t="s">
        <v>24</v>
      </c>
      <c r="C17" s="12" t="s">
        <v>25</v>
      </c>
      <c r="D17" s="12" t="s">
        <v>26</v>
      </c>
      <c r="E17" s="12" t="s">
        <v>27</v>
      </c>
      <c r="F17" s="12" t="s">
        <v>28</v>
      </c>
      <c r="G17" s="12" t="s">
        <v>29</v>
      </c>
      <c r="H17" s="2"/>
    </row>
    <row r="18" ht="15" customHeight="1">
      <c r="A18" s="2" t="s">
        <v>30</v>
      </c>
      <c r="B18" s="13">
        <f>'Income Statement'!G27</f>
        <v>28583.53731905</v>
      </c>
      <c r="C18" s="13">
        <f>Inputs!C51</f>
        <v>28111.09</v>
      </c>
      <c r="D18" s="14">
        <f t="shared" si="0" ref="D18:D22">B18-C18</f>
        <v>472.44731904999935</v>
      </c>
      <c r="E18" s="15">
        <f t="shared" si="1" ref="E18:E22">IF(C18&lt;&gt;0,B18/C18-1,"n/a")</f>
        <v>0.01680643899080403</v>
      </c>
      <c r="F18" s="16" t="s">
        <v>31</v>
      </c>
      <c r="G18" s="16" t="s">
        <v>31</v>
      </c>
      <c r="H18" s="2" t="s">
        <v>32</v>
      </c>
    </row>
    <row r="19" ht="15" customHeight="1">
      <c r="A19" s="2" t="s">
        <v>33</v>
      </c>
      <c r="B19" s="13">
        <f>'Income Statement'!G166</f>
        <v>1342.4011604358718</v>
      </c>
      <c r="C19" s="13">
        <f>Inputs!C64</f>
        <v>1600.79</v>
      </c>
      <c r="D19" s="14">
        <f t="shared" si="0"/>
        <v>-258.38883956412815</v>
      </c>
      <c r="E19" s="15">
        <f t="shared" si="1"/>
        <v>-0.1614133268974245</v>
      </c>
      <c r="F19" s="16" t="s">
        <v>31</v>
      </c>
      <c r="G19" s="16" t="s">
        <v>31</v>
      </c>
      <c r="H19" s="2"/>
    </row>
    <row r="20" ht="15" customHeight="1">
      <c r="A20" s="2" t="s">
        <v>34</v>
      </c>
      <c r="B20" s="17">
        <f>'Income Statement'!G174</f>
        <v>0.37878136581147626</v>
      </c>
      <c r="C20" s="17">
        <f>Inputs!C33</f>
        <v>0.45</v>
      </c>
      <c r="D20" s="18">
        <f t="shared" si="0"/>
        <v>-0.07121863418852376</v>
      </c>
      <c r="E20" s="15">
        <f t="shared" si="1"/>
        <v>-0.15826363153005274</v>
      </c>
      <c r="F20" s="16" t="s">
        <v>31</v>
      </c>
      <c r="G20" s="16" t="s">
        <v>31</v>
      </c>
      <c r="H20" s="2"/>
    </row>
    <row r="21" ht="15" customHeight="1">
      <c r="A21" s="2" t="s">
        <v>35</v>
      </c>
      <c r="B21" s="13">
        <f>'Income Statement'!G117</f>
        <v>250.08912593252933</v>
      </c>
      <c r="C21" s="13">
        <f>Inputs!C65</f>
        <v>922.77</v>
      </c>
      <c r="D21" s="14">
        <f t="shared" si="0"/>
        <v>-672.6808740674707</v>
      </c>
      <c r="E21" s="15">
        <f t="shared" si="1"/>
        <v>-0.7289799994229014</v>
      </c>
      <c r="F21" s="16" t="s">
        <v>31</v>
      </c>
      <c r="G21" s="16" t="s">
        <v>31</v>
      </c>
      <c r="H21" s="2"/>
    </row>
    <row r="22" ht="15" customHeight="1">
      <c r="A22" s="2" t="s">
        <v>36</v>
      </c>
      <c r="B22" s="17">
        <f>'Income Statement'!G137</f>
        <v>0.07056690912317419</v>
      </c>
      <c r="C22" s="17">
        <f>Inputs!C42</f>
        <v>0.26</v>
      </c>
      <c r="D22" s="18">
        <f t="shared" si="0"/>
        <v>-0.1894330908768258</v>
      </c>
      <c r="E22" s="15">
        <f t="shared" si="1"/>
        <v>-0.7285888110647147</v>
      </c>
      <c r="F22" s="16" t="s">
        <v>31</v>
      </c>
      <c r="G22" s="16" t="s">
        <v>31</v>
      </c>
      <c r="H22" s="2"/>
    </row>
    <row r="23" ht="15" customHeight="1">
      <c r="A23" s="19" t="s">
        <v>37</v>
      </c>
      <c r="B23" s="20" t="str">
        <f>IF(COUNTIF('Revenue summary'!B65:G65,"&gt;0.5")+COUNTIF('Revenue summary'!B65:G65,"&lt;-0.5")+COUNTIF('Segment - Automotive'!B152:G152,"&gt;0.5")+COUNTIF('Segment - Automotive'!B152:G152,"&lt;-0.5")+COUNTIF('Income Statement'!B121:G121,"&gt;0.5")+COUNTIF('Income Statement'!B121:G121,"&lt;-0.5")+COUNTIF('Income Statement'!B142:G142,"&gt;0.005")+COUNTIF('Income Statement'!B142:G142,"&lt;-0.005")+COUNTIF('Income Statement'!B170:G170,"&gt;0.5")+COUNTIF('Income Statement'!B170:G170,"&lt;-0.5")+COUNTIF('Income Statement'!B179:G179,"&gt;0.005")+COUNTIF('Income Statement'!B179:G179,"&lt;-0.005")+COUNTIF('Income Statement'!B202:G202,"&gt;0.5")+COUNTIF('Income Statement'!B202:G202,"&lt;-0.5")+COUNTIF('Income Statement'!B214:G214,"&gt;0.5")+COUNTIF('Income Statement'!B214:G214,"&lt;-0.5")+COUNTIF('Balance Sheet'!B42:G42,"&gt;0.5")+COUNTIF('Balance Sheet'!B42:G42,"&lt;-0.5")+COUNTIF('Balance Sheet'!B44:G44,"&gt;0.5")+COUNTIF('Balance Sheet'!B44:G44,"&lt;-0.5")+COUNTIF('Cash Flow Statement'!B113:G113,"&gt;0.5")+COUNTIF('Cash Flow Statement'!B113:G113,"&lt;-0.5")+COUNTIF('Cash Flow Statement'!B119:G119,"&gt;0.5")+COUNTIF('Cash Flow Statement'!B119:G119,"&lt;-0.5")+COUNTIF(Geo!B39:G39,"&gt;0.5")+COUNTIF(Geo!B39:G39,"&lt;-0.5")+COUNTIF(B28:B28,"&gt;0.5")+COUNTIF(B28:B28,"&lt;-0.5")+COUNTIF(B29:B29,"&gt;0.5")+COUNTIF(B29:B29,"&lt;-0.5")+COUNTIF(B30:B30,"&gt;0.005")+COUNTIF(B30:B30,"&lt;-0.005")+COUNTIF(B31:B31,"&gt;0.5")+COUNTIF(B31:B31,"&lt;-0.5")+COUNTIF(B32:B32,"&gt;0.005")+COUNTIF(B32:B32,"&lt;-0.005")+COUNTIF(B33:B33,"&gt;0.0005")+COUNTIF(B33:B33,"&lt;-0.0005")=0,"PASS","FAIL")</f>
        <v>PASS</v>
      </c>
      <c r="C23" s="19"/>
      <c r="D23" s="19"/>
      <c r="E23" s="19"/>
      <c r="F23" s="19"/>
      <c r="G23" s="19"/>
      <c r="H23" s="2" t="s">
        <v>39</v>
      </c>
    </row>
    <row r="24" ht="15" customHeight="1">
      <c r="A24" s="4" t="s">
        <v>40</v>
      </c>
      <c r="B24" s="21">
        <f>Inputs!B111</f>
        <v>0.3</v>
      </c>
      <c r="C24" s="2"/>
      <c r="D24" s="2"/>
      <c r="E24" s="2"/>
      <c r="F24" s="2"/>
      <c r="G24" s="2"/>
      <c r="H24" s="2" t="s">
        <v>41</v>
      </c>
    </row>
    <row r="25" ht="15" customHeight="1">
      <c r="A25" s="2" t="s">
        <v>42</v>
      </c>
      <c r="B25" s="22" t="str">
        <f>Inputs!B112</f>
        <v>low</v>
      </c>
      <c r="C25" s="2"/>
      <c r="D25" s="2"/>
      <c r="E25" s="2"/>
      <c r="F25" s="2"/>
      <c r="G25" s="2"/>
      <c r="H25" s="2"/>
    </row>
    <row r="26" ht="15" customHeight="1">
      <c r="A26" s="2"/>
      <c r="B26" s="2"/>
      <c r="C26" s="2"/>
      <c r="D26" s="2"/>
      <c r="E26" s="2"/>
      <c r="F26" s="2"/>
      <c r="G26" s="2"/>
      <c r="H26" s="2"/>
    </row>
    <row r="27" ht="15" customHeight="1">
      <c r="A27" s="3" t="s">
        <v>44</v>
      </c>
      <c r="B27" s="2"/>
      <c r="C27" s="2"/>
      <c r="D27" s="2"/>
      <c r="E27" s="2"/>
      <c r="F27" s="2"/>
      <c r="G27" s="2"/>
      <c r="H27" s="2"/>
    </row>
    <row r="28" ht="15" customHeight="1">
      <c r="A28" s="23" t="s">
        <v>45</v>
      </c>
      <c r="B28" s="24">
        <f>B18-'Income Statement'!G27</f>
        <v>0</v>
      </c>
      <c r="C28" s="2"/>
      <c r="D28" s="2"/>
      <c r="E28" s="2"/>
      <c r="F28" s="2"/>
      <c r="G28" s="2"/>
      <c r="H28" s="2"/>
    </row>
    <row r="29" ht="15" customHeight="1">
      <c r="A29" s="23" t="s">
        <v>46</v>
      </c>
      <c r="B29" s="24">
        <f>B19-'Income Statement'!G166</f>
        <v>0</v>
      </c>
      <c r="C29" s="2"/>
      <c r="D29" s="2"/>
      <c r="E29" s="2"/>
      <c r="F29" s="2"/>
      <c r="G29" s="2"/>
      <c r="H29" s="2"/>
    </row>
    <row r="30" ht="15" customHeight="1">
      <c r="A30" s="23" t="s">
        <v>47</v>
      </c>
      <c r="B30" s="25">
        <f>B20-'Income Statement'!G174</f>
        <v>0</v>
      </c>
      <c r="C30" s="2"/>
      <c r="D30" s="2"/>
      <c r="E30" s="2"/>
      <c r="F30" s="2"/>
      <c r="G30" s="2"/>
      <c r="H30" s="2"/>
    </row>
    <row r="31" ht="15" customHeight="1">
      <c r="A31" s="23" t="s">
        <v>48</v>
      </c>
      <c r="B31" s="24">
        <f>B21-'Income Statement'!G117</f>
        <v>0</v>
      </c>
      <c r="C31" s="2"/>
      <c r="D31" s="2"/>
      <c r="E31" s="2"/>
      <c r="F31" s="2"/>
      <c r="G31" s="2"/>
      <c r="H31" s="2"/>
    </row>
    <row r="32" ht="15" customHeight="1">
      <c r="A32" s="23" t="s">
        <v>49</v>
      </c>
      <c r="B32" s="25">
        <f>B22-'Income Statement'!G137</f>
        <v>0</v>
      </c>
      <c r="C32" s="2"/>
      <c r="D32" s="2"/>
      <c r="E32" s="2"/>
      <c r="F32" s="2"/>
      <c r="G32" s="2"/>
      <c r="H32" s="2"/>
    </row>
    <row r="33" ht="15" customHeight="1">
      <c r="A33" s="23" t="s">
        <v>50</v>
      </c>
      <c r="B33" s="26">
        <f>B24-Inputs!B111</f>
        <v>0</v>
      </c>
      <c r="C33" s="2"/>
      <c r="D33" s="2"/>
      <c r="E33" s="2"/>
      <c r="F33" s="2"/>
      <c r="G33" s="2"/>
      <c r="H33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B6D3D38-5658-5329-C5C8-CEEC4E1F37E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51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58</v>
      </c>
      <c r="B8" s="2"/>
      <c r="C8" s="2"/>
      <c r="D8" s="2"/>
      <c r="E8" s="2"/>
      <c r="F8" s="2"/>
      <c r="G8" s="28"/>
      <c r="H8" s="2"/>
    </row>
    <row r="9" ht="15" customHeight="1">
      <c r="A9" s="29" t="s">
        <v>59</v>
      </c>
      <c r="B9" s="13">
        <f>'Segment - Automotive'!B145</f>
        <v>24680</v>
      </c>
      <c r="C9" s="13">
        <f>'Segment - Automotive'!C145</f>
        <v>21064</v>
      </c>
      <c r="D9" s="13">
        <f>'Segment - Automotive'!D145</f>
        <v>82056</v>
      </c>
      <c r="E9" s="13">
        <f>'Segment - Automotive'!E145</f>
        <v>19979</v>
      </c>
      <c r="F9" s="13">
        <f>'Segment - Automotive'!F145</f>
        <v>25097</v>
      </c>
      <c r="G9" s="30">
        <f>'Segment - Automotive'!G145</f>
        <v>25361.03731905</v>
      </c>
      <c r="H9" s="2"/>
    </row>
    <row r="10" ht="15" customHeight="1">
      <c r="A10" s="31" t="s">
        <v>60</v>
      </c>
      <c r="B10" s="32">
        <f>IF(AND(ISNUMBER(B9),ISNUMBER(Inputs!B155)),IF(Inputs!B155&gt;0,B9/Inputs!B155-1,"n/m"),"n/a")</f>
        <v>0.08217135841445233</v>
      </c>
      <c r="C10" s="32">
        <f>IF(AND(ISNUMBER(C9),ISNUMBER(Inputs!C155)),IF(Inputs!C155&gt;0,C9/Inputs!C155-1,"n/m"),"n/a")</f>
        <v>-0.0698578115340458</v>
      </c>
      <c r="D10" s="32">
        <f>IF(AND(ISNUMBER(D9),ISNUMBER(Inputs!F155)),IF(Inputs!F155&gt;0,D9/Inputs!F155-1,"n/m"),"n/a")</f>
        <v>-0.06333044153235012</v>
      </c>
      <c r="E10" s="32">
        <f>IF(AND(ISNUMBER(E9),ISNUMBER(Inputs!D155)),IF(Inputs!D155&gt;0,E9/Inputs!D155-1,"n/m"),"n/a")</f>
        <v>0.2031918096958747</v>
      </c>
      <c r="F10" s="32">
        <f>IF(AND(ISNUMBER(F9),ISNUMBER(Inputs!E155)),IF(Inputs!E155&gt;0,F9/Inputs!E155-1,"n/m"),"n/a")</f>
        <v>0.2735068757294363</v>
      </c>
      <c r="G10" s="33">
        <f t="shared" si="2" ref="G10:G59">IF(AND(ISNUMBER(G9),ISNUMBER(B9)),IF(B9&gt;0,G9/B9-1,"n/m"),"n/a")</f>
        <v>0.027594704985818508</v>
      </c>
      <c r="H10" s="2"/>
    </row>
    <row r="11" ht="15" customHeight="1">
      <c r="A11" s="31" t="s">
        <v>61</v>
      </c>
      <c r="B11" s="32">
        <f>IF(AND(ISNUMBER(B9),ISNUMBER(Inputs!E155)),IF(Inputs!E155&gt;0,B9/Inputs!E155-1,"n/m"),"n/a")</f>
        <v>0.2523468818186432</v>
      </c>
      <c r="C11" s="15">
        <f t="shared" si="0" ref="C11:G60">IF(AND(ISNUMBER(C9),ISNUMBER(B9)),IF(B9&gt;0,C9/B9-1,"n/m"),"n/a")</f>
        <v>-0.14651539708265804</v>
      </c>
      <c r="D11" s="15"/>
      <c r="E11" s="15">
        <f t="shared" si="3" ref="E11:E60">IF(AND(ISNUMBER(E9),ISNUMBER(C9)),IF(C9&gt;0,E9/C9-1,"n/m"),"n/a")</f>
        <v>-0.05150968477022411</v>
      </c>
      <c r="F11" s="15">
        <f t="shared" si="0"/>
        <v>0.25616897742629763</v>
      </c>
      <c r="G11" s="33">
        <f t="shared" si="0"/>
        <v>0.010520672552496224</v>
      </c>
      <c r="H11" s="2"/>
    </row>
    <row r="12" ht="15" customHeight="1">
      <c r="A12" s="31" t="s">
        <v>62</v>
      </c>
      <c r="B12" s="15">
        <f t="shared" si="1" ref="B12:G12">IF(AND(ISNUMBER(B9),ISNUMBER(B17)),B9/B17,"n/a")</f>
        <v>0.8784481224417157</v>
      </c>
      <c r="C12" s="15">
        <f t="shared" si="1"/>
        <v>0.8459098028191638</v>
      </c>
      <c r="D12" s="15">
        <f t="shared" si="1"/>
        <v>0.8653231674523079</v>
      </c>
      <c r="E12" s="15">
        <f t="shared" si="1"/>
        <v>0.8924375753785679</v>
      </c>
      <c r="F12" s="15">
        <f t="shared" si="1"/>
        <v>0.8888298625867687</v>
      </c>
      <c r="G12" s="33">
        <f t="shared" si="1"/>
        <v>0.8872602797886633</v>
      </c>
      <c r="H12" s="2"/>
    </row>
    <row r="13" ht="15" customHeight="1">
      <c r="A13" s="29" t="s">
        <v>63</v>
      </c>
      <c r="B13" s="13">
        <f>'Segment - Energy'!B28</f>
        <v>3415</v>
      </c>
      <c r="C13" s="13">
        <f>'Segment - Energy'!C28</f>
        <v>3837</v>
      </c>
      <c r="D13" s="13">
        <f>'Segment - Energy'!D28</f>
        <v>12771</v>
      </c>
      <c r="E13" s="13">
        <f>'Segment - Energy'!E28</f>
        <v>2408</v>
      </c>
      <c r="F13" s="13">
        <f>'Segment - Energy'!F28</f>
        <v>3139</v>
      </c>
      <c r="G13" s="30">
        <f>'Segment - Energy'!G28</f>
        <v>3222.5</v>
      </c>
      <c r="H13" s="2"/>
    </row>
    <row r="14" ht="15" customHeight="1">
      <c r="A14" s="31" t="s">
        <v>60</v>
      </c>
      <c r="B14" s="32">
        <f>IF(AND(ISNUMBER(B13),ISNUMBER(Inputs!B156)),IF(Inputs!B156&gt;0,B13/Inputs!B156-1,"n/m"),"n/a")</f>
        <v>0.4372895622895623</v>
      </c>
      <c r="C14" s="32">
        <f>IF(AND(ISNUMBER(C13),ISNUMBER(Inputs!C156)),IF(Inputs!C156&gt;0,C13/Inputs!C156-1,"n/m"),"n/a")</f>
        <v>0.25351192420777524</v>
      </c>
      <c r="D14" s="32">
        <f>IF(AND(ISNUMBER(D13),ISNUMBER(Inputs!F156)),IF(Inputs!F156&gt;0,D13/Inputs!F156-1,"n/m"),"n/a")</f>
        <v>0.2662105889351576</v>
      </c>
      <c r="E14" s="32">
        <f>IF(AND(ISNUMBER(E13),ISNUMBER(Inputs!D156)),IF(Inputs!D156&gt;0,E13/Inputs!D156-1,"n/m"),"n/a")</f>
        <v>-0.11794871794871797</v>
      </c>
      <c r="F14" s="32">
        <f>IF(AND(ISNUMBER(F13),ISNUMBER(Inputs!E156)),IF(Inputs!E156&gt;0,F13/Inputs!E156-1,"n/m"),"n/a")</f>
        <v>0.1254930082466834</v>
      </c>
      <c r="G14" s="33">
        <f t="shared" si="2"/>
        <v>-0.056368960468521245</v>
      </c>
      <c r="H14" s="2"/>
    </row>
    <row r="15" ht="15" customHeight="1">
      <c r="A15" s="31" t="s">
        <v>61</v>
      </c>
      <c r="B15" s="32">
        <f>IF(AND(ISNUMBER(B13),ISNUMBER(Inputs!E156)),IF(Inputs!E156&gt;0,B13/Inputs!E156-1,"n/m"),"n/a")</f>
        <v>0.2244532090354967</v>
      </c>
      <c r="C15" s="15">
        <f t="shared" si="0"/>
        <v>0.12357247437774532</v>
      </c>
      <c r="D15" s="15"/>
      <c r="E15" s="15">
        <f t="shared" si="3"/>
        <v>-0.3724263747719573</v>
      </c>
      <c r="F15" s="15">
        <f t="shared" si="0"/>
        <v>0.3035714285714286</v>
      </c>
      <c r="G15" s="33">
        <f t="shared" si="0"/>
        <v>0.026600828289264022</v>
      </c>
      <c r="H15" s="2"/>
    </row>
    <row r="16" ht="15" customHeight="1">
      <c r="A16" s="31" t="s">
        <v>62</v>
      </c>
      <c r="B16" s="15">
        <f t="shared" si="4" ref="B16:G16">IF(AND(ISNUMBER(B13),ISNUMBER(B17)),B13/B17,"n/a")</f>
        <v>0.1215518775582844</v>
      </c>
      <c r="C16" s="15">
        <f t="shared" si="4"/>
        <v>0.1540901971808361</v>
      </c>
      <c r="D16" s="15">
        <f t="shared" si="4"/>
        <v>0.1346768325476921</v>
      </c>
      <c r="E16" s="15">
        <f t="shared" si="4"/>
        <v>0.10756242462143208</v>
      </c>
      <c r="F16" s="15">
        <f t="shared" si="4"/>
        <v>0.11117013741323134</v>
      </c>
      <c r="G16" s="33">
        <f t="shared" si="4"/>
        <v>0.11273972021133677</v>
      </c>
      <c r="H16" s="2"/>
    </row>
    <row r="17" ht="15" customHeight="1">
      <c r="A17" s="3" t="s">
        <v>64</v>
      </c>
      <c r="B17" s="34">
        <f t="shared" si="5" ref="B17:G17">B9+B13</f>
        <v>28095</v>
      </c>
      <c r="C17" s="34">
        <f t="shared" si="5"/>
        <v>24901</v>
      </c>
      <c r="D17" s="34">
        <f t="shared" si="5"/>
        <v>94827</v>
      </c>
      <c r="E17" s="34">
        <f t="shared" si="5"/>
        <v>22387</v>
      </c>
      <c r="F17" s="34">
        <f t="shared" si="5"/>
        <v>28236</v>
      </c>
      <c r="G17" s="35">
        <f t="shared" si="5"/>
        <v>28583.53731905</v>
      </c>
      <c r="H17" s="2"/>
    </row>
    <row r="18" ht="15" customHeight="1">
      <c r="A18" s="23" t="s">
        <v>60</v>
      </c>
      <c r="B18" s="32">
        <f>IF(AND(ISNUMBER(B17),ISNUMBER(Inputs!B157)),IF(Inputs!B157&gt;0,B17/Inputs!B157-1,"n/m"),"n/a")</f>
        <v>0.11567786514176803</v>
      </c>
      <c r="C18" s="32">
        <f>IF(AND(ISNUMBER(C17),ISNUMBER(Inputs!C157)),IF(Inputs!C157&gt;0,C17/Inputs!C157-1,"n/m"),"n/a")</f>
        <v>-0.031353327887345905</v>
      </c>
      <c r="D18" s="32">
        <f>IF(AND(ISNUMBER(D17),ISNUMBER(Inputs!F157)),IF(Inputs!F157&gt;0,D17/Inputs!F157-1,"n/m"),"n/a")</f>
        <v>-0.02930699150373628</v>
      </c>
      <c r="E18" s="32">
        <f>IF(AND(ISNUMBER(E17),ISNUMBER(Inputs!D157)),IF(Inputs!D157&gt;0,E17/Inputs!D157-1,"n/m"),"n/a")</f>
        <v>0.15784846133953967</v>
      </c>
      <c r="F18" s="32">
        <f>IF(AND(ISNUMBER(F17),ISNUMBER(Inputs!E157)),IF(Inputs!E157&gt;0,F17/Inputs!E157-1,"n/m"),"n/a")</f>
        <v>0.25515647226173543</v>
      </c>
      <c r="G18" s="33">
        <f t="shared" si="2"/>
        <v>0.017388763803167784</v>
      </c>
      <c r="H18" s="2"/>
    </row>
    <row r="19" ht="15" customHeight="1">
      <c r="A19" s="23" t="s">
        <v>61</v>
      </c>
      <c r="B19" s="32">
        <f>IF(AND(ISNUMBER(B17),ISNUMBER(Inputs!E157)),IF(Inputs!E157&gt;0,B17/Inputs!E157-1,"n/m"),"n/a")</f>
        <v>0.2488886913229018</v>
      </c>
      <c r="C19" s="15">
        <f t="shared" si="0"/>
        <v>-0.11368570920092547</v>
      </c>
      <c r="D19" s="15"/>
      <c r="E19" s="15">
        <f t="shared" si="3"/>
        <v>-0.10095980081121236</v>
      </c>
      <c r="F19" s="15">
        <f t="shared" si="0"/>
        <v>0.261267700004467</v>
      </c>
      <c r="G19" s="33">
        <f t="shared" si="0"/>
        <v>0.012308305675378994</v>
      </c>
      <c r="H19" s="2"/>
    </row>
    <row r="20" ht="15" customHeight="1">
      <c r="A20" s="23" t="s">
        <v>65</v>
      </c>
      <c r="B20" s="24">
        <f>IF(AND(ISNUMBER(B17),ISNUMBER(Inputs!E157)),B17-Inputs!E157,"n/a")</f>
        <v>5599</v>
      </c>
      <c r="C20" s="36">
        <f t="shared" si="6" ref="C20:G20">IF(AND(ISNUMBER(C17),ISNUMBER(B17)),C17-B17,"n/a")</f>
        <v>-3194</v>
      </c>
      <c r="D20" s="36"/>
      <c r="E20" s="36">
        <f>IF(AND(ISNUMBER(E17),ISNUMBER(C17)),E17-C17,"n/a")</f>
        <v>-2514</v>
      </c>
      <c r="F20" s="36">
        <f t="shared" si="6"/>
        <v>5849</v>
      </c>
      <c r="G20" s="37">
        <f t="shared" si="6"/>
        <v>347.5373190499995</v>
      </c>
      <c r="H20" s="2"/>
    </row>
    <row r="21" ht="15" customHeight="1">
      <c r="A21" s="3" t="s">
        <v>66</v>
      </c>
      <c r="B21" s="2"/>
      <c r="C21" s="2"/>
      <c r="D21" s="2"/>
      <c r="E21" s="2"/>
      <c r="F21" s="2"/>
      <c r="G21" s="28"/>
      <c r="H21" s="2"/>
    </row>
    <row r="22" ht="15" customHeight="1">
      <c r="A22" s="23" t="s">
        <v>67</v>
      </c>
      <c r="B22" s="32">
        <f>IF(Inputs!B157&gt;0,B17/Inputs!B157-1,"n/a")</f>
        <v>0.11567786514176803</v>
      </c>
      <c r="C22" s="32">
        <f>IF(Inputs!C157&gt;0,C17/Inputs!C157-1,"n/a")</f>
        <v>-0.031353327887345905</v>
      </c>
      <c r="D22" s="32">
        <f>IF(Inputs!F157&gt;0,D17/Inputs!F157-1,"n/a")</f>
        <v>-0.02930699150373628</v>
      </c>
      <c r="E22" s="32">
        <f>IF(Inputs!D157&gt;0,E17/Inputs!D157-1,"n/a")</f>
        <v>0.15784846133953967</v>
      </c>
      <c r="F22" s="32">
        <f>IF(Inputs!E157&gt;0,F17/Inputs!E157-1,"n/a")</f>
        <v>0.25515647226173543</v>
      </c>
      <c r="G22" s="33">
        <f>IF(B17&gt;0,G17/B17-1,"n/a")</f>
        <v>0.017388763803167784</v>
      </c>
      <c r="H22" s="2"/>
    </row>
    <row r="23" ht="15" customHeight="1">
      <c r="A23" s="31" t="s">
        <v>68</v>
      </c>
      <c r="B23" s="38" t="s">
        <v>31</v>
      </c>
      <c r="C23" s="38" t="s">
        <v>31</v>
      </c>
      <c r="D23" s="38" t="s">
        <v>31</v>
      </c>
      <c r="E23" s="38" t="s">
        <v>31</v>
      </c>
      <c r="F23" s="38" t="s">
        <v>31</v>
      </c>
      <c r="G23" s="39">
        <f t="shared" si="9" ref="G23:G35">IF(AND(ISNUMBER(G22),ISNUMBER(B22)),(G22-B22)*10000,"n/a")</f>
        <v>-982.8910133860024</v>
      </c>
      <c r="H23" s="2"/>
    </row>
    <row r="24" ht="15" customHeight="1">
      <c r="A24" s="31" t="s">
        <v>69</v>
      </c>
      <c r="B24" s="38" t="s">
        <v>31</v>
      </c>
      <c r="C24" s="38">
        <f t="shared" si="7" ref="C24:G36">IF(AND(ISNUMBER(C22),ISNUMBER(B22)),(C22-B22)*10000,"n/a")</f>
        <v>-1470.3119302911393</v>
      </c>
      <c r="D24" s="38"/>
      <c r="E24" s="38">
        <f t="shared" si="10" ref="E24:E36">IF(AND(ISNUMBER(E22),ISNUMBER(C22)),(E22-C22)*10000,"n/a")</f>
        <v>1892.0178922688558</v>
      </c>
      <c r="F24" s="38">
        <f t="shared" si="7"/>
        <v>973.0801092219576</v>
      </c>
      <c r="G24" s="39">
        <f t="shared" si="7"/>
        <v>-2377.6770845856763</v>
      </c>
      <c r="H24" s="2"/>
    </row>
    <row r="25" ht="15" customHeight="1">
      <c r="A25" s="29" t="s">
        <v>70</v>
      </c>
      <c r="B25" s="14" t="s">
        <v>31</v>
      </c>
      <c r="C25" s="40">
        <v>300</v>
      </c>
      <c r="D25" s="14" t="s">
        <v>31</v>
      </c>
      <c r="E25" s="40">
        <v>900</v>
      </c>
      <c r="F25" s="40">
        <v>500</v>
      </c>
      <c r="G25" s="41">
        <v>200</v>
      </c>
      <c r="H25" s="2" t="s">
        <v>71</v>
      </c>
    </row>
    <row r="26" ht="15" customHeight="1">
      <c r="A26" s="31" t="s">
        <v>72</v>
      </c>
      <c r="B26" s="36" t="s">
        <v>31</v>
      </c>
      <c r="C26" s="36" t="s">
        <v>31</v>
      </c>
      <c r="D26" s="36" t="s">
        <v>31</v>
      </c>
      <c r="E26" s="36" t="s">
        <v>31</v>
      </c>
      <c r="F26" s="36" t="s">
        <v>31</v>
      </c>
      <c r="G26" s="37" t="str">
        <f t="shared" si="19" ref="G26:G63">IF(AND(ISNUMBER(G25),ISNUMBER(B25)),G25-B25,"n/a")</f>
        <v>n/a</v>
      </c>
      <c r="H26" s="2"/>
    </row>
    <row r="27" ht="15" customHeight="1">
      <c r="A27" s="31" t="s">
        <v>65</v>
      </c>
      <c r="B27" s="36" t="s">
        <v>31</v>
      </c>
      <c r="C27" s="36" t="str">
        <f t="shared" si="8" ref="C27:G64">IF(AND(ISNUMBER(C25),ISNUMBER(B25)),C25-B25,"n/a")</f>
        <v>n/a</v>
      </c>
      <c r="D27" s="36"/>
      <c r="E27" s="36">
        <f t="shared" si="20" ref="E27:E64">IF(AND(ISNUMBER(E25),ISNUMBER(C25)),E25-C25,"n/a")</f>
        <v>600</v>
      </c>
      <c r="F27" s="36">
        <f t="shared" si="8"/>
        <v>-400</v>
      </c>
      <c r="G27" s="37">
        <f t="shared" si="8"/>
        <v>-300</v>
      </c>
      <c r="H27" s="2"/>
    </row>
    <row r="28" ht="15" customHeight="1">
      <c r="A28" s="23" t="s">
        <v>73</v>
      </c>
      <c r="B28" s="32" t="str">
        <f>IF(ISNUMBER(B25),B25/Inputs!B157,"n/a")</f>
        <v>n/a</v>
      </c>
      <c r="C28" s="32">
        <f>IF(ISNUMBER(C25),C25/Inputs!C157,"n/a")</f>
        <v>0.011669973159061734</v>
      </c>
      <c r="D28" s="32" t="str">
        <f>IF(ISNUMBER(D25),D25/Inputs!F157,"n/a")</f>
        <v>n/a</v>
      </c>
      <c r="E28" s="32">
        <f>IF(ISNUMBER(E25),E25/Inputs!D157,"n/a")</f>
        <v>0.04654771140418929</v>
      </c>
      <c r="F28" s="32">
        <f>IF(ISNUMBER(F25),F25/Inputs!E157,"n/a")</f>
        <v>0.022226173541963015</v>
      </c>
      <c r="G28" s="33">
        <f>IF(ISNUMBER(G25),G25/B17,"n/a")</f>
        <v>0.007118704395799964</v>
      </c>
      <c r="H28" s="2"/>
    </row>
    <row r="29" ht="15" customHeight="1">
      <c r="A29" s="31" t="s">
        <v>68</v>
      </c>
      <c r="B29" s="38" t="s">
        <v>31</v>
      </c>
      <c r="C29" s="38" t="s">
        <v>31</v>
      </c>
      <c r="D29" s="38" t="s">
        <v>31</v>
      </c>
      <c r="E29" s="38" t="s">
        <v>31</v>
      </c>
      <c r="F29" s="38" t="s">
        <v>31</v>
      </c>
      <c r="G29" s="39" t="str">
        <f t="shared" si="9"/>
        <v>n/a</v>
      </c>
      <c r="H29" s="2"/>
    </row>
    <row r="30" ht="15" customHeight="1">
      <c r="A30" s="31" t="s">
        <v>69</v>
      </c>
      <c r="B30" s="38" t="s">
        <v>31</v>
      </c>
      <c r="C30" s="38" t="str">
        <f t="shared" si="7"/>
        <v>n/a</v>
      </c>
      <c r="D30" s="38"/>
      <c r="E30" s="38">
        <f t="shared" si="10"/>
        <v>348.77738245127557</v>
      </c>
      <c r="F30" s="38">
        <f t="shared" si="7"/>
        <v>-243.21537862226276</v>
      </c>
      <c r="G30" s="39">
        <f t="shared" si="7"/>
        <v>-151.0746914616305</v>
      </c>
      <c r="H30" s="2"/>
    </row>
    <row r="31" ht="15" customHeight="1">
      <c r="A31" s="23" t="s">
        <v>74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3">
        <v>0</v>
      </c>
      <c r="H31" s="2" t="s">
        <v>75</v>
      </c>
    </row>
    <row r="32" ht="15" customHeight="1">
      <c r="A32" s="31" t="s">
        <v>68</v>
      </c>
      <c r="B32" s="38" t="s">
        <v>31</v>
      </c>
      <c r="C32" s="38" t="s">
        <v>31</v>
      </c>
      <c r="D32" s="38" t="s">
        <v>31</v>
      </c>
      <c r="E32" s="38" t="s">
        <v>31</v>
      </c>
      <c r="F32" s="38" t="s">
        <v>31</v>
      </c>
      <c r="G32" s="39">
        <f t="shared" si="9"/>
        <v>0</v>
      </c>
      <c r="H32" s="2"/>
    </row>
    <row r="33" ht="15" customHeight="1">
      <c r="A33" s="31" t="s">
        <v>69</v>
      </c>
      <c r="B33" s="38" t="s">
        <v>31</v>
      </c>
      <c r="C33" s="38">
        <f t="shared" si="7"/>
        <v>0</v>
      </c>
      <c r="D33" s="38"/>
      <c r="E33" s="38">
        <f t="shared" si="10"/>
        <v>0</v>
      </c>
      <c r="F33" s="38">
        <f t="shared" si="7"/>
        <v>0</v>
      </c>
      <c r="G33" s="39">
        <f t="shared" si="7"/>
        <v>0</v>
      </c>
      <c r="H33" s="2"/>
    </row>
    <row r="34" ht="15" customHeight="1">
      <c r="A34" s="23" t="s">
        <v>76</v>
      </c>
      <c r="B34" s="15" t="str">
        <f t="shared" si="11" ref="B34:G34">IF(AND(ISNUMBER(B22),ISNUMBER(B28),ISNUMBER(B31)),(1+B22)/((1+B31)*(1+B28))-1,"n/a")</f>
        <v>n/a</v>
      </c>
      <c r="C34" s="15">
        <f t="shared" si="11"/>
        <v>-0.04252701195831898</v>
      </c>
      <c r="D34" s="15" t="str">
        <f t="shared" si="11"/>
        <v>n/a</v>
      </c>
      <c r="E34" s="15">
        <f t="shared" si="11"/>
        <v>0.10635038299975297</v>
      </c>
      <c r="F34" s="15">
        <f t="shared" si="11"/>
        <v>0.22786571577665682</v>
      </c>
      <c r="G34" s="33">
        <f t="shared" si="11"/>
        <v>0.01019746665665311</v>
      </c>
      <c r="H34" s="2"/>
    </row>
    <row r="35" ht="15" customHeight="1">
      <c r="A35" s="31" t="s">
        <v>68</v>
      </c>
      <c r="B35" s="38" t="s">
        <v>31</v>
      </c>
      <c r="C35" s="38" t="s">
        <v>31</v>
      </c>
      <c r="D35" s="38" t="s">
        <v>31</v>
      </c>
      <c r="E35" s="38" t="s">
        <v>31</v>
      </c>
      <c r="F35" s="38" t="s">
        <v>31</v>
      </c>
      <c r="G35" s="39" t="str">
        <f t="shared" si="9"/>
        <v>n/a</v>
      </c>
      <c r="H35" s="2"/>
    </row>
    <row r="36" ht="15" customHeight="1">
      <c r="A36" s="31" t="s">
        <v>69</v>
      </c>
      <c r="B36" s="38" t="s">
        <v>31</v>
      </c>
      <c r="C36" s="38" t="str">
        <f t="shared" si="7"/>
        <v>n/a</v>
      </c>
      <c r="D36" s="38"/>
      <c r="E36" s="38">
        <f t="shared" si="10"/>
        <v>1488.7739495807195</v>
      </c>
      <c r="F36" s="38">
        <f t="shared" si="7"/>
        <v>1215.1533277690385</v>
      </c>
      <c r="G36" s="39">
        <f t="shared" si="7"/>
        <v>-2176.682491200037</v>
      </c>
      <c r="H36" s="2"/>
    </row>
    <row r="37" ht="15" customHeight="1">
      <c r="A37" s="3" t="s">
        <v>77</v>
      </c>
      <c r="B37" s="2"/>
      <c r="C37" s="2"/>
      <c r="D37" s="2"/>
      <c r="E37" s="2"/>
      <c r="F37" s="2"/>
      <c r="G37" s="28"/>
      <c r="H37" s="2"/>
    </row>
    <row r="38" ht="15" customHeight="1">
      <c r="A38" s="29" t="s">
        <v>78</v>
      </c>
      <c r="B38" s="13">
        <f>'Segment - Automotive'!B109</f>
        <v>20359</v>
      </c>
      <c r="C38" s="13">
        <f>'Segment - Automotive'!C109</f>
        <v>16750</v>
      </c>
      <c r="D38" s="13">
        <f>'Segment - Automotive'!D109</f>
        <v>65821</v>
      </c>
      <c r="E38" s="13">
        <f>'Segment - Automotive'!E109</f>
        <v>15473</v>
      </c>
      <c r="F38" s="13">
        <f>'Segment - Automotive'!F109</f>
        <v>20006</v>
      </c>
      <c r="G38" s="30">
        <f>'Segment - Automotive'!G109</f>
        <v>20104.0085808</v>
      </c>
      <c r="H38" s="2"/>
    </row>
    <row r="39" ht="15" customHeight="1">
      <c r="A39" s="31" t="s">
        <v>60</v>
      </c>
      <c r="B39" s="32">
        <f>IF(AND(ISNUMBER(B38),ISNUMBER(Inputs!B158)),IF(Inputs!B158&gt;0,B38/Inputs!B158-1,"n/m"),"n/a")</f>
        <v>0.08114279645265787</v>
      </c>
      <c r="C39" s="32">
        <f>IF(AND(ISNUMBER(C38),ISNUMBER(Inputs!C158)),IF(Inputs!C158&gt;0,C38/Inputs!C158-1,"n/m"),"n/a")</f>
        <v>-0.10230987727102203</v>
      </c>
      <c r="D39" s="32">
        <f>IF(AND(ISNUMBER(D38),ISNUMBER(Inputs!F158)),IF(Inputs!F158&gt;0,D38/Inputs!F158-1,"n/m"),"n/a")</f>
        <v>-0.09187362030905077</v>
      </c>
      <c r="E39" s="32">
        <f>IF(AND(ISNUMBER(E38),ISNUMBER(Inputs!D158)),IF(Inputs!D158&gt;0,E38/Inputs!D158-1,"n/m"),"n/a")</f>
        <v>0.19713733075435202</v>
      </c>
      <c r="F39" s="32">
        <f>IF(AND(ISNUMBER(F38),ISNUMBER(Inputs!E158)),IF(Inputs!E158&gt;0,F38/Inputs!E158-1,"n/m"),"n/a")</f>
        <v>0.2672452017482738</v>
      </c>
      <c r="G39" s="33">
        <f t="shared" si="2"/>
        <v>-0.012524751667567169</v>
      </c>
      <c r="H39" s="2"/>
    </row>
    <row r="40" ht="15" customHeight="1">
      <c r="A40" s="31" t="s">
        <v>61</v>
      </c>
      <c r="B40" s="32">
        <f>IF(AND(ISNUMBER(B38),ISNUMBER(Inputs!E158)),IF(Inputs!E158&gt;0,B38/Inputs!E158-1,"n/m"),"n/a")</f>
        <v>0.289605371508203</v>
      </c>
      <c r="C40" s="15">
        <f t="shared" si="0"/>
        <v>-0.17726803870524088</v>
      </c>
      <c r="D40" s="15"/>
      <c r="E40" s="15">
        <f t="shared" si="3"/>
        <v>-0.0762388059701492</v>
      </c>
      <c r="F40" s="15">
        <f t="shared" si="0"/>
        <v>0.2929619336909455</v>
      </c>
      <c r="G40" s="33">
        <f t="shared" si="0"/>
        <v>0.004898959352194421</v>
      </c>
      <c r="H40" s="2"/>
    </row>
    <row r="41" ht="15" customHeight="1">
      <c r="A41" s="31" t="s">
        <v>62</v>
      </c>
      <c r="B41" s="15">
        <f t="shared" si="12" ref="B41:G41">IF(AND(ISNUMBER(B38),ISNUMBER(B17)),B38/B17,"n/a")</f>
        <v>0.7246485139704574</v>
      </c>
      <c r="C41" s="15">
        <f t="shared" si="12"/>
        <v>0.6726637484438376</v>
      </c>
      <c r="D41" s="15">
        <f t="shared" si="12"/>
        <v>0.6941166545393189</v>
      </c>
      <c r="E41" s="15">
        <f t="shared" si="12"/>
        <v>0.6911600482422835</v>
      </c>
      <c r="F41" s="15">
        <f t="shared" si="12"/>
        <v>0.7085281201303301</v>
      </c>
      <c r="G41" s="33">
        <f t="shared" si="12"/>
        <v>0.7033422195580157</v>
      </c>
      <c r="H41" s="2"/>
    </row>
    <row r="42" ht="15" customHeight="1">
      <c r="A42" s="29" t="s">
        <v>79</v>
      </c>
      <c r="B42" s="13">
        <f>'Segment - Automotive'!B115</f>
        <v>417</v>
      </c>
      <c r="C42" s="13">
        <f>'Segment - Automotive'!C115</f>
        <v>542</v>
      </c>
      <c r="D42" s="13">
        <f>'Segment - Automotive'!D115</f>
        <v>1993</v>
      </c>
      <c r="E42" s="13">
        <f>'Segment - Automotive'!E115</f>
        <v>380</v>
      </c>
      <c r="F42" s="13">
        <f>'Segment - Automotive'!F115</f>
        <v>146</v>
      </c>
      <c r="G42" s="30">
        <f>'Segment - Automotive'!G115</f>
        <v>150</v>
      </c>
      <c r="H42" s="2"/>
    </row>
    <row r="43" ht="15" customHeight="1">
      <c r="A43" s="31" t="s">
        <v>60</v>
      </c>
      <c r="B43" s="32">
        <f>IF(AND(ISNUMBER(B42),ISNUMBER(Inputs!B159)),IF(Inputs!B159&gt;0,B42/Inputs!B159-1,"n/m"),"n/a")</f>
        <v>-0.435723951285521</v>
      </c>
      <c r="C43" s="32">
        <f>IF(AND(ISNUMBER(C42),ISNUMBER(Inputs!C159)),IF(Inputs!C159&gt;0,C42/Inputs!C159-1,"n/m"),"n/a")</f>
        <v>-0.2167630057803468</v>
      </c>
      <c r="D43" s="32">
        <f>IF(AND(ISNUMBER(D42),ISNUMBER(Inputs!F159)),IF(Inputs!F159&gt;0,D42/Inputs!F159-1,"n/m"),"n/a")</f>
        <v>-0.27868259138617446</v>
      </c>
      <c r="E43" s="32">
        <f>IF(AND(ISNUMBER(E42),ISNUMBER(Inputs!D159)),IF(Inputs!D159&gt;0,E42/Inputs!D159-1,"n/m"),"n/a")</f>
        <v>-0.3613445378151261</v>
      </c>
      <c r="F43" s="32">
        <f>IF(AND(ISNUMBER(F42),ISNUMBER(Inputs!E159)),IF(Inputs!E159&gt;0,F42/Inputs!E159-1,"n/m"),"n/a")</f>
        <v>-0.6674259681093394</v>
      </c>
      <c r="G43" s="33">
        <f t="shared" si="2"/>
        <v>-0.6402877697841727</v>
      </c>
      <c r="H43" s="2"/>
    </row>
    <row r="44" ht="15" customHeight="1">
      <c r="A44" s="31" t="s">
        <v>61</v>
      </c>
      <c r="B44" s="32">
        <f>IF(AND(ISNUMBER(B42),ISNUMBER(Inputs!E159)),IF(Inputs!E159&gt;0,B42/Inputs!E159-1,"n/m"),"n/a")</f>
        <v>-0.05011389521640086</v>
      </c>
      <c r="C44" s="15">
        <f t="shared" si="0"/>
        <v>0.2997601918465227</v>
      </c>
      <c r="D44" s="15"/>
      <c r="E44" s="15">
        <f t="shared" si="3"/>
        <v>-0.29889298892988925</v>
      </c>
      <c r="F44" s="15">
        <f t="shared" si="0"/>
        <v>-0.6157894736842106</v>
      </c>
      <c r="G44" s="33">
        <f t="shared" si="0"/>
        <v>0.027397260273972712</v>
      </c>
      <c r="H44" s="2"/>
    </row>
    <row r="45" ht="15" customHeight="1">
      <c r="A45" s="31" t="s">
        <v>62</v>
      </c>
      <c r="B45" s="15">
        <f t="shared" si="13" ref="B45:G45">IF(AND(ISNUMBER(B42),ISNUMBER(B17)),B42/B17,"n/a")</f>
        <v>0.014842498665242926</v>
      </c>
      <c r="C45" s="15">
        <f t="shared" si="13"/>
        <v>0.02176619412874985</v>
      </c>
      <c r="D45" s="15">
        <f t="shared" si="13"/>
        <v>0.02101722083372879</v>
      </c>
      <c r="E45" s="15">
        <f t="shared" si="13"/>
        <v>0.016974136775807388</v>
      </c>
      <c r="F45" s="15">
        <f t="shared" si="13"/>
        <v>0.00517070406573169</v>
      </c>
      <c r="G45" s="33">
        <f t="shared" si="13"/>
        <v>0.005247775960186351</v>
      </c>
      <c r="H45" s="2"/>
    </row>
    <row r="46" ht="15" customHeight="1">
      <c r="A46" s="29" t="s">
        <v>80</v>
      </c>
      <c r="B46" s="13">
        <f>'Segment - Automotive'!B124</f>
        <v>429</v>
      </c>
      <c r="C46" s="13">
        <f>'Segment - Automotive'!C124</f>
        <v>401</v>
      </c>
      <c r="D46" s="13">
        <f>'Segment - Automotive'!D124</f>
        <v>1712</v>
      </c>
      <c r="E46" s="13">
        <f>'Segment - Automotive'!E124</f>
        <v>381</v>
      </c>
      <c r="F46" s="13">
        <f>'Segment - Automotive'!F124</f>
        <v>364</v>
      </c>
      <c r="G46" s="30">
        <f>'Segment - Automotive'!G124</f>
        <v>334.26105825</v>
      </c>
      <c r="H46" s="2"/>
    </row>
    <row r="47" ht="15" customHeight="1">
      <c r="A47" s="31" t="s">
        <v>60</v>
      </c>
      <c r="B47" s="32">
        <f>IF(AND(ISNUMBER(B46),ISNUMBER(Inputs!B160)),IF(Inputs!B160&gt;0,B46/Inputs!B160-1,"n/m"),"n/a")</f>
        <v>-0.03811659192825112</v>
      </c>
      <c r="C47" s="32">
        <f>IF(AND(ISNUMBER(C46),ISNUMBER(Inputs!C160)),IF(Inputs!C160&gt;0,C46/Inputs!C160-1,"n/m"),"n/a")</f>
        <v>-0.1029082774049217</v>
      </c>
      <c r="D47" s="32">
        <f>IF(AND(ISNUMBER(D46),ISNUMBER(Inputs!F160)),IF(Inputs!F160&gt;0,D46/Inputs!F160-1,"n/m"),"n/a")</f>
        <v>-0.06294471811713187</v>
      </c>
      <c r="E47" s="32">
        <f>IF(AND(ISNUMBER(E46),ISNUMBER(Inputs!D160)),IF(Inputs!D160&gt;0,E46/Inputs!D160-1,"n/m"),"n/a")</f>
        <v>-0.1476510067114094</v>
      </c>
      <c r="F47" s="32">
        <f>IF(AND(ISNUMBER(F46),ISNUMBER(Inputs!E160)),IF(Inputs!E160&gt;0,F46/Inputs!E160-1,"n/m"),"n/a")</f>
        <v>-0.16321839080459766</v>
      </c>
      <c r="G47" s="33">
        <f t="shared" si="2"/>
        <v>-0.22083669405594397</v>
      </c>
      <c r="H47" s="2"/>
    </row>
    <row r="48" ht="15" customHeight="1">
      <c r="A48" s="31" t="s">
        <v>61</v>
      </c>
      <c r="B48" s="32">
        <f>IF(AND(ISNUMBER(B46),ISNUMBER(Inputs!E160)),IF(Inputs!E160&gt;0,B46/Inputs!E160-1,"n/m"),"n/a")</f>
        <v>-0.01379310344827589</v>
      </c>
      <c r="C48" s="15">
        <f t="shared" si="0"/>
        <v>-0.06526806526806528</v>
      </c>
      <c r="D48" s="15"/>
      <c r="E48" s="15">
        <f t="shared" si="3"/>
        <v>-0.04987531172069826</v>
      </c>
      <c r="F48" s="15">
        <f t="shared" si="0"/>
        <v>-0.044619422572178435</v>
      </c>
      <c r="G48" s="33">
        <f t="shared" si="0"/>
        <v>-0.08170038942307689</v>
      </c>
      <c r="H48" s="2"/>
    </row>
    <row r="49" ht="15" customHeight="1">
      <c r="A49" s="31" t="s">
        <v>62</v>
      </c>
      <c r="B49" s="15">
        <f t="shared" si="14" ref="B49:G49">IF(AND(ISNUMBER(B46),ISNUMBER(B17)),B46/B17,"n/a")</f>
        <v>0.015269620928990923</v>
      </c>
      <c r="C49" s="15">
        <f t="shared" si="14"/>
        <v>0.01610377093289426</v>
      </c>
      <c r="D49" s="15">
        <f t="shared" si="14"/>
        <v>0.018053929787929596</v>
      </c>
      <c r="E49" s="15">
        <f t="shared" si="14"/>
        <v>0.017018805556796354</v>
      </c>
      <c r="F49" s="15">
        <f t="shared" si="14"/>
        <v>0.01289134438305709</v>
      </c>
      <c r="G49" s="33">
        <f t="shared" si="14"/>
        <v>0.011694180972738664</v>
      </c>
      <c r="H49" s="2"/>
    </row>
    <row r="50" ht="15" customHeight="1">
      <c r="A50" s="29" t="s">
        <v>81</v>
      </c>
      <c r="B50" s="13">
        <f>'Segment - Automotive'!B139</f>
        <v>3475</v>
      </c>
      <c r="C50" s="13">
        <f>'Segment - Automotive'!C139</f>
        <v>3371</v>
      </c>
      <c r="D50" s="13">
        <f>'Segment - Automotive'!D139</f>
        <v>12530</v>
      </c>
      <c r="E50" s="13">
        <f>'Segment - Automotive'!E139</f>
        <v>3745</v>
      </c>
      <c r="F50" s="13">
        <f>'Segment - Automotive'!F139</f>
        <v>4581</v>
      </c>
      <c r="G50" s="30">
        <f>'Segment - Automotive'!G139</f>
        <v>4772.76768</v>
      </c>
      <c r="H50" s="2"/>
    </row>
    <row r="51" ht="15" customHeight="1">
      <c r="A51" s="31" t="s">
        <v>60</v>
      </c>
      <c r="B51" s="32">
        <f>IF(AND(ISNUMBER(B50),ISNUMBER(Inputs!B161)),IF(Inputs!B161&gt;0,B50/Inputs!B161-1,"n/m"),"n/a")</f>
        <v>0.24551971326164868</v>
      </c>
      <c r="C51" s="32">
        <f>IF(AND(ISNUMBER(C50),ISNUMBER(Inputs!C161)),IF(Inputs!C161&gt;0,C50/Inputs!C161-1,"n/m"),"n/a")</f>
        <v>0.1836376404494382</v>
      </c>
      <c r="D51" s="32">
        <f>IF(AND(ISNUMBER(D50),ISNUMBER(Inputs!F161)),IF(Inputs!F161&gt;0,D50/Inputs!F161-1,"n/m"),"n/a")</f>
        <v>0.18948167837478636</v>
      </c>
      <c r="E51" s="32">
        <f>IF(AND(ISNUMBER(E50),ISNUMBER(Inputs!D161)),IF(Inputs!D161&gt;0,E50/Inputs!D161-1,"n/m"),"n/a")</f>
        <v>0.4196360879454133</v>
      </c>
      <c r="F51" s="32">
        <f>IF(AND(ISNUMBER(F50),ISNUMBER(Inputs!E161)),IF(Inputs!E161&gt;0,F50/Inputs!E161-1,"n/m"),"n/a")</f>
        <v>0.5039395929087327</v>
      </c>
      <c r="G51" s="33">
        <f t="shared" si="2"/>
        <v>0.373458325179856</v>
      </c>
      <c r="H51" s="2"/>
    </row>
    <row r="52" ht="15" customHeight="1">
      <c r="A52" s="31" t="s">
        <v>61</v>
      </c>
      <c r="B52" s="32">
        <f>IF(AND(ISNUMBER(B50),ISNUMBER(Inputs!E161)),IF(Inputs!E161&gt;0,B50/Inputs!E161-1,"n/m"),"n/a")</f>
        <v>0.1408404464871964</v>
      </c>
      <c r="C52" s="15">
        <f t="shared" si="0"/>
        <v>-0.02992805755395689</v>
      </c>
      <c r="D52" s="15"/>
      <c r="E52" s="15">
        <f t="shared" si="3"/>
        <v>0.11094630673390693</v>
      </c>
      <c r="F52" s="15">
        <f t="shared" si="0"/>
        <v>0.2232309746328438</v>
      </c>
      <c r="G52" s="33">
        <f t="shared" si="0"/>
        <v>0.04186153241650303</v>
      </c>
      <c r="H52" s="2"/>
    </row>
    <row r="53" ht="15" customHeight="1">
      <c r="A53" s="31" t="s">
        <v>62</v>
      </c>
      <c r="B53" s="15">
        <f t="shared" si="15" ref="B53:G53">IF(AND(ISNUMBER(B50),ISNUMBER(B17)),B50/B17,"n/a")</f>
        <v>0.12368748887702438</v>
      </c>
      <c r="C53" s="15">
        <f t="shared" si="15"/>
        <v>0.13537608931368217</v>
      </c>
      <c r="D53" s="15">
        <f t="shared" si="15"/>
        <v>0.13213536229133052</v>
      </c>
      <c r="E53" s="15">
        <f t="shared" si="15"/>
        <v>0.16728458480368072</v>
      </c>
      <c r="F53" s="15">
        <f t="shared" si="15"/>
        <v>0.16223969400764982</v>
      </c>
      <c r="G53" s="33">
        <f t="shared" si="15"/>
        <v>0.16697610329772253</v>
      </c>
      <c r="H53" s="2"/>
    </row>
    <row r="54" ht="15" customHeight="1">
      <c r="A54" s="29" t="s">
        <v>82</v>
      </c>
      <c r="B54" s="13">
        <f>'Segment - Energy'!B16</f>
        <v>3281</v>
      </c>
      <c r="C54" s="13">
        <f>'Segment - Energy'!C16</f>
        <v>3722</v>
      </c>
      <c r="D54" s="13">
        <f>'Segment - Energy'!D16</f>
        <v>12270</v>
      </c>
      <c r="E54" s="13">
        <f>'Segment - Energy'!E16</f>
        <v>2305</v>
      </c>
      <c r="F54" s="13">
        <f>'Segment - Energy'!F16</f>
        <v>2998</v>
      </c>
      <c r="G54" s="30">
        <f>'Segment - Energy'!G16</f>
        <v>3082.5</v>
      </c>
      <c r="H54" s="2"/>
    </row>
    <row r="55" ht="15" customHeight="1">
      <c r="A55" s="31" t="s">
        <v>60</v>
      </c>
      <c r="B55" s="32">
        <f>IF(AND(ISNUMBER(B54),ISNUMBER(Inputs!B162)),IF(Inputs!B162&gt;0,B54/Inputs!B162-1,"n/m"),"n/a")</f>
        <v>0.4726211849192101</v>
      </c>
      <c r="C55" s="32">
        <f>IF(AND(ISNUMBER(C54),ISNUMBER(Inputs!C162)),IF(Inputs!C162&gt;0,C54/Inputs!C162-1,"n/m"),"n/a")</f>
        <v>0.2625508819538671</v>
      </c>
      <c r="D55" s="32">
        <f>IF(AND(ISNUMBER(D54),ISNUMBER(Inputs!F162)),IF(Inputs!F162&gt;0,D54/Inputs!F162-1,"n/m"),"n/a")</f>
        <v>0.28293601003764124</v>
      </c>
      <c r="E55" s="32">
        <f>IF(AND(ISNUMBER(E54),ISNUMBER(Inputs!D162)),IF(Inputs!D162&gt;0,E54/Inputs!D162-1,"n/m"),"n/a")</f>
        <v>-0.12056466997329263</v>
      </c>
      <c r="F55" s="32">
        <f>IF(AND(ISNUMBER(F54),ISNUMBER(Inputs!E162)),IF(Inputs!E162&gt;0,F54/Inputs!E162-1,"n/m"),"n/a")</f>
        <v>0.13303099017384734</v>
      </c>
      <c r="G55" s="33">
        <f t="shared" si="2"/>
        <v>-0.06049984760743676</v>
      </c>
      <c r="H55" s="2"/>
    </row>
    <row r="56" ht="15" customHeight="1">
      <c r="A56" s="31" t="s">
        <v>61</v>
      </c>
      <c r="B56" s="32">
        <f>IF(AND(ISNUMBER(B54),ISNUMBER(Inputs!E162)),IF(Inputs!E162&gt;0,B54/Inputs!E162-1,"n/m"),"n/a")</f>
        <v>0.23998488284202568</v>
      </c>
      <c r="C56" s="15">
        <f t="shared" si="0"/>
        <v>0.13441024078024988</v>
      </c>
      <c r="D56" s="15"/>
      <c r="E56" s="15">
        <f t="shared" si="3"/>
        <v>-0.3807092960773778</v>
      </c>
      <c r="F56" s="15">
        <f t="shared" si="0"/>
        <v>0.300650759219089</v>
      </c>
      <c r="G56" s="33">
        <f t="shared" si="0"/>
        <v>0.02818545697131425</v>
      </c>
      <c r="H56" s="2"/>
    </row>
    <row r="57" ht="15" customHeight="1">
      <c r="A57" s="31" t="s">
        <v>62</v>
      </c>
      <c r="B57" s="15">
        <f t="shared" si="16" ref="B57:G57">IF(AND(ISNUMBER(B54),ISNUMBER(B17)),B54/B17,"n/a")</f>
        <v>0.11678234561309841</v>
      </c>
      <c r="C57" s="15">
        <f t="shared" si="16"/>
        <v>0.14947190875868438</v>
      </c>
      <c r="D57" s="15">
        <f t="shared" si="16"/>
        <v>0.1293935271599861</v>
      </c>
      <c r="E57" s="15">
        <f t="shared" si="16"/>
        <v>0.1029615401795685</v>
      </c>
      <c r="F57" s="15">
        <f t="shared" si="16"/>
        <v>0.10617651225386032</v>
      </c>
      <c r="G57" s="33">
        <f t="shared" si="16"/>
        <v>0.10784179598182951</v>
      </c>
      <c r="H57" s="2"/>
    </row>
    <row r="58" ht="15" customHeight="1">
      <c r="A58" s="29" t="s">
        <v>83</v>
      </c>
      <c r="B58" s="13">
        <f>'Segment - Energy'!B22</f>
        <v>134</v>
      </c>
      <c r="C58" s="13">
        <f>'Segment - Energy'!C22</f>
        <v>115</v>
      </c>
      <c r="D58" s="13">
        <f>'Segment - Energy'!D22</f>
        <v>501</v>
      </c>
      <c r="E58" s="13">
        <f>'Segment - Energy'!E22</f>
        <v>103</v>
      </c>
      <c r="F58" s="13">
        <f>'Segment - Energy'!F22</f>
        <v>141</v>
      </c>
      <c r="G58" s="30">
        <f>'Segment - Energy'!G22</f>
        <v>140</v>
      </c>
      <c r="H58" s="2"/>
    </row>
    <row r="59" ht="15" customHeight="1">
      <c r="A59" s="31" t="s">
        <v>60</v>
      </c>
      <c r="B59" s="32">
        <f>IF(AND(ISNUMBER(B58),ISNUMBER(Inputs!B163)),IF(Inputs!B163&gt;0,B58/Inputs!B163-1,"n/m"),"n/a")</f>
        <v>-0.09459459459459463</v>
      </c>
      <c r="C59" s="32">
        <f>IF(AND(ISNUMBER(C58),ISNUMBER(Inputs!C163)),IF(Inputs!C163&gt;0,C58/Inputs!C163-1,"n/m"),"n/a")</f>
        <v>0.017699115044247815</v>
      </c>
      <c r="D59" s="32">
        <f>IF(AND(ISNUMBER(D58),ISNUMBER(Inputs!F163)),IF(Inputs!F163&gt;0,D58/Inputs!F163-1,"n/m"),"n/a")</f>
        <v>-0.04022988505747127</v>
      </c>
      <c r="E59" s="32">
        <f>IF(AND(ISNUMBER(E58),ISNUMBER(Inputs!D163)),IF(Inputs!D163&gt;0,E58/Inputs!D163-1,"n/m"),"n/a")</f>
        <v>-0.05504587155963303</v>
      </c>
      <c r="F59" s="32">
        <f>IF(AND(ISNUMBER(F58),ISNUMBER(Inputs!E163)),IF(Inputs!E163&gt;0,F58/Inputs!E163-1,"n/m"),"n/a")</f>
        <v>-0.013986013986013957</v>
      </c>
      <c r="G59" s="33">
        <f t="shared" si="2"/>
        <v>0.04477611940298498</v>
      </c>
      <c r="H59" s="2"/>
    </row>
    <row r="60" ht="15" customHeight="1">
      <c r="A60" s="31" t="s">
        <v>61</v>
      </c>
      <c r="B60" s="32">
        <f>IF(AND(ISNUMBER(B58),ISNUMBER(Inputs!E163)),IF(Inputs!E163&gt;0,B58/Inputs!E163-1,"n/m"),"n/a")</f>
        <v>-0.06293706293706292</v>
      </c>
      <c r="C60" s="15">
        <f t="shared" si="0"/>
        <v>-0.14179104477611937</v>
      </c>
      <c r="D60" s="15"/>
      <c r="E60" s="15">
        <f t="shared" si="3"/>
        <v>-0.10434782608695647</v>
      </c>
      <c r="F60" s="15">
        <f t="shared" si="0"/>
        <v>0.3689320388349515</v>
      </c>
      <c r="G60" s="33">
        <f t="shared" si="0"/>
        <v>-0.007092198581560294</v>
      </c>
      <c r="H60" s="2"/>
    </row>
    <row r="61" ht="15" customHeight="1">
      <c r="A61" s="31" t="s">
        <v>62</v>
      </c>
      <c r="B61" s="15">
        <f t="shared" si="17" ref="B61:G61">IF(AND(ISNUMBER(B58),ISNUMBER(B17)),B58/B17,"n/a")</f>
        <v>0.004769531945185976</v>
      </c>
      <c r="C61" s="15">
        <f t="shared" si="17"/>
        <v>0.004618288422151721</v>
      </c>
      <c r="D61" s="15">
        <f t="shared" si="17"/>
        <v>0.005283305387706033</v>
      </c>
      <c r="E61" s="15">
        <f t="shared" si="17"/>
        <v>0.004600884441863582</v>
      </c>
      <c r="F61" s="15">
        <f t="shared" si="17"/>
        <v>0.004993625159371015</v>
      </c>
      <c r="G61" s="33">
        <f t="shared" si="17"/>
        <v>0.004897924229507261</v>
      </c>
      <c r="H61" s="2"/>
    </row>
    <row r="62" ht="15" customHeight="1">
      <c r="A62" s="3" t="s">
        <v>84</v>
      </c>
      <c r="B62" s="34">
        <f t="shared" si="18" ref="B62:G62">B38+B42+B46+B50+B54+B58</f>
        <v>28095</v>
      </c>
      <c r="C62" s="34">
        <f t="shared" si="18"/>
        <v>24901</v>
      </c>
      <c r="D62" s="34">
        <f t="shared" si="18"/>
        <v>94827</v>
      </c>
      <c r="E62" s="34">
        <f t="shared" si="18"/>
        <v>22387</v>
      </c>
      <c r="F62" s="34">
        <f t="shared" si="18"/>
        <v>28236</v>
      </c>
      <c r="G62" s="35">
        <f t="shared" si="18"/>
        <v>28583.53731905</v>
      </c>
      <c r="H62" s="2"/>
    </row>
    <row r="63" ht="15" customHeight="1">
      <c r="A63" s="23" t="s">
        <v>72</v>
      </c>
      <c r="B63" s="24">
        <f>IF(AND(ISNUMBER(B62),ISNUMBER(Inputs!B164)),B62-Inputs!B164,"n/a")</f>
        <v>2913</v>
      </c>
      <c r="C63" s="24">
        <f>IF(AND(ISNUMBER(C62),ISNUMBER(Inputs!C164)),C62-Inputs!C164,"n/a")</f>
        <v>-806</v>
      </c>
      <c r="D63" s="24">
        <f>IF(AND(ISNUMBER(D62),ISNUMBER(Inputs!F164)),D62-Inputs!F164,"n/a")</f>
        <v>-2863</v>
      </c>
      <c r="E63" s="24">
        <f>IF(AND(ISNUMBER(E62),ISNUMBER(Inputs!D164)),E62-Inputs!D164,"n/a")</f>
        <v>3052</v>
      </c>
      <c r="F63" s="24">
        <f>IF(AND(ISNUMBER(F62),ISNUMBER(Inputs!E164)),F62-Inputs!E164,"n/a")</f>
        <v>5740</v>
      </c>
      <c r="G63" s="37">
        <f t="shared" si="19"/>
        <v>488.5373190499995</v>
      </c>
      <c r="H63" s="2"/>
    </row>
    <row r="64" ht="15" customHeight="1">
      <c r="A64" s="23" t="s">
        <v>65</v>
      </c>
      <c r="B64" s="24">
        <f>IF(AND(ISNUMBER(B62),ISNUMBER(Inputs!E164)),B62-Inputs!E164,"n/a")</f>
        <v>5599</v>
      </c>
      <c r="C64" s="36">
        <f t="shared" si="8"/>
        <v>-3194</v>
      </c>
      <c r="D64" s="36"/>
      <c r="E64" s="36">
        <f t="shared" si="20"/>
        <v>-2514</v>
      </c>
      <c r="F64" s="36">
        <f t="shared" si="8"/>
        <v>5849</v>
      </c>
      <c r="G64" s="37">
        <f t="shared" si="8"/>
        <v>347.5373190499995</v>
      </c>
      <c r="H64" s="2"/>
    </row>
    <row r="65" ht="15" customHeight="1">
      <c r="A65" s="23" t="s">
        <v>85</v>
      </c>
      <c r="B65" s="24">
        <f>ABS(B17-'Income Statement'!B27)+ABS(B62-'Income Statement'!B27)</f>
        <v>0</v>
      </c>
      <c r="C65" s="24">
        <f>ABS(C17-'Income Statement'!C27)+ABS(C62-'Income Statement'!C27)</f>
        <v>0</v>
      </c>
      <c r="D65" s="24">
        <f>ABS(D17-'Income Statement'!D27)+ABS(D62-'Income Statement'!D27)</f>
        <v>0</v>
      </c>
      <c r="E65" s="24">
        <f>ABS(E17-'Income Statement'!E27)+ABS(E62-'Income Statement'!E27)</f>
        <v>0</v>
      </c>
      <c r="F65" s="24">
        <f>ABS(F17-'Income Statement'!F27)+ABS(F62-'Income Statement'!F27)</f>
        <v>0</v>
      </c>
      <c r="G65" s="44">
        <f>ABS(G17-'Income Statement'!G27)+ABS(G62-'Income Statement'!G27)</f>
        <v>0</v>
      </c>
      <c r="H65" s="2"/>
    </row>
    <row r="66" ht="15" customHeight="1">
      <c r="A66" s="2" t="s">
        <v>86</v>
      </c>
      <c r="B66" s="2"/>
      <c r="C66" s="2"/>
      <c r="D66" s="2"/>
      <c r="E66" s="2"/>
      <c r="F66" s="2"/>
      <c r="G66" s="28"/>
      <c r="H66" s="2" t="s">
        <v>87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ECA0426-C814-2248-F82C-6F84857B481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88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89</v>
      </c>
      <c r="B8" s="2"/>
      <c r="C8" s="2"/>
      <c r="D8" s="2"/>
      <c r="E8" s="2"/>
      <c r="F8" s="2"/>
      <c r="G8" s="28"/>
      <c r="H8" s="2"/>
    </row>
    <row r="9" ht="15" customHeight="1">
      <c r="A9" s="29" t="s">
        <v>90</v>
      </c>
      <c r="B9" s="45">
        <v>435826</v>
      </c>
      <c r="C9" s="45">
        <v>422652</v>
      </c>
      <c r="D9" s="46">
        <f>Inputs!D165+Inputs!E165+B9+C9</f>
        <v>1600767</v>
      </c>
      <c r="E9" s="45">
        <v>394611</v>
      </c>
      <c r="F9" s="45">
        <v>442936</v>
      </c>
      <c r="G9" s="47">
        <v>457387</v>
      </c>
      <c r="H9" s="2"/>
    </row>
    <row r="10" ht="15" customHeight="1">
      <c r="A10" s="31" t="s">
        <v>60</v>
      </c>
      <c r="B10" s="32">
        <f>IF(AND(ISNUMBER(B9),ISNUMBER(Inputs!B165)),IF(Inputs!B165&gt;0,B9/Inputs!B165-1,"n/m"),"n/a")</f>
        <v>-0.017675378886915394</v>
      </c>
      <c r="C10" s="32">
        <f>IF(AND(ISNUMBER(C9),ISNUMBER(Inputs!C165)),IF(Inputs!C165&gt;0,C9/Inputs!C165-1,"n/m"),"n/a")</f>
        <v>-0.032208427406243856</v>
      </c>
      <c r="D10" s="32">
        <f>IF(AND(ISNUMBER(D9),ISNUMBER(Inputs!F165)),IF(Inputs!F165&gt;0,D9/Inputs!F165-1,"n/m"),"n/a")</f>
        <v>-0.046786888643024827</v>
      </c>
      <c r="E10" s="32">
        <f>IF(AND(ISNUMBER(E9),ISNUMBER(Inputs!D165)),IF(Inputs!D165&gt;0,E9/Inputs!D165-1,"n/m"),"n/a")</f>
        <v>0.14229680362653196</v>
      </c>
      <c r="F10" s="32">
        <f>IF(AND(ISNUMBER(F9),ISNUMBER(Inputs!E165)),IF(Inputs!E165&gt;0,F9/Inputs!E165-1,"n/m"),"n/a")</f>
        <v>0.11617170864465076</v>
      </c>
      <c r="G10" s="33">
        <f t="shared" si="1" ref="G10:G207">IF(AND(ISNUMBER(G9),ISNUMBER(B9)),IF(B9&gt;0,G9/B9-1,"n/m"),"n/a")</f>
        <v>0.04947157810685909</v>
      </c>
      <c r="H10" s="2"/>
    </row>
    <row r="11" ht="15" customHeight="1">
      <c r="A11" s="31" t="s">
        <v>65</v>
      </c>
      <c r="B11" s="48">
        <f>IF(AND(ISNUMBER(B9),ISNUMBER(Inputs!E165)),B9-Inputs!E165,"n/a")</f>
        <v>38991</v>
      </c>
      <c r="C11" s="38">
        <f t="shared" si="0" ref="C11:G211">IF(AND(ISNUMBER(C9),ISNUMBER(B9)),C9-B9,"n/a")</f>
        <v>-13174</v>
      </c>
      <c r="D11" s="38"/>
      <c r="E11" s="38">
        <f t="shared" si="2" ref="E11:E211">IF(AND(ISNUMBER(E9),ISNUMBER(C9)),E9-C9,"n/a")</f>
        <v>-28041</v>
      </c>
      <c r="F11" s="38">
        <f t="shared" si="0"/>
        <v>48325</v>
      </c>
      <c r="G11" s="39">
        <f t="shared" si="0"/>
        <v>14451</v>
      </c>
      <c r="H11" s="2"/>
    </row>
    <row r="12" ht="15" customHeight="1">
      <c r="A12" s="29" t="s">
        <v>91</v>
      </c>
      <c r="B12" s="45">
        <v>11624</v>
      </c>
      <c r="C12" s="45">
        <v>11706</v>
      </c>
      <c r="D12" s="46">
        <f>Inputs!D166+Inputs!E166+B12+C12</f>
        <v>53900</v>
      </c>
      <c r="E12" s="45">
        <v>13775</v>
      </c>
      <c r="F12" s="45">
        <v>8822</v>
      </c>
      <c r="G12" s="47">
        <v>7004</v>
      </c>
      <c r="H12" s="2"/>
    </row>
    <row r="13" ht="15" customHeight="1">
      <c r="A13" s="31" t="s">
        <v>60</v>
      </c>
      <c r="B13" s="32">
        <f>IF(AND(ISNUMBER(B12),ISNUMBER(Inputs!B166)),IF(Inputs!B166&gt;0,B12/Inputs!B166-1,"n/m"),"n/a")</f>
        <v>-0.5551132884262094</v>
      </c>
      <c r="C13" s="32">
        <f>IF(AND(ISNUMBER(C12),ISNUMBER(Inputs!C166)),IF(Inputs!C166&gt;0,C12/Inputs!C166-1,"n/m"),"n/a")</f>
        <v>-0.48492981915782984</v>
      </c>
      <c r="D13" s="32">
        <f>IF(AND(ISNUMBER(D12),ISNUMBER(Inputs!F166)),IF(Inputs!F166&gt;0,D12/Inputs!F166-1,"n/m"),"n/a")</f>
        <v>-0.42723553477498544</v>
      </c>
      <c r="E13" s="32">
        <f>IF(AND(ISNUMBER(E12),ISNUMBER(Inputs!D166)),IF(Inputs!D166&gt;0,E12/Inputs!D166-1,"n/m"),"n/a")</f>
        <v>-0.19730784919293742</v>
      </c>
      <c r="F13" s="32">
        <f>IF(AND(ISNUMBER(F12),ISNUMBER(Inputs!E166)),IF(Inputs!E166&gt;0,F12/Inputs!E166-1,"n/m"),"n/a")</f>
        <v>-0.3420836751435603</v>
      </c>
      <c r="G13" s="33">
        <f t="shared" si="1"/>
        <v>-0.3974535443909153</v>
      </c>
      <c r="H13" s="2"/>
    </row>
    <row r="14" ht="15" customHeight="1">
      <c r="A14" s="31" t="s">
        <v>65</v>
      </c>
      <c r="B14" s="48">
        <f>IF(AND(ISNUMBER(B12),ISNUMBER(Inputs!E166)),B12-Inputs!E166,"n/a")</f>
        <v>-1785</v>
      </c>
      <c r="C14" s="38">
        <f t="shared" si="0"/>
        <v>82</v>
      </c>
      <c r="D14" s="38"/>
      <c r="E14" s="38">
        <f t="shared" si="2"/>
        <v>2069</v>
      </c>
      <c r="F14" s="38">
        <f t="shared" si="0"/>
        <v>-4953</v>
      </c>
      <c r="G14" s="39">
        <f t="shared" si="0"/>
        <v>-1818</v>
      </c>
      <c r="H14" s="2"/>
    </row>
    <row r="15" ht="15" customHeight="1">
      <c r="A15" s="3" t="s">
        <v>92</v>
      </c>
      <c r="B15" s="49">
        <f t="shared" si="3" ref="B15:G102">B9+B12</f>
        <v>447450</v>
      </c>
      <c r="C15" s="49">
        <f t="shared" si="3"/>
        <v>434358</v>
      </c>
      <c r="D15" s="49">
        <f t="shared" si="3"/>
        <v>1654667</v>
      </c>
      <c r="E15" s="49">
        <f t="shared" si="3"/>
        <v>408386</v>
      </c>
      <c r="F15" s="49">
        <f t="shared" si="3"/>
        <v>451758</v>
      </c>
      <c r="G15" s="50">
        <f t="shared" si="3"/>
        <v>464391</v>
      </c>
      <c r="H15" s="2"/>
    </row>
    <row r="16" ht="15" customHeight="1">
      <c r="A16" s="23" t="s">
        <v>60</v>
      </c>
      <c r="B16" s="32">
        <f>IF(AND(ISNUMBER(B15),ISNUMBER(Inputs!B167)),IF(Inputs!B167&gt;0,B15/Inputs!B167-1,"n/m"),"n/a")</f>
        <v>-0.04756532622670262</v>
      </c>
      <c r="C16" s="32">
        <f>IF(AND(ISNUMBER(C15),ISNUMBER(Inputs!C167)),IF(Inputs!C167&gt;0,C15/Inputs!C167-1,"n/m"),"n/a")</f>
        <v>-0.05460283603042804</v>
      </c>
      <c r="D16" s="32">
        <f>IF(AND(ISNUMBER(D15),ISNUMBER(Inputs!F167)),IF(Inputs!F167&gt;0,D15/Inputs!F167-1,"n/m"),"n/a")</f>
        <v>-0.06697480550544899</v>
      </c>
      <c r="E16" s="32">
        <f>IF(AND(ISNUMBER(E15),ISNUMBER(Inputs!D167)),IF(Inputs!D167&gt;0,E15/Inputs!D167-1,"n/m"),"n/a")</f>
        <v>0.12622478386167146</v>
      </c>
      <c r="F16" s="32">
        <f>IF(AND(ISNUMBER(F15),ISNUMBER(Inputs!E167)),IF(Inputs!E167&gt;0,F15/Inputs!E167-1,"n/m"),"n/a")</f>
        <v>0.10119343610144216</v>
      </c>
      <c r="G16" s="33">
        <f t="shared" si="1"/>
        <v>0.03786121354341265</v>
      </c>
      <c r="H16" s="2"/>
    </row>
    <row r="17" ht="15" customHeight="1">
      <c r="A17" s="23" t="s">
        <v>65</v>
      </c>
      <c r="B17" s="48">
        <f>IF(AND(ISNUMBER(B15),ISNUMBER(Inputs!E167)),B15-Inputs!E167,"n/a")</f>
        <v>37206</v>
      </c>
      <c r="C17" s="38">
        <f t="shared" si="0"/>
        <v>-13092</v>
      </c>
      <c r="D17" s="38"/>
      <c r="E17" s="38">
        <f t="shared" si="2"/>
        <v>-25972</v>
      </c>
      <c r="F17" s="38">
        <f t="shared" si="0"/>
        <v>43372</v>
      </c>
      <c r="G17" s="39">
        <f t="shared" si="0"/>
        <v>12633</v>
      </c>
      <c r="H17" s="2"/>
    </row>
    <row r="18" ht="15" customHeight="1">
      <c r="A18" s="3" t="s">
        <v>93</v>
      </c>
      <c r="B18" s="2"/>
      <c r="C18" s="2"/>
      <c r="D18" s="2"/>
      <c r="E18" s="2"/>
      <c r="F18" s="2"/>
      <c r="G18" s="28"/>
      <c r="H18" s="2"/>
    </row>
    <row r="19" ht="15" customHeight="1">
      <c r="A19" s="29" t="s">
        <v>94</v>
      </c>
      <c r="B19" s="45">
        <v>481166</v>
      </c>
      <c r="C19" s="45">
        <v>406585</v>
      </c>
      <c r="D19" s="46">
        <f>Inputs!D168+Inputs!E168+B19+C19</f>
        <v>1585279</v>
      </c>
      <c r="E19" s="45">
        <v>341893</v>
      </c>
      <c r="F19" s="45">
        <v>467762</v>
      </c>
      <c r="G19" s="47">
        <v>478237</v>
      </c>
      <c r="H19" s="2"/>
    </row>
    <row r="20" ht="15" customHeight="1">
      <c r="A20" s="31" t="s">
        <v>60</v>
      </c>
      <c r="B20" s="32">
        <f>IF(AND(ISNUMBER(B19),ISNUMBER(Inputs!B168)),IF(Inputs!B168&gt;0,B19/Inputs!B168-1,"n/m"),"n/a")</f>
        <v>0.09362122847889087</v>
      </c>
      <c r="C20" s="32">
        <f>IF(AND(ISNUMBER(C19),ISNUMBER(Inputs!C168)),IF(Inputs!C168&gt;0,C19/Inputs!C168-1,"n/m"),"n/a")</f>
        <v>-0.13846333142627087</v>
      </c>
      <c r="D20" s="32">
        <f>IF(AND(ISNUMBER(D19),ISNUMBER(Inputs!F168)),IF(Inputs!F168&gt;0,D19/Inputs!F168-1,"n/m"),"n/a")</f>
        <v>-0.06972272053227146</v>
      </c>
      <c r="E20" s="32">
        <f>IF(AND(ISNUMBER(E19),ISNUMBER(Inputs!D168)),IF(Inputs!D168&gt;0,E19/Inputs!D168-1,"n/m"),"n/a")</f>
        <v>0.055877084620135964</v>
      </c>
      <c r="F20" s="32">
        <f>IF(AND(ISNUMBER(F19),ISNUMBER(Inputs!E168)),IF(Inputs!E168&gt;0,F19/Inputs!E168-1,"n/m"),"n/a")</f>
        <v>0.25161079715729096</v>
      </c>
      <c r="G20" s="33">
        <f t="shared" si="1"/>
        <v>-0.00608729627612925</v>
      </c>
      <c r="H20" s="2"/>
    </row>
    <row r="21" ht="15" customHeight="1">
      <c r="A21" s="31" t="s">
        <v>65</v>
      </c>
      <c r="B21" s="48">
        <f>IF(AND(ISNUMBER(B19),ISNUMBER(Inputs!E168)),B19-Inputs!E168,"n/a")</f>
        <v>107438</v>
      </c>
      <c r="C21" s="38">
        <f t="shared" si="0"/>
        <v>-74581</v>
      </c>
      <c r="D21" s="38"/>
      <c r="E21" s="38">
        <f t="shared" si="2"/>
        <v>-64692</v>
      </c>
      <c r="F21" s="38">
        <f t="shared" si="0"/>
        <v>125869</v>
      </c>
      <c r="G21" s="39">
        <f t="shared" si="0"/>
        <v>10475</v>
      </c>
      <c r="H21" s="2"/>
    </row>
    <row r="22" ht="15" customHeight="1">
      <c r="A22" s="29" t="s">
        <v>95</v>
      </c>
      <c r="B22" s="45">
        <v>15933</v>
      </c>
      <c r="C22" s="45">
        <v>11642</v>
      </c>
      <c r="D22" s="46">
        <f>Inputs!D169+Inputs!E169+B22+C22</f>
        <v>50850</v>
      </c>
      <c r="E22" s="45">
        <v>16130</v>
      </c>
      <c r="F22" s="45">
        <v>12364</v>
      </c>
      <c r="G22" s="47">
        <v>8295</v>
      </c>
      <c r="H22" s="2"/>
    </row>
    <row r="23" ht="15" customHeight="1">
      <c r="A23" s="31" t="s">
        <v>60</v>
      </c>
      <c r="B23" s="32">
        <f>IF(AND(ISNUMBER(B22),ISNUMBER(Inputs!B169)),IF(Inputs!B169&gt;0,B22/Inputs!B169-1,"n/m"),"n/a")</f>
        <v>-0.3046912502727471</v>
      </c>
      <c r="C23" s="32">
        <f>IF(AND(ISNUMBER(C22),ISNUMBER(Inputs!C169)),IF(Inputs!C169&gt;0,C22/Inputs!C169-1,"n/m"),"n/a")</f>
        <v>-0.5075296108291032</v>
      </c>
      <c r="D23" s="32">
        <f>IF(AND(ISNUMBER(D22),ISNUMBER(Inputs!F169)),IF(Inputs!F169&gt;0,D22/Inputs!F169-1,"n/m"),"n/a")</f>
        <v>-0.40269930579211355</v>
      </c>
      <c r="E23" s="32">
        <f>IF(AND(ISNUMBER(E22),ISNUMBER(Inputs!D169)),IF(Inputs!D169&gt;0,E22/Inputs!D169-1,"n/m"),"n/a")</f>
        <v>0.2522319695675801</v>
      </c>
      <c r="F23" s="32">
        <f>IF(AND(ISNUMBER(F22),ISNUMBER(Inputs!E169)),IF(Inputs!E169&gt;0,F22/Inputs!E169-1,"n/m"),"n/a")</f>
        <v>0.18953242255147207</v>
      </c>
      <c r="G23" s="33">
        <f t="shared" si="1"/>
        <v>-0.4793824138580305</v>
      </c>
      <c r="H23" s="2"/>
    </row>
    <row r="24" ht="15" customHeight="1">
      <c r="A24" s="31" t="s">
        <v>65</v>
      </c>
      <c r="B24" s="48">
        <f>IF(AND(ISNUMBER(B22),ISNUMBER(Inputs!E169)),B22-Inputs!E169,"n/a")</f>
        <v>5539</v>
      </c>
      <c r="C24" s="38">
        <f t="shared" si="0"/>
        <v>-4291</v>
      </c>
      <c r="D24" s="38"/>
      <c r="E24" s="38">
        <f t="shared" si="2"/>
        <v>4488</v>
      </c>
      <c r="F24" s="38">
        <f t="shared" si="0"/>
        <v>-3766</v>
      </c>
      <c r="G24" s="39">
        <f t="shared" si="0"/>
        <v>-4069</v>
      </c>
      <c r="H24" s="2"/>
    </row>
    <row r="25" ht="15" customHeight="1">
      <c r="A25" s="3" t="s">
        <v>96</v>
      </c>
      <c r="B25" s="49">
        <f t="shared" si="3"/>
        <v>497099</v>
      </c>
      <c r="C25" s="49">
        <f t="shared" si="3"/>
        <v>418227</v>
      </c>
      <c r="D25" s="49">
        <f t="shared" si="3"/>
        <v>1636129</v>
      </c>
      <c r="E25" s="49">
        <f t="shared" si="3"/>
        <v>358023</v>
      </c>
      <c r="F25" s="49">
        <f t="shared" si="3"/>
        <v>480126</v>
      </c>
      <c r="G25" s="50">
        <f t="shared" si="3"/>
        <v>486532</v>
      </c>
      <c r="H25" s="2"/>
    </row>
    <row r="26" ht="15" customHeight="1">
      <c r="A26" s="23" t="s">
        <v>60</v>
      </c>
      <c r="B26" s="32">
        <f>IF(AND(ISNUMBER(B25),ISNUMBER(Inputs!B170)),IF(Inputs!B170&gt;0,B25/Inputs!B170-1,"n/m"),"n/a")</f>
        <v>0.07390308712653115</v>
      </c>
      <c r="C26" s="32">
        <f>IF(AND(ISNUMBER(C25),ISNUMBER(Inputs!C170)),IF(Inputs!C170&gt;0,C25/Inputs!C170-1,"n/m"),"n/a")</f>
        <v>-0.15606876929596225</v>
      </c>
      <c r="D26" s="32">
        <f>IF(AND(ISNUMBER(D25),ISNUMBER(Inputs!F170)),IF(Inputs!F170&gt;0,D25/Inputs!F170-1,"n/m"),"n/a")</f>
        <v>-0.08556604923022582</v>
      </c>
      <c r="E26" s="32">
        <f>IF(AND(ISNUMBER(E25),ISNUMBER(Inputs!D170)),IF(Inputs!D170&gt;0,E25/Inputs!D170-1,"n/m"),"n/a")</f>
        <v>0.06338938045211928</v>
      </c>
      <c r="F26" s="32">
        <f>IF(AND(ISNUMBER(F25),ISNUMBER(Inputs!E170)),IF(Inputs!E170&gt;0,F25/Inputs!E170-1,"n/m"),"n/a")</f>
        <v>0.24993101150155428</v>
      </c>
      <c r="G26" s="33">
        <f t="shared" si="1"/>
        <v>-0.021257335058006532</v>
      </c>
      <c r="H26" s="2"/>
    </row>
    <row r="27" ht="15" customHeight="1">
      <c r="A27" s="23" t="s">
        <v>65</v>
      </c>
      <c r="B27" s="48">
        <f>IF(AND(ISNUMBER(B25),ISNUMBER(Inputs!E170)),B25-Inputs!E170,"n/a")</f>
        <v>112977</v>
      </c>
      <c r="C27" s="38">
        <f t="shared" si="0"/>
        <v>-78872</v>
      </c>
      <c r="D27" s="38"/>
      <c r="E27" s="38">
        <f t="shared" si="2"/>
        <v>-60204</v>
      </c>
      <c r="F27" s="38">
        <f t="shared" si="0"/>
        <v>122103</v>
      </c>
      <c r="G27" s="39">
        <f t="shared" si="0"/>
        <v>6406</v>
      </c>
      <c r="H27" s="2"/>
    </row>
    <row r="28" ht="15" customHeight="1">
      <c r="A28" s="23" t="s">
        <v>97</v>
      </c>
      <c r="B28" s="15">
        <f t="shared" si="4" ref="B28:G28">B22/B25</f>
        <v>0.03205196550385336</v>
      </c>
      <c r="C28" s="15">
        <f t="shared" si="4"/>
        <v>0.02783655765887903</v>
      </c>
      <c r="D28" s="15">
        <f t="shared" si="4"/>
        <v>0.031079456448727453</v>
      </c>
      <c r="E28" s="15">
        <f t="shared" si="4"/>
        <v>0.045052971457141024</v>
      </c>
      <c r="F28" s="15">
        <f t="shared" si="4"/>
        <v>0.025751573545277698</v>
      </c>
      <c r="G28" s="33">
        <f t="shared" si="4"/>
        <v>0.017049238282374028</v>
      </c>
      <c r="H28" s="2"/>
    </row>
    <row r="29" ht="15" customHeight="1">
      <c r="A29" s="31" t="s">
        <v>68</v>
      </c>
      <c r="B29" s="48">
        <f>IF(AND(ISNUMBER(B28),ISNUMBER(Inputs!B171)),(B28-Inputs!B171)*10000,"n/a")</f>
        <v>-174.5223635836013</v>
      </c>
      <c r="C29" s="48">
        <f>IF(AND(ISNUMBER(C28),ISNUMBER(Inputs!C171)),(C28-Inputs!C171)*10000,"n/a")</f>
        <v>-198.66087779706842</v>
      </c>
      <c r="D29" s="48">
        <f>IF(AND(ISNUMBER(D28),ISNUMBER(Inputs!F171)),(D28-Inputs!F171)*10000,"n/a")</f>
        <v>-165.0145283830504</v>
      </c>
      <c r="E29" s="48">
        <f>IF(AND(ISNUMBER(E28),ISNUMBER(Inputs!D171)),(E28-Inputs!D171)*10000,"n/a")</f>
        <v>67.9420425614067</v>
      </c>
      <c r="F29" s="48">
        <f>IF(AND(ISNUMBER(F28),ISNUMBER(Inputs!E171)),(F28-Inputs!E171)*10000,"n/a")</f>
        <v>-13.07537882862319</v>
      </c>
      <c r="G29" s="39">
        <f t="shared" si="8" ref="G29:G203">IF(AND(ISNUMBER(G28),ISNUMBER(B28)),(G28-B28)*10000,"n/a")</f>
        <v>-150.02727221479327</v>
      </c>
      <c r="H29" s="2"/>
    </row>
    <row r="30" ht="15" customHeight="1">
      <c r="A30" s="31" t="s">
        <v>69</v>
      </c>
      <c r="B30" s="48">
        <f>IF(AND(ISNUMBER(B28),ISNUMBER(Inputs!E171)),(B28-Inputs!E171)*10000,"n/a")</f>
        <v>49.9285407571334</v>
      </c>
      <c r="C30" s="38">
        <f t="shared" si="5" ref="C30:G204">IF(AND(ISNUMBER(C28),ISNUMBER(B28)),(C28-B28)*10000,"n/a")</f>
        <v>-42.154078449743274</v>
      </c>
      <c r="D30" s="38"/>
      <c r="E30" s="38">
        <f t="shared" si="9" ref="E30:E204">IF(AND(ISNUMBER(E28),ISNUMBER(C28)),(E28-C28)*10000,"n/a")</f>
        <v>172.16413798261993</v>
      </c>
      <c r="F30" s="38">
        <f t="shared" si="5"/>
        <v>-193.01397911863324</v>
      </c>
      <c r="G30" s="39">
        <f t="shared" si="5"/>
        <v>-87.0233526290367</v>
      </c>
      <c r="H30" s="2"/>
    </row>
    <row r="31" ht="15" customHeight="1">
      <c r="A31" s="29" t="s">
        <v>98</v>
      </c>
      <c r="B31" s="51">
        <f t="shared" si="6" ref="B31:G31">B15-B25</f>
        <v>-49649</v>
      </c>
      <c r="C31" s="51">
        <f t="shared" si="6"/>
        <v>16131</v>
      </c>
      <c r="D31" s="51">
        <f t="shared" si="6"/>
        <v>18538</v>
      </c>
      <c r="E31" s="51">
        <f t="shared" si="6"/>
        <v>50363</v>
      </c>
      <c r="F31" s="51">
        <f t="shared" si="6"/>
        <v>-28368</v>
      </c>
      <c r="G31" s="52">
        <f t="shared" si="6"/>
        <v>-22141</v>
      </c>
      <c r="H31" s="2"/>
    </row>
    <row r="32" ht="15" customHeight="1">
      <c r="A32" s="31" t="s">
        <v>72</v>
      </c>
      <c r="B32" s="48">
        <f>IF(AND(ISNUMBER(B31),ISNUMBER(Inputs!B172)),B31-Inputs!B172,"n/a")</f>
        <v>-56555</v>
      </c>
      <c r="C32" s="48">
        <f>IF(AND(ISNUMBER(C31),ISNUMBER(Inputs!C172)),C31-Inputs!C172,"n/a")</f>
        <v>52256</v>
      </c>
      <c r="D32" s="48">
        <f>IF(AND(ISNUMBER(D31),ISNUMBER(Inputs!F172)),D31-Inputs!F172,"n/a")</f>
        <v>34321</v>
      </c>
      <c r="E32" s="48">
        <f>IF(AND(ISNUMBER(E31),ISNUMBER(Inputs!D172)),E31-Inputs!D172,"n/a")</f>
        <v>24429</v>
      </c>
      <c r="F32" s="48">
        <f>IF(AND(ISNUMBER(F31),ISNUMBER(Inputs!E172)),F31-Inputs!E172,"n/a")</f>
        <v>-54490</v>
      </c>
      <c r="G32" s="39">
        <f t="shared" si="7" ref="G32:G210">IF(AND(ISNUMBER(G31),ISNUMBER(B31)),G31-B31,"n/a")</f>
        <v>27508</v>
      </c>
      <c r="H32" s="2"/>
    </row>
    <row r="33" ht="15" customHeight="1">
      <c r="A33" s="31" t="s">
        <v>65</v>
      </c>
      <c r="B33" s="48">
        <f>IF(AND(ISNUMBER(B31),ISNUMBER(Inputs!E172)),B31-Inputs!E172,"n/a")</f>
        <v>-75771</v>
      </c>
      <c r="C33" s="38">
        <f t="shared" si="0"/>
        <v>65780</v>
      </c>
      <c r="D33" s="38"/>
      <c r="E33" s="38">
        <f t="shared" si="2"/>
        <v>34232</v>
      </c>
      <c r="F33" s="38">
        <f t="shared" si="0"/>
        <v>-78731</v>
      </c>
      <c r="G33" s="39">
        <f t="shared" si="0"/>
        <v>6227</v>
      </c>
      <c r="H33" s="2"/>
    </row>
    <row r="34" ht="15" customHeight="1">
      <c r="A34" s="29" t="s">
        <v>99</v>
      </c>
      <c r="B34" s="45">
        <v>10</v>
      </c>
      <c r="C34" s="45">
        <v>15</v>
      </c>
      <c r="D34" s="51"/>
      <c r="E34" s="45">
        <v>27</v>
      </c>
      <c r="F34" s="45">
        <v>15</v>
      </c>
      <c r="G34" s="52" t="s">
        <v>31</v>
      </c>
      <c r="H34" s="2" t="s">
        <v>100</v>
      </c>
    </row>
    <row r="35" ht="15" customHeight="1">
      <c r="A35" s="31" t="s">
        <v>72</v>
      </c>
      <c r="B35" s="48">
        <f>IF(AND(ISNUMBER(B34),ISNUMBER(Inputs!B173)),B34-Inputs!B173,"n/a")</f>
        <v>-9</v>
      </c>
      <c r="C35" s="48">
        <f>IF(AND(ISNUMBER(C34),ISNUMBER(Inputs!C173)),C34-Inputs!C173,"n/a")</f>
        <v>3</v>
      </c>
      <c r="D35" s="48" t="str">
        <f>IF(AND(ISNUMBER(D34),ISNUMBER(Inputs!F173)),D34-Inputs!F173,"n/a")</f>
        <v>n/a</v>
      </c>
      <c r="E35" s="48">
        <f>IF(AND(ISNUMBER(E34),ISNUMBER(Inputs!D173)),E34-Inputs!D173,"n/a")</f>
        <v>5</v>
      </c>
      <c r="F35" s="48">
        <f>IF(AND(ISNUMBER(F34),ISNUMBER(Inputs!E173)),F34-Inputs!E173,"n/a")</f>
        <v>-9</v>
      </c>
      <c r="G35" s="39" t="str">
        <f t="shared" si="7"/>
        <v>n/a</v>
      </c>
      <c r="H35" s="2"/>
    </row>
    <row r="36" ht="15" customHeight="1">
      <c r="A36" s="31" t="s">
        <v>65</v>
      </c>
      <c r="B36" s="48">
        <f>IF(AND(ISNUMBER(B34),ISNUMBER(Inputs!E173)),B34-Inputs!E173,"n/a")</f>
        <v>-14</v>
      </c>
      <c r="C36" s="38">
        <f t="shared" si="0"/>
        <v>5</v>
      </c>
      <c r="D36" s="38"/>
      <c r="E36" s="38">
        <f t="shared" si="2"/>
        <v>12</v>
      </c>
      <c r="F36" s="38">
        <f t="shared" si="0"/>
        <v>-12</v>
      </c>
      <c r="G36" s="39" t="str">
        <f t="shared" si="0"/>
        <v>n/a</v>
      </c>
      <c r="H36" s="2"/>
    </row>
    <row r="37" ht="15" customHeight="1">
      <c r="A37" s="3" t="s">
        <v>101</v>
      </c>
      <c r="B37" s="2"/>
      <c r="C37" s="2"/>
      <c r="D37" s="2"/>
      <c r="E37" s="2"/>
      <c r="F37" s="2"/>
      <c r="G37" s="28"/>
      <c r="H37" s="2"/>
    </row>
    <row r="38" ht="15" customHeight="1">
      <c r="A38" s="23" t="s">
        <v>102</v>
      </c>
      <c r="B38" s="15"/>
      <c r="C38" s="15"/>
      <c r="D38" s="15"/>
      <c r="E38" s="15"/>
      <c r="F38" s="15"/>
      <c r="G38" s="43">
        <v>0.01</v>
      </c>
      <c r="H38" s="2" t="s">
        <v>103</v>
      </c>
    </row>
    <row r="39" ht="15" customHeight="1">
      <c r="A39" s="31" t="s">
        <v>68</v>
      </c>
      <c r="B39" s="38" t="s">
        <v>31</v>
      </c>
      <c r="C39" s="38" t="s">
        <v>31</v>
      </c>
      <c r="D39" s="38" t="s">
        <v>31</v>
      </c>
      <c r="E39" s="38" t="s">
        <v>31</v>
      </c>
      <c r="F39" s="38" t="s">
        <v>31</v>
      </c>
      <c r="G39" s="39" t="str">
        <f t="shared" si="8"/>
        <v>n/a</v>
      </c>
      <c r="H39" s="2"/>
    </row>
    <row r="40" ht="15" customHeight="1">
      <c r="A40" s="31" t="s">
        <v>69</v>
      </c>
      <c r="B40" s="38" t="s">
        <v>31</v>
      </c>
      <c r="C40" s="38" t="str">
        <f t="shared" si="5"/>
        <v>n/a</v>
      </c>
      <c r="D40" s="38"/>
      <c r="E40" s="38" t="str">
        <f t="shared" si="9"/>
        <v>n/a</v>
      </c>
      <c r="F40" s="38" t="str">
        <f t="shared" si="5"/>
        <v>n/a</v>
      </c>
      <c r="G40" s="39" t="str">
        <f t="shared" si="5"/>
        <v>n/a</v>
      </c>
      <c r="H40" s="2"/>
    </row>
    <row r="41" ht="15" customHeight="1">
      <c r="A41" s="23" t="s">
        <v>104</v>
      </c>
      <c r="B41" s="15"/>
      <c r="C41" s="15"/>
      <c r="D41" s="15"/>
      <c r="E41" s="15"/>
      <c r="F41" s="15"/>
      <c r="G41" s="43">
        <v>0.04</v>
      </c>
      <c r="H41" s="2"/>
    </row>
    <row r="42" ht="15" customHeight="1">
      <c r="A42" s="31" t="s">
        <v>68</v>
      </c>
      <c r="B42" s="38" t="s">
        <v>31</v>
      </c>
      <c r="C42" s="38" t="s">
        <v>31</v>
      </c>
      <c r="D42" s="38" t="s">
        <v>31</v>
      </c>
      <c r="E42" s="38" t="s">
        <v>31</v>
      </c>
      <c r="F42" s="38" t="s">
        <v>31</v>
      </c>
      <c r="G42" s="39" t="str">
        <f t="shared" si="8"/>
        <v>n/a</v>
      </c>
      <c r="H42" s="2"/>
    </row>
    <row r="43" ht="15" customHeight="1">
      <c r="A43" s="31" t="s">
        <v>69</v>
      </c>
      <c r="B43" s="38" t="s">
        <v>31</v>
      </c>
      <c r="C43" s="38" t="str">
        <f t="shared" si="5"/>
        <v>n/a</v>
      </c>
      <c r="D43" s="38"/>
      <c r="E43" s="38" t="str">
        <f t="shared" si="9"/>
        <v>n/a</v>
      </c>
      <c r="F43" s="38" t="str">
        <f t="shared" si="5"/>
        <v>n/a</v>
      </c>
      <c r="G43" s="39" t="str">
        <f t="shared" si="5"/>
        <v>n/a</v>
      </c>
      <c r="H43" s="2"/>
    </row>
    <row r="44" ht="15" customHeight="1">
      <c r="A44" s="29" t="s">
        <v>105</v>
      </c>
      <c r="B44" s="45">
        <v>10230</v>
      </c>
      <c r="C44" s="45">
        <v>10996</v>
      </c>
      <c r="D44" s="46">
        <f>Inputs!D174+Inputs!E174+B44+C44</f>
        <v>41617</v>
      </c>
      <c r="E44" s="45">
        <v>3430</v>
      </c>
      <c r="F44" s="45">
        <v>7580</v>
      </c>
      <c r="G44" s="52">
        <f>G19*G38+G22*G41</f>
        <v>5114.17</v>
      </c>
      <c r="H44" s="2"/>
    </row>
    <row r="45" ht="15" customHeight="1">
      <c r="A45" s="31" t="s">
        <v>60</v>
      </c>
      <c r="B45" s="32">
        <f>IF(AND(ISNUMBER(B44),ISNUMBER(Inputs!B174)),IF(Inputs!B174&gt;0,B44/Inputs!B174-1,"n/m"),"n/a")</f>
        <v>-0.2919925254342861</v>
      </c>
      <c r="C45" s="32">
        <f>IF(AND(ISNUMBER(C44),ISNUMBER(Inputs!C174)),IF(Inputs!C174&gt;0,C44/Inputs!C174-1,"n/m"),"n/a")</f>
        <v>-0.592166753208219</v>
      </c>
      <c r="D45" s="32">
        <f>IF(AND(ISNUMBER(D44),ISNUMBER(Inputs!F174)),IF(Inputs!F174&gt;0,D44/Inputs!F174-1,"n/m"),"n/a")</f>
        <v>-0.3064180124327117</v>
      </c>
      <c r="E45" s="32">
        <f>IF(AND(ISNUMBER(E44),ISNUMBER(Inputs!D174)),IF(Inputs!D174&gt;0,E44/Inputs!D174-1,"n/m"),"n/a")</f>
        <v>-0.7500182202463377</v>
      </c>
      <c r="F45" s="32">
        <f>IF(AND(ISNUMBER(F44),ISNUMBER(Inputs!E174)),IF(Inputs!E174&gt;0,F44/Inputs!E174-1,"n/m"),"n/a")</f>
        <v>0.1364317841079461</v>
      </c>
      <c r="G45" s="33">
        <f t="shared" si="1"/>
        <v>-0.5000811339198437</v>
      </c>
      <c r="H45" s="2"/>
    </row>
    <row r="46" ht="15" customHeight="1">
      <c r="A46" s="31" t="s">
        <v>65</v>
      </c>
      <c r="B46" s="48">
        <f>IF(AND(ISNUMBER(B44),ISNUMBER(Inputs!E174)),B44-Inputs!E174,"n/a")</f>
        <v>3560</v>
      </c>
      <c r="C46" s="38">
        <f t="shared" si="0"/>
        <v>766</v>
      </c>
      <c r="D46" s="38"/>
      <c r="E46" s="38">
        <f t="shared" si="2"/>
        <v>-7566</v>
      </c>
      <c r="F46" s="38">
        <f t="shared" si="0"/>
        <v>4150</v>
      </c>
      <c r="G46" s="39">
        <f t="shared" si="0"/>
        <v>-2465.83</v>
      </c>
      <c r="H46" s="2"/>
    </row>
    <row r="47" ht="15" customHeight="1">
      <c r="A47" s="23" t="s">
        <v>106</v>
      </c>
      <c r="B47" s="15">
        <f t="shared" si="10" ref="B47:G47">B44/B25</f>
        <v>0.020579401688597242</v>
      </c>
      <c r="C47" s="15">
        <f t="shared" si="10"/>
        <v>0.02629194193583867</v>
      </c>
      <c r="D47" s="15">
        <f t="shared" si="10"/>
        <v>0.025436258387938847</v>
      </c>
      <c r="E47" s="15">
        <f t="shared" si="10"/>
        <v>0.00958039008667041</v>
      </c>
      <c r="F47" s="15">
        <f t="shared" si="10"/>
        <v>0.015787522442025637</v>
      </c>
      <c r="G47" s="33">
        <f t="shared" si="10"/>
        <v>0.010511477148471221</v>
      </c>
      <c r="H47" s="2"/>
    </row>
    <row r="48" ht="15" customHeight="1">
      <c r="A48" s="31" t="s">
        <v>68</v>
      </c>
      <c r="B48" s="48">
        <f>IF(AND(ISNUMBER(B47),ISNUMBER(Inputs!B175)),(B47-Inputs!B175)*10000,"n/a")</f>
        <v>-106.3535775749146</v>
      </c>
      <c r="C48" s="48">
        <f>IF(AND(ISNUMBER(C47),ISNUMBER(Inputs!C175)),(C47-Inputs!C175)*10000,"n/a")</f>
        <v>-281.14095556342056</v>
      </c>
      <c r="D48" s="48">
        <f>IF(AND(ISNUMBER(D47),ISNUMBER(Inputs!F175)),(D47-Inputs!F175)*10000,"n/a")</f>
        <v>-80.9947158692179</v>
      </c>
      <c r="E48" s="48">
        <f>IF(AND(ISNUMBER(E47),ISNUMBER(Inputs!D175)),(E47-Inputs!D175)*10000,"n/a")</f>
        <v>-311.73320398922783</v>
      </c>
      <c r="F48" s="48">
        <f>IF(AND(ISNUMBER(F47),ISNUMBER(Inputs!E175)),(F47-Inputs!E175)*10000,"n/a")</f>
        <v>-15.767524498056032</v>
      </c>
      <c r="G48" s="39">
        <f t="shared" si="8"/>
        <v>-100.6792454012602</v>
      </c>
      <c r="H48" s="2"/>
    </row>
    <row r="49" ht="15" customHeight="1">
      <c r="A49" s="31" t="s">
        <v>69</v>
      </c>
      <c r="B49" s="48">
        <f>IF(AND(ISNUMBER(B47),ISNUMBER(Inputs!E175)),(B47-Inputs!E175)*10000,"n/a")</f>
        <v>32.151267967660026</v>
      </c>
      <c r="C49" s="38">
        <f t="shared" si="5"/>
        <v>57.12540247241427</v>
      </c>
      <c r="D49" s="38"/>
      <c r="E49" s="38">
        <f t="shared" si="9"/>
        <v>-167.11551849168262</v>
      </c>
      <c r="F49" s="38">
        <f t="shared" si="5"/>
        <v>62.07132355355227</v>
      </c>
      <c r="G49" s="39">
        <f t="shared" si="5"/>
        <v>-52.76045293554415</v>
      </c>
      <c r="H49" s="2"/>
    </row>
    <row r="50" ht="15" customHeight="1">
      <c r="A50" s="3" t="s">
        <v>107</v>
      </c>
      <c r="B50" s="49">
        <f t="shared" si="11" ref="B50:G50">B25-B44</f>
        <v>486869</v>
      </c>
      <c r="C50" s="49">
        <f t="shared" si="11"/>
        <v>407231</v>
      </c>
      <c r="D50" s="49">
        <f t="shared" si="11"/>
        <v>1594512</v>
      </c>
      <c r="E50" s="49">
        <f t="shared" si="11"/>
        <v>354593</v>
      </c>
      <c r="F50" s="49">
        <f t="shared" si="11"/>
        <v>472546</v>
      </c>
      <c r="G50" s="50">
        <f t="shared" si="11"/>
        <v>481417.83</v>
      </c>
      <c r="H50" s="2"/>
    </row>
    <row r="51" ht="15" customHeight="1">
      <c r="A51" s="23" t="s">
        <v>60</v>
      </c>
      <c r="B51" s="32">
        <f>IF(AND(ISNUMBER(B50),ISNUMBER(Inputs!B176)),IF(Inputs!B176&gt;0,B50/Inputs!B176-1,"n/m"),"n/a")</f>
        <v>0.08569243222631284</v>
      </c>
      <c r="C51" s="32">
        <f>IF(AND(ISNUMBER(C50),ISNUMBER(Inputs!C176)),IF(Inputs!C176&gt;0,C50/Inputs!C176-1,"n/m"),"n/a")</f>
        <v>-0.13097727738322862</v>
      </c>
      <c r="D51" s="32">
        <f>IF(AND(ISNUMBER(D50),ISNUMBER(Inputs!F176)),IF(Inputs!F176&gt;0,D50/Inputs!F176-1,"n/m"),"n/a")</f>
        <v>-0.07790261869059112</v>
      </c>
      <c r="E51" s="32">
        <f>IF(AND(ISNUMBER(E50),ISNUMBER(Inputs!D176)),IF(Inputs!D176&gt;0,E50/Inputs!D176-1,"n/m"),"n/a")</f>
        <v>0.09794711419370827</v>
      </c>
      <c r="F51" s="32">
        <f>IF(AND(ISNUMBER(F50),ISNUMBER(Inputs!E176)),IF(Inputs!E176&gt;0,F50/Inputs!E176-1,"n/m"),"n/a")</f>
        <v>0.2519366700931509</v>
      </c>
      <c r="G51" s="33">
        <f t="shared" si="1"/>
        <v>-0.011196379313531901</v>
      </c>
      <c r="H51" s="2"/>
    </row>
    <row r="52" ht="15" customHeight="1">
      <c r="A52" s="23" t="s">
        <v>65</v>
      </c>
      <c r="B52" s="48">
        <f>IF(AND(ISNUMBER(B50),ISNUMBER(Inputs!E176)),B50-Inputs!E176,"n/a")</f>
        <v>109417</v>
      </c>
      <c r="C52" s="38">
        <f t="shared" si="0"/>
        <v>-79638</v>
      </c>
      <c r="D52" s="38"/>
      <c r="E52" s="38">
        <f t="shared" si="2"/>
        <v>-52638</v>
      </c>
      <c r="F52" s="38">
        <f t="shared" si="0"/>
        <v>117953</v>
      </c>
      <c r="G52" s="39">
        <f t="shared" si="0"/>
        <v>8871.830000000016</v>
      </c>
      <c r="H52" s="2"/>
    </row>
    <row r="53" ht="15" customHeight="1">
      <c r="A53" s="3" t="s">
        <v>108</v>
      </c>
      <c r="B53" s="2"/>
      <c r="C53" s="2"/>
      <c r="D53" s="2"/>
      <c r="E53" s="2"/>
      <c r="F53" s="2"/>
      <c r="G53" s="28"/>
      <c r="H53" s="2"/>
    </row>
    <row r="54" ht="15" customHeight="1">
      <c r="A54" s="29" t="s">
        <v>109</v>
      </c>
      <c r="B54" s="46">
        <f>Inputs!E181</f>
        <v>172882</v>
      </c>
      <c r="C54" s="51">
        <f t="shared" si="12" ref="C54:G54">B66</f>
        <v>167163</v>
      </c>
      <c r="D54" s="46">
        <f>Inputs!C181</f>
        <v>180523</v>
      </c>
      <c r="E54" s="51">
        <f>C66</f>
        <v>163075</v>
      </c>
      <c r="F54" s="51">
        <f t="shared" si="12"/>
        <v>151991</v>
      </c>
      <c r="G54" s="52">
        <f t="shared" si="12"/>
        <v>141876</v>
      </c>
      <c r="H54" s="2"/>
    </row>
    <row r="55" ht="15" customHeight="1">
      <c r="A55" s="31" t="s">
        <v>60</v>
      </c>
      <c r="B55" s="32" t="str">
        <f>IF(AND(ISNUMBER(B54),ISNUMBER(Inputs!B177)),IF(Inputs!B177&gt;0,B54/Inputs!B177-1,"n/m"),"n/a")</f>
        <v>n/a</v>
      </c>
      <c r="C55" s="32" t="str">
        <f>IF(AND(ISNUMBER(C54),ISNUMBER(Inputs!C177)),IF(Inputs!C177&gt;0,C54/Inputs!C177-1,"n/m"),"n/a")</f>
        <v>n/a</v>
      </c>
      <c r="D55" s="32" t="str">
        <f>IF(AND(ISNUMBER(D54),ISNUMBER(Inputs!F177)),IF(Inputs!F177&gt;0,D54/Inputs!F177-1,"n/m"),"n/a")</f>
        <v>n/a</v>
      </c>
      <c r="E55" s="32">
        <f>IF(AND(ISNUMBER(E54),ISNUMBER(Inputs!D177)),IF(Inputs!D177&gt;0,E54/Inputs!D177-1,"n/m"),"n/a")</f>
        <v>-0.09665250411304926</v>
      </c>
      <c r="F55" s="32">
        <f>IF(AND(ISNUMBER(F54),ISNUMBER(Inputs!E177)),IF(Inputs!E177&gt;0,F54/Inputs!E177-1,"n/m"),"n/a")</f>
        <v>-0.15527705218696164</v>
      </c>
      <c r="G55" s="33">
        <f t="shared" si="1"/>
        <v>-0.17934776321421553</v>
      </c>
      <c r="H55" s="2"/>
    </row>
    <row r="56" ht="15" customHeight="1">
      <c r="A56" s="31" t="s">
        <v>65</v>
      </c>
      <c r="B56" s="48">
        <f>IF(AND(ISNUMBER(B54),ISNUMBER(Inputs!E177)),B54-Inputs!E177,"n/a")</f>
        <v>-7048</v>
      </c>
      <c r="C56" s="38">
        <f t="shared" si="0"/>
        <v>-5719</v>
      </c>
      <c r="D56" s="38"/>
      <c r="E56" s="38">
        <f t="shared" si="2"/>
        <v>-4088</v>
      </c>
      <c r="F56" s="38">
        <f t="shared" si="0"/>
        <v>-11084</v>
      </c>
      <c r="G56" s="39">
        <f t="shared" si="0"/>
        <v>-10115</v>
      </c>
      <c r="H56" s="2"/>
    </row>
    <row r="57" ht="15" customHeight="1">
      <c r="A57" s="29" t="s">
        <v>110</v>
      </c>
      <c r="B57" s="51">
        <f t="shared" si="13" ref="B57:G57">B44</f>
        <v>10230</v>
      </c>
      <c r="C57" s="51">
        <f t="shared" si="13"/>
        <v>10996</v>
      </c>
      <c r="D57" s="51">
        <f t="shared" si="13"/>
        <v>41617</v>
      </c>
      <c r="E57" s="51">
        <f t="shared" si="13"/>
        <v>3430</v>
      </c>
      <c r="F57" s="51">
        <f t="shared" si="13"/>
        <v>7580</v>
      </c>
      <c r="G57" s="52">
        <f t="shared" si="13"/>
        <v>5114.17</v>
      </c>
      <c r="H57" s="2"/>
    </row>
    <row r="58" ht="15" customHeight="1">
      <c r="A58" s="31" t="s">
        <v>60</v>
      </c>
      <c r="B58" s="32">
        <f>IF(AND(ISNUMBER(B57),ISNUMBER(Inputs!B178)),IF(Inputs!B178&gt;0,B57/Inputs!B178-1,"n/m"),"n/a")</f>
        <v>-0.2919925254342861</v>
      </c>
      <c r="C58" s="32">
        <f>IF(AND(ISNUMBER(C57),ISNUMBER(Inputs!C178)),IF(Inputs!C178&gt;0,C57/Inputs!C178-1,"n/m"),"n/a")</f>
        <v>-0.592166753208219</v>
      </c>
      <c r="D58" s="32">
        <f>IF(AND(ISNUMBER(D57),ISNUMBER(Inputs!F178)),IF(Inputs!F178&gt;0,D57/Inputs!F178-1,"n/m"),"n/a")</f>
        <v>-0.3064180124327117</v>
      </c>
      <c r="E58" s="32">
        <f>IF(AND(ISNUMBER(E57),ISNUMBER(Inputs!D178)),IF(Inputs!D178&gt;0,E57/Inputs!D178-1,"n/m"),"n/a")</f>
        <v>-0.7500182202463377</v>
      </c>
      <c r="F58" s="32">
        <f>IF(AND(ISNUMBER(F57),ISNUMBER(Inputs!E178)),IF(Inputs!E178&gt;0,F57/Inputs!E178-1,"n/m"),"n/a")</f>
        <v>0.1364317841079461</v>
      </c>
      <c r="G58" s="33">
        <f t="shared" si="1"/>
        <v>-0.5000811339198437</v>
      </c>
      <c r="H58" s="2"/>
    </row>
    <row r="59" ht="15" customHeight="1">
      <c r="A59" s="31" t="s">
        <v>65</v>
      </c>
      <c r="B59" s="48">
        <f>IF(AND(ISNUMBER(B57),ISNUMBER(Inputs!E178)),B57-Inputs!E178,"n/a")</f>
        <v>3560</v>
      </c>
      <c r="C59" s="38">
        <f t="shared" si="0"/>
        <v>766</v>
      </c>
      <c r="D59" s="38"/>
      <c r="E59" s="38">
        <f t="shared" si="2"/>
        <v>-7566</v>
      </c>
      <c r="F59" s="38">
        <f t="shared" si="0"/>
        <v>4150</v>
      </c>
      <c r="G59" s="39">
        <f t="shared" si="0"/>
        <v>-2465.83</v>
      </c>
      <c r="H59" s="2"/>
    </row>
    <row r="60" ht="15" customHeight="1">
      <c r="A60" s="29" t="s">
        <v>111</v>
      </c>
      <c r="B60" s="51">
        <f t="shared" si="14" ref="B60:F60">B54+B57-B66</f>
        <v>15949</v>
      </c>
      <c r="C60" s="51">
        <f t="shared" si="14"/>
        <v>15084</v>
      </c>
      <c r="D60" s="51">
        <f t="shared" si="14"/>
        <v>59065</v>
      </c>
      <c r="E60" s="51">
        <f t="shared" si="14"/>
        <v>14514</v>
      </c>
      <c r="F60" s="51">
        <f t="shared" si="14"/>
        <v>17695</v>
      </c>
      <c r="G60" s="47">
        <v>16000</v>
      </c>
      <c r="H60" s="2" t="s">
        <v>112</v>
      </c>
    </row>
    <row r="61" ht="15" customHeight="1">
      <c r="A61" s="31" t="s">
        <v>60</v>
      </c>
      <c r="B61" s="32" t="str">
        <f>IF(AND(ISNUMBER(B60),ISNUMBER(Inputs!B179)),IF(Inputs!B179&gt;0,B60/Inputs!B179-1,"n/m"),"n/a")</f>
        <v>n/a</v>
      </c>
      <c r="C61" s="32" t="str">
        <f>IF(AND(ISNUMBER(C60),ISNUMBER(Inputs!C179)),IF(Inputs!C179&gt;0,C60/Inputs!C179-1,"n/m"),"n/a")</f>
        <v>n/a</v>
      </c>
      <c r="D61" s="32" t="str">
        <f>IF(AND(ISNUMBER(D60),ISNUMBER(Inputs!F179)),IF(Inputs!F179&gt;0,D60/Inputs!F179-1,"n/m"),"n/a")</f>
        <v>n/a</v>
      </c>
      <c r="E61" s="32">
        <f>IF(AND(ISNUMBER(E60),ISNUMBER(Inputs!D179)),IF(Inputs!D179&gt;0,E60/Inputs!D179-1,"n/m"),"n/a")</f>
        <v>0.013972334777141215</v>
      </c>
      <c r="F61" s="32">
        <f>IF(AND(ISNUMBER(F60),ISNUMBER(Inputs!E179)),IF(Inputs!E179&gt;0,F60/Inputs!E179-1,"n/m"),"n/a")</f>
        <v>0.2899110657530253</v>
      </c>
      <c r="G61" s="33">
        <f t="shared" si="1"/>
        <v>0.0031976926453070043</v>
      </c>
      <c r="H61" s="2"/>
    </row>
    <row r="62" ht="15" customHeight="1">
      <c r="A62" s="31" t="s">
        <v>65</v>
      </c>
      <c r="B62" s="48">
        <f>IF(AND(ISNUMBER(B60),ISNUMBER(Inputs!E179)),B60-Inputs!E179,"n/a")</f>
        <v>2231</v>
      </c>
      <c r="C62" s="38">
        <f t="shared" si="0"/>
        <v>-865</v>
      </c>
      <c r="D62" s="38"/>
      <c r="E62" s="38">
        <f t="shared" si="2"/>
        <v>-570</v>
      </c>
      <c r="F62" s="38">
        <f t="shared" si="0"/>
        <v>3181</v>
      </c>
      <c r="G62" s="39">
        <f t="shared" si="0"/>
        <v>-1695</v>
      </c>
      <c r="H62" s="2"/>
    </row>
    <row r="63" ht="15" customHeight="1">
      <c r="A63" s="29" t="s">
        <v>113</v>
      </c>
      <c r="B63" s="51">
        <f t="shared" si="15" ref="B63:G63">B57-B60</f>
        <v>-5719</v>
      </c>
      <c r="C63" s="51">
        <f t="shared" si="15"/>
        <v>-4088</v>
      </c>
      <c r="D63" s="51">
        <f t="shared" si="15"/>
        <v>-17448</v>
      </c>
      <c r="E63" s="51">
        <f t="shared" si="15"/>
        <v>-11084</v>
      </c>
      <c r="F63" s="51">
        <f t="shared" si="15"/>
        <v>-10115</v>
      </c>
      <c r="G63" s="52">
        <f t="shared" si="15"/>
        <v>-10885.83</v>
      </c>
      <c r="H63" s="2"/>
    </row>
    <row r="64" ht="15" customHeight="1">
      <c r="A64" s="31" t="s">
        <v>72</v>
      </c>
      <c r="B64" s="48" t="str">
        <f>IF(AND(ISNUMBER(B63),ISNUMBER(Inputs!B180)),B63-Inputs!B180,"n/a")</f>
        <v>n/a</v>
      </c>
      <c r="C64" s="48" t="str">
        <f>IF(AND(ISNUMBER(C63),ISNUMBER(Inputs!C180)),C63-Inputs!C180,"n/a")</f>
        <v>n/a</v>
      </c>
      <c r="D64" s="48" t="str">
        <f>IF(AND(ISNUMBER(D63),ISNUMBER(Inputs!F180)),D63-Inputs!F180,"n/a")</f>
        <v>n/a</v>
      </c>
      <c r="E64" s="48">
        <f>IF(AND(ISNUMBER(E63),ISNUMBER(Inputs!D180)),E63-Inputs!D180,"n/a")</f>
        <v>-10491</v>
      </c>
      <c r="F64" s="48">
        <f>IF(AND(ISNUMBER(F63),ISNUMBER(Inputs!E180)),F63-Inputs!E180,"n/a")</f>
        <v>-3067</v>
      </c>
      <c r="G64" s="39">
        <f t="shared" si="7"/>
        <v>-5166.83</v>
      </c>
      <c r="H64" s="2"/>
    </row>
    <row r="65" ht="15" customHeight="1">
      <c r="A65" s="31" t="s">
        <v>65</v>
      </c>
      <c r="B65" s="48">
        <f>IF(AND(ISNUMBER(B63),ISNUMBER(Inputs!E180)),B63-Inputs!E180,"n/a")</f>
        <v>1329</v>
      </c>
      <c r="C65" s="38">
        <f t="shared" si="0"/>
        <v>1631</v>
      </c>
      <c r="D65" s="38"/>
      <c r="E65" s="38">
        <f t="shared" si="2"/>
        <v>-6996</v>
      </c>
      <c r="F65" s="38">
        <f t="shared" si="0"/>
        <v>969</v>
      </c>
      <c r="G65" s="39">
        <f t="shared" si="0"/>
        <v>-770.8299999999999</v>
      </c>
      <c r="H65" s="2"/>
    </row>
    <row r="66" ht="15" customHeight="1">
      <c r="A66" s="3" t="s">
        <v>114</v>
      </c>
      <c r="B66" s="53">
        <v>167163</v>
      </c>
      <c r="C66" s="53">
        <v>163075</v>
      </c>
      <c r="D66" s="49">
        <f t="shared" si="20" ref="D66:D102">C66</f>
        <v>163075</v>
      </c>
      <c r="E66" s="53">
        <v>151991</v>
      </c>
      <c r="F66" s="53">
        <v>141876</v>
      </c>
      <c r="G66" s="50">
        <f>G54+G63</f>
        <v>130990.17</v>
      </c>
      <c r="H66" s="2" t="s">
        <v>115</v>
      </c>
    </row>
    <row r="67" ht="15" customHeight="1">
      <c r="A67" s="23" t="s">
        <v>60</v>
      </c>
      <c r="B67" s="32" t="str">
        <f>IF(AND(ISNUMBER(B66),ISNUMBER(Inputs!B181)),IF(Inputs!B181&gt;0,B66/Inputs!B181-1,"n/m"),"n/a")</f>
        <v>n/a</v>
      </c>
      <c r="C67" s="32">
        <f>IF(AND(ISNUMBER(C66),ISNUMBER(Inputs!C181)),IF(Inputs!C181&gt;0,C66/Inputs!C181-1,"n/m"),"n/a")</f>
        <v>-0.09665250411304926</v>
      </c>
      <c r="D67" s="32">
        <f>IF(AND(ISNUMBER(D66),ISNUMBER(Inputs!F181)),IF(Inputs!F181&gt;0,D66/Inputs!F181-1,"n/m"),"n/a")</f>
        <v>-0.09665250411304926</v>
      </c>
      <c r="E67" s="32">
        <f>IF(AND(ISNUMBER(E66),ISNUMBER(Inputs!D181)),IF(Inputs!D181&gt;0,E66/Inputs!D181-1,"n/m"),"n/a")</f>
        <v>-0.15527705218696164</v>
      </c>
      <c r="F67" s="32">
        <f>IF(AND(ISNUMBER(F66),ISNUMBER(Inputs!E181)),IF(Inputs!E181&gt;0,F66/Inputs!E181-1,"n/m"),"n/a")</f>
        <v>-0.17934776321421553</v>
      </c>
      <c r="G67" s="33">
        <f t="shared" si="1"/>
        <v>-0.21639256294754228</v>
      </c>
      <c r="H67" s="2"/>
    </row>
    <row r="68" ht="15" customHeight="1">
      <c r="A68" s="23" t="s">
        <v>65</v>
      </c>
      <c r="B68" s="48">
        <f>IF(AND(ISNUMBER(B66),ISNUMBER(Inputs!E181)),B66-Inputs!E181,"n/a")</f>
        <v>-5719</v>
      </c>
      <c r="C68" s="38">
        <f t="shared" si="0"/>
        <v>-4088</v>
      </c>
      <c r="D68" s="38"/>
      <c r="E68" s="38">
        <f t="shared" si="2"/>
        <v>-11084</v>
      </c>
      <c r="F68" s="38">
        <f t="shared" si="0"/>
        <v>-10115</v>
      </c>
      <c r="G68" s="39">
        <f t="shared" si="0"/>
        <v>-10885.830000000002</v>
      </c>
      <c r="H68" s="2"/>
    </row>
    <row r="69" ht="15" customHeight="1">
      <c r="A69" s="29" t="s">
        <v>116</v>
      </c>
      <c r="B69" s="51">
        <f t="shared" si="16" ref="B69:G69">(B54+B66)/2</f>
        <v>170022.5</v>
      </c>
      <c r="C69" s="51">
        <f t="shared" si="16"/>
        <v>165119</v>
      </c>
      <c r="D69" s="51">
        <f t="shared" si="16"/>
        <v>171799</v>
      </c>
      <c r="E69" s="51">
        <f t="shared" si="16"/>
        <v>157533</v>
      </c>
      <c r="F69" s="51">
        <f t="shared" si="16"/>
        <v>146933.5</v>
      </c>
      <c r="G69" s="52">
        <f t="shared" si="16"/>
        <v>136433.085</v>
      </c>
      <c r="H69" s="2" t="s">
        <v>117</v>
      </c>
    </row>
    <row r="70" ht="15" customHeight="1">
      <c r="A70" s="31" t="s">
        <v>60</v>
      </c>
      <c r="B70" s="32" t="str">
        <f>IF(AND(ISNUMBER(B69),ISNUMBER(Inputs!B182)),IF(Inputs!B182&gt;0,B69/Inputs!B182-1,"n/m"),"n/a")</f>
        <v>n/a</v>
      </c>
      <c r="C70" s="32" t="str">
        <f>IF(AND(ISNUMBER(C69),ISNUMBER(Inputs!C182)),IF(Inputs!C182&gt;0,C69/Inputs!C182-1,"n/m"),"n/a")</f>
        <v>n/a</v>
      </c>
      <c r="D70" s="32" t="str">
        <f>IF(AND(ISNUMBER(D69),ISNUMBER(Inputs!F182)),IF(Inputs!F182&gt;0,D69/Inputs!F182-1,"n/m"),"n/a")</f>
        <v>n/a</v>
      </c>
      <c r="E70" s="32">
        <f>IF(AND(ISNUMBER(E69),ISNUMBER(Inputs!D182)),IF(Inputs!D182&gt;0,E69/Inputs!D182-1,"n/m"),"n/a")</f>
        <v>-0.1259165550016229</v>
      </c>
      <c r="F70" s="32">
        <f>IF(AND(ISNUMBER(F69),ISNUMBER(Inputs!E182)),IF(Inputs!E182&gt;0,F69/Inputs!E182-1,"n/m"),"n/a")</f>
        <v>-0.1670719816786277</v>
      </c>
      <c r="G70" s="33">
        <f t="shared" si="1"/>
        <v>-0.19755864664970813</v>
      </c>
      <c r="H70" s="2"/>
    </row>
    <row r="71" ht="15" customHeight="1">
      <c r="A71" s="31" t="s">
        <v>65</v>
      </c>
      <c r="B71" s="48">
        <f>IF(AND(ISNUMBER(B69),ISNUMBER(Inputs!E182)),B69-Inputs!E182,"n/a")</f>
        <v>-6383.5</v>
      </c>
      <c r="C71" s="38">
        <f t="shared" si="0"/>
        <v>-4903.5</v>
      </c>
      <c r="D71" s="38"/>
      <c r="E71" s="38">
        <f t="shared" si="2"/>
        <v>-7586</v>
      </c>
      <c r="F71" s="38">
        <f t="shared" si="0"/>
        <v>-10599.5</v>
      </c>
      <c r="G71" s="39">
        <f t="shared" si="0"/>
        <v>-10500.415000000008</v>
      </c>
      <c r="H71" s="2"/>
    </row>
    <row r="72" ht="15" customHeight="1">
      <c r="A72" s="23" t="s">
        <v>118</v>
      </c>
      <c r="B72" s="15">
        <f t="shared" si="17" ref="B72:G72">B60/B54</f>
        <v>0.09225367591767795</v>
      </c>
      <c r="C72" s="15">
        <f t="shared" si="17"/>
        <v>0.09023527933813105</v>
      </c>
      <c r="D72" s="15">
        <f t="shared" si="17"/>
        <v>0.327188225323089</v>
      </c>
      <c r="E72" s="15">
        <f t="shared" si="17"/>
        <v>0.08900199294803005</v>
      </c>
      <c r="F72" s="15">
        <f t="shared" si="17"/>
        <v>0.11642136705462823</v>
      </c>
      <c r="G72" s="33">
        <f t="shared" si="17"/>
        <v>0.11277453550988187</v>
      </c>
      <c r="H72" s="2" t="s">
        <v>119</v>
      </c>
    </row>
    <row r="73" ht="15" customHeight="1">
      <c r="A73" s="31" t="s">
        <v>68</v>
      </c>
      <c r="B73" s="48" t="str">
        <f>IF(AND(ISNUMBER(B72),ISNUMBER(Inputs!B183)),(B72-Inputs!B183)*10000,"n/a")</f>
        <v>n/a</v>
      </c>
      <c r="C73" s="48" t="str">
        <f>IF(AND(ISNUMBER(C72),ISNUMBER(Inputs!C183)),(C72-Inputs!C183)*10000,"n/a")</f>
        <v>n/a</v>
      </c>
      <c r="D73" s="48" t="str">
        <f>IF(AND(ISNUMBER(D72),ISNUMBER(Inputs!F183)),(D72-Inputs!F183)*10000,"n/a")</f>
        <v>n/a</v>
      </c>
      <c r="E73" s="48">
        <f>IF(AND(ISNUMBER(E72),ISNUMBER(Inputs!D183)),(E72-Inputs!D183)*10000,"n/a")</f>
        <v>97.10157558633678</v>
      </c>
      <c r="F73" s="48">
        <f>IF(AND(ISNUMBER(F72),ISNUMBER(Inputs!E183)),(F72-Inputs!E183)*10000,"n/a")</f>
        <v>401.80606758957697</v>
      </c>
      <c r="G73" s="39">
        <f t="shared" si="8"/>
        <v>205.20859592203914</v>
      </c>
      <c r="H73" s="2"/>
    </row>
    <row r="74" ht="15" customHeight="1">
      <c r="A74" s="31" t="s">
        <v>69</v>
      </c>
      <c r="B74" s="48">
        <f>IF(AND(ISNUMBER(B72),ISNUMBER(Inputs!E183)),(B72-Inputs!E183)*10000,"n/a")</f>
        <v>160.1291562200742</v>
      </c>
      <c r="C74" s="38">
        <f t="shared" si="5"/>
        <v>-20.18396579546902</v>
      </c>
      <c r="D74" s="38"/>
      <c r="E74" s="38">
        <f t="shared" si="9"/>
        <v>-12.332863901010072</v>
      </c>
      <c r="F74" s="38">
        <f t="shared" si="5"/>
        <v>274.19374106598184</v>
      </c>
      <c r="G74" s="39">
        <f t="shared" si="5"/>
        <v>-36.468315447463624</v>
      </c>
      <c r="H74" s="2"/>
    </row>
    <row r="75" ht="15" customHeight="1">
      <c r="A75" s="3" t="s">
        <v>120</v>
      </c>
      <c r="B75" s="2"/>
      <c r="C75" s="2"/>
      <c r="D75" s="2"/>
      <c r="E75" s="2"/>
      <c r="F75" s="2"/>
      <c r="G75" s="28"/>
      <c r="H75" s="2"/>
    </row>
    <row r="76" ht="15" customHeight="1">
      <c r="A76" s="29" t="s">
        <v>121</v>
      </c>
      <c r="B76" s="54">
        <f>Inputs!E186</f>
        <v>0.95</v>
      </c>
      <c r="C76" s="55">
        <f t="shared" si="18" ref="C76:G76">B83</f>
        <v>1.04</v>
      </c>
      <c r="D76" s="54">
        <f>Inputs!C186</f>
        <v>0.8</v>
      </c>
      <c r="E76" s="55">
        <f>C83</f>
        <v>1.1</v>
      </c>
      <c r="F76" s="55">
        <f t="shared" si="18"/>
        <v>1.28</v>
      </c>
      <c r="G76" s="56">
        <f t="shared" si="18"/>
        <v>1.48</v>
      </c>
      <c r="H76" s="2"/>
    </row>
    <row r="77" ht="15" customHeight="1">
      <c r="A77" s="31" t="s">
        <v>60</v>
      </c>
      <c r="B77" s="32" t="str">
        <f>IF(AND(ISNUMBER(B76),ISNUMBER(Inputs!B184)),IF(Inputs!B184&gt;0,B76/Inputs!B184-1,"n/m"),"n/a")</f>
        <v>n/a</v>
      </c>
      <c r="C77" s="32" t="str">
        <f>IF(AND(ISNUMBER(C76),ISNUMBER(Inputs!C184)),IF(Inputs!C184&gt;0,C76/Inputs!C184-1,"n/m"),"n/a")</f>
        <v>n/a</v>
      </c>
      <c r="D77" s="32" t="str">
        <f>IF(AND(ISNUMBER(D76),ISNUMBER(Inputs!F184)),IF(Inputs!F184&gt;0,D76/Inputs!F184-1,"n/m"),"n/a")</f>
        <v>n/a</v>
      </c>
      <c r="E77" s="32">
        <f>IF(AND(ISNUMBER(E76),ISNUMBER(Inputs!D184)),IF(Inputs!D184&gt;0,E76/Inputs!D184-1,"n/m"),"n/a")</f>
        <v>0.375</v>
      </c>
      <c r="F77" s="32">
        <f>IF(AND(ISNUMBER(F76),ISNUMBER(Inputs!E184)),IF(Inputs!E184&gt;0,F76/Inputs!E184-1,"n/m"),"n/a")</f>
        <v>0.5999999999999999</v>
      </c>
      <c r="G77" s="33">
        <f t="shared" si="1"/>
        <v>0.5578947368421052</v>
      </c>
      <c r="H77" s="2"/>
    </row>
    <row r="78" ht="15" customHeight="1">
      <c r="A78" s="31" t="s">
        <v>65</v>
      </c>
      <c r="B78" s="57">
        <f>IF(AND(ISNUMBER(B76),ISNUMBER(Inputs!E184)),B76-Inputs!E184,"n/a")</f>
        <v>0.1499999999999999</v>
      </c>
      <c r="C78" s="58">
        <f t="shared" si="0"/>
        <v>0.09000000000000008</v>
      </c>
      <c r="D78" s="58"/>
      <c r="E78" s="58">
        <f t="shared" si="2"/>
        <v>0.06000000000000005</v>
      </c>
      <c r="F78" s="58">
        <f t="shared" si="0"/>
        <v>0.17999999999999994</v>
      </c>
      <c r="G78" s="59">
        <f t="shared" si="0"/>
        <v>0.19999999999999996</v>
      </c>
      <c r="H78" s="2"/>
    </row>
    <row r="79" ht="15" customHeight="1">
      <c r="A79" s="29" t="s">
        <v>122</v>
      </c>
      <c r="B79" s="2"/>
      <c r="C79" s="2"/>
      <c r="D79" s="2"/>
      <c r="E79" s="2"/>
      <c r="F79" s="2"/>
      <c r="G79" s="28"/>
      <c r="H79" s="2" t="s">
        <v>123</v>
      </c>
    </row>
    <row r="80" ht="15" customHeight="1">
      <c r="A80" s="29" t="s">
        <v>113</v>
      </c>
      <c r="B80" s="55">
        <f t="shared" si="19" ref="B80:F80">B83-B76</f>
        <v>0.09000000000000008</v>
      </c>
      <c r="C80" s="55">
        <f t="shared" si="19"/>
        <v>0.06000000000000005</v>
      </c>
      <c r="D80" s="55">
        <f t="shared" si="19"/>
        <v>0.30000000000000004</v>
      </c>
      <c r="E80" s="55">
        <f t="shared" si="19"/>
        <v>0.17999999999999994</v>
      </c>
      <c r="F80" s="55">
        <f t="shared" si="19"/>
        <v>0.19999999999999996</v>
      </c>
      <c r="G80" s="60">
        <v>0.17</v>
      </c>
      <c r="H80" s="2" t="s">
        <v>124</v>
      </c>
    </row>
    <row r="81" ht="15" customHeight="1">
      <c r="A81" s="31" t="s">
        <v>72</v>
      </c>
      <c r="B81" s="57" t="str">
        <f>IF(AND(ISNUMBER(B80),ISNUMBER(Inputs!B185)),B80-Inputs!B185,"n/a")</f>
        <v>n/a</v>
      </c>
      <c r="C81" s="57" t="str">
        <f>IF(AND(ISNUMBER(C80),ISNUMBER(Inputs!C185)),C80-Inputs!C185,"n/a")</f>
        <v>n/a</v>
      </c>
      <c r="D81" s="57" t="str">
        <f>IF(AND(ISNUMBER(D80),ISNUMBER(Inputs!F185)),D80-Inputs!F185,"n/a")</f>
        <v>n/a</v>
      </c>
      <c r="E81" s="57">
        <f>IF(AND(ISNUMBER(E80),ISNUMBER(Inputs!D185)),E80-Inputs!D185,"n/a")</f>
        <v>0.17999999999999994</v>
      </c>
      <c r="F81" s="57">
        <f>IF(AND(ISNUMBER(F80),ISNUMBER(Inputs!E185)),F80-Inputs!E185,"n/a")</f>
        <v>0.050000000000000044</v>
      </c>
      <c r="G81" s="59">
        <f t="shared" si="7"/>
        <v>0.07999999999999993</v>
      </c>
      <c r="H81" s="2"/>
    </row>
    <row r="82" ht="15" customHeight="1">
      <c r="A82" s="31" t="s">
        <v>65</v>
      </c>
      <c r="B82" s="57">
        <f>IF(AND(ISNUMBER(B80),ISNUMBER(Inputs!E185)),B80-Inputs!E185,"n/a")</f>
        <v>-0.05999999999999983</v>
      </c>
      <c r="C82" s="58">
        <f t="shared" si="0"/>
        <v>-0.030000000000000027</v>
      </c>
      <c r="D82" s="58"/>
      <c r="E82" s="58">
        <f t="shared" si="2"/>
        <v>0.11999999999999988</v>
      </c>
      <c r="F82" s="58">
        <f t="shared" si="0"/>
        <v>0.020000000000000018</v>
      </c>
      <c r="G82" s="59">
        <f t="shared" si="0"/>
        <v>-0.029999999999999943</v>
      </c>
      <c r="H82" s="2"/>
    </row>
    <row r="83" ht="15" customHeight="1">
      <c r="A83" s="3" t="s">
        <v>125</v>
      </c>
      <c r="B83" s="61">
        <v>1.04</v>
      </c>
      <c r="C83" s="61">
        <v>1.1</v>
      </c>
      <c r="D83" s="62">
        <f t="shared" si="20"/>
        <v>1.1</v>
      </c>
      <c r="E83" s="61">
        <v>1.28</v>
      </c>
      <c r="F83" s="61">
        <v>1.48</v>
      </c>
      <c r="G83" s="63">
        <f>G76+G80</f>
        <v>1.65</v>
      </c>
      <c r="H83" s="2"/>
    </row>
    <row r="84" ht="15" customHeight="1">
      <c r="A84" s="23" t="s">
        <v>60</v>
      </c>
      <c r="B84" s="32" t="str">
        <f>IF(AND(ISNUMBER(B83),ISNUMBER(Inputs!B186)),IF(Inputs!B186&gt;0,B83/Inputs!B186-1,"n/m"),"n/a")</f>
        <v>n/a</v>
      </c>
      <c r="C84" s="32">
        <f>IF(AND(ISNUMBER(C83),ISNUMBER(Inputs!C186)),IF(Inputs!C186&gt;0,C83/Inputs!C186-1,"n/m"),"n/a")</f>
        <v>0.375</v>
      </c>
      <c r="D84" s="32">
        <f>IF(AND(ISNUMBER(D83),ISNUMBER(Inputs!F186)),IF(Inputs!F186&gt;0,D83/Inputs!F186-1,"n/m"),"n/a")</f>
        <v>0.375</v>
      </c>
      <c r="E84" s="32">
        <f>IF(AND(ISNUMBER(E83),ISNUMBER(Inputs!D186)),IF(Inputs!D186&gt;0,E83/Inputs!D186-1,"n/m"),"n/a")</f>
        <v>0.5999999999999999</v>
      </c>
      <c r="F84" s="32">
        <f>IF(AND(ISNUMBER(F83),ISNUMBER(Inputs!E186)),IF(Inputs!E186&gt;0,F83/Inputs!E186-1,"n/m"),"n/a")</f>
        <v>0.5578947368421052</v>
      </c>
      <c r="G84" s="33">
        <f t="shared" si="1"/>
        <v>0.5865384615384615</v>
      </c>
      <c r="H84" s="2"/>
    </row>
    <row r="85" ht="15" customHeight="1">
      <c r="A85" s="23" t="s">
        <v>65</v>
      </c>
      <c r="B85" s="57">
        <f>IF(AND(ISNUMBER(B83),ISNUMBER(Inputs!E186)),B83-Inputs!E186,"n/a")</f>
        <v>0.09000000000000008</v>
      </c>
      <c r="C85" s="58">
        <f t="shared" si="0"/>
        <v>0.06000000000000005</v>
      </c>
      <c r="D85" s="58"/>
      <c r="E85" s="58">
        <f t="shared" si="2"/>
        <v>0.17999999999999994</v>
      </c>
      <c r="F85" s="58">
        <f t="shared" si="0"/>
        <v>0.19999999999999996</v>
      </c>
      <c r="G85" s="59">
        <f t="shared" si="0"/>
        <v>0.16999999999999993</v>
      </c>
      <c r="H85" s="2"/>
    </row>
    <row r="86" ht="15" customHeight="1">
      <c r="A86" s="29" t="s">
        <v>126</v>
      </c>
      <c r="B86" s="55">
        <f t="shared" si="21" ref="B86:G86">(B76+B83)/2</f>
        <v>0.995</v>
      </c>
      <c r="C86" s="55">
        <f t="shared" si="21"/>
        <v>1.07</v>
      </c>
      <c r="D86" s="55">
        <f t="shared" si="21"/>
        <v>0.9500000000000001</v>
      </c>
      <c r="E86" s="55">
        <f t="shared" si="21"/>
        <v>1.19</v>
      </c>
      <c r="F86" s="55">
        <f t="shared" si="21"/>
        <v>1.38</v>
      </c>
      <c r="G86" s="56">
        <f t="shared" si="21"/>
        <v>1.565</v>
      </c>
      <c r="H86" s="2" t="s">
        <v>127</v>
      </c>
    </row>
    <row r="87" ht="15" customHeight="1">
      <c r="A87" s="31" t="s">
        <v>60</v>
      </c>
      <c r="B87" s="32" t="str">
        <f>IF(AND(ISNUMBER(B86),ISNUMBER(Inputs!B187)),IF(Inputs!B187&gt;0,B86/Inputs!B187-1,"n/m"),"n/a")</f>
        <v>n/a</v>
      </c>
      <c r="C87" s="32" t="str">
        <f>IF(AND(ISNUMBER(C86),ISNUMBER(Inputs!C187)),IF(Inputs!C187&gt;0,C86/Inputs!C187-1,"n/m"),"n/a")</f>
        <v>n/a</v>
      </c>
      <c r="D87" s="32" t="str">
        <f>IF(AND(ISNUMBER(D86),ISNUMBER(Inputs!F187)),IF(Inputs!F187&gt;0,D86/Inputs!F187-1,"n/m"),"n/a")</f>
        <v>n/a</v>
      </c>
      <c r="E87" s="32">
        <f>IF(AND(ISNUMBER(E86),ISNUMBER(Inputs!D187)),IF(Inputs!D187&gt;0,E86/Inputs!D187-1,"n/m"),"n/a")</f>
        <v>0.4874999999999998</v>
      </c>
      <c r="F87" s="32">
        <f>IF(AND(ISNUMBER(F86),ISNUMBER(Inputs!E187)),IF(Inputs!E187&gt;0,F86/Inputs!E187-1,"n/m"),"n/a")</f>
        <v>0.577142857142857</v>
      </c>
      <c r="G87" s="33">
        <f t="shared" si="1"/>
        <v>0.5728643216080402</v>
      </c>
      <c r="H87" s="2"/>
    </row>
    <row r="88" ht="15" customHeight="1">
      <c r="A88" s="31" t="s">
        <v>65</v>
      </c>
      <c r="B88" s="57">
        <f>IF(AND(ISNUMBER(B86),ISNUMBER(Inputs!E187)),B86-Inputs!E187,"n/a")</f>
        <v>0.12</v>
      </c>
      <c r="C88" s="58">
        <f t="shared" si="0"/>
        <v>0.07500000000000007</v>
      </c>
      <c r="D88" s="58"/>
      <c r="E88" s="58">
        <f t="shared" si="2"/>
        <v>0.11999999999999988</v>
      </c>
      <c r="F88" s="58">
        <f t="shared" si="0"/>
        <v>0.18999999999999995</v>
      </c>
      <c r="G88" s="59">
        <f t="shared" si="0"/>
        <v>0.18500000000000005</v>
      </c>
      <c r="H88" s="2"/>
    </row>
    <row r="89" ht="15" customHeight="1">
      <c r="A89" s="3" t="s">
        <v>128</v>
      </c>
      <c r="B89" s="2"/>
      <c r="C89" s="2"/>
      <c r="D89" s="2"/>
      <c r="E89" s="2"/>
      <c r="F89" s="2"/>
      <c r="G89" s="28"/>
      <c r="H89" s="2"/>
    </row>
    <row r="90" ht="15" customHeight="1">
      <c r="A90" s="29" t="s">
        <v>129</v>
      </c>
      <c r="B90" s="64">
        <v>8.5</v>
      </c>
      <c r="C90" s="64">
        <v>8.9</v>
      </c>
      <c r="D90" s="55">
        <f t="shared" si="20"/>
        <v>8.9</v>
      </c>
      <c r="E90" s="64">
        <v>9.2</v>
      </c>
      <c r="F90" s="64">
        <v>9.7</v>
      </c>
      <c r="G90" s="56">
        <f>F90+G25/1000000</f>
        <v>10.186532</v>
      </c>
      <c r="H90" s="2" t="s">
        <v>130</v>
      </c>
    </row>
    <row r="91" ht="15" customHeight="1">
      <c r="A91" s="31" t="s">
        <v>60</v>
      </c>
      <c r="B91" s="32" t="str">
        <f>IF(AND(ISNUMBER(B90),ISNUMBER(Inputs!B188)),IF(Inputs!B188&gt;0,B90/Inputs!B188-1,"n/m"),"n/a")</f>
        <v>n/a</v>
      </c>
      <c r="C91" s="32">
        <f>IF(AND(ISNUMBER(C90),ISNUMBER(Inputs!C188)),IF(Inputs!C188&gt;0,C90/Inputs!C188-1,"n/m"),"n/a")</f>
        <v>0.2191780821917808</v>
      </c>
      <c r="D91" s="32">
        <f>IF(AND(ISNUMBER(D90),ISNUMBER(Inputs!F188)),IF(Inputs!F188&gt;0,D90/Inputs!F188-1,"n/m"),"n/a")</f>
        <v>0.2191780821917808</v>
      </c>
      <c r="E91" s="32">
        <f>IF(AND(ISNUMBER(E90),ISNUMBER(Inputs!D188)),IF(Inputs!D188&gt;0,E90/Inputs!D188-1,"n/m"),"n/a")</f>
        <v>0.21052631578947367</v>
      </c>
      <c r="F91" s="32">
        <f>IF(AND(ISNUMBER(F90),ISNUMBER(Inputs!E188)),IF(Inputs!E188&gt;0,F90/Inputs!E188-1,"n/m"),"n/a")</f>
        <v>0.2124999999999999</v>
      </c>
      <c r="G91" s="33">
        <f t="shared" si="1"/>
        <v>0.19841552941176466</v>
      </c>
      <c r="H91" s="2"/>
    </row>
    <row r="92" ht="15" customHeight="1">
      <c r="A92" s="31" t="s">
        <v>65</v>
      </c>
      <c r="B92" s="57">
        <f>IF(AND(ISNUMBER(B90),ISNUMBER(Inputs!E188)),B90-Inputs!E188,"n/a")</f>
        <v>0.5</v>
      </c>
      <c r="C92" s="58">
        <f t="shared" si="0"/>
        <v>0.40000000000000036</v>
      </c>
      <c r="D92" s="58"/>
      <c r="E92" s="58">
        <f t="shared" si="2"/>
        <v>0.29999999999999893</v>
      </c>
      <c r="F92" s="58">
        <f t="shared" si="0"/>
        <v>0.5</v>
      </c>
      <c r="G92" s="59">
        <f t="shared" si="0"/>
        <v>0.4865320000000004</v>
      </c>
      <c r="H92" s="2"/>
    </row>
    <row r="93" ht="15" customHeight="1">
      <c r="A93" s="29" t="s">
        <v>131</v>
      </c>
      <c r="B93" s="54">
        <f>(Inputs!E188+B90)/2</f>
        <v>8.25</v>
      </c>
      <c r="C93" s="55">
        <f t="shared" si="22" ref="C93:G93">(B90+C90)/2</f>
        <v>8.7</v>
      </c>
      <c r="D93" s="54">
        <f>(Inputs!C188+D90)/2</f>
        <v>8.1</v>
      </c>
      <c r="E93" s="55">
        <f>(C90+E90)/2</f>
        <v>9.05</v>
      </c>
      <c r="F93" s="55">
        <f t="shared" si="22"/>
        <v>9.45</v>
      </c>
      <c r="G93" s="56">
        <f t="shared" si="22"/>
        <v>9.943266</v>
      </c>
      <c r="H93" s="2" t="s">
        <v>117</v>
      </c>
    </row>
    <row r="94" ht="15" customHeight="1">
      <c r="A94" s="31" t="s">
        <v>60</v>
      </c>
      <c r="B94" s="32" t="str">
        <f>IF(AND(ISNUMBER(B93),ISNUMBER(Inputs!B189)),IF(Inputs!B189&gt;0,B93/Inputs!B189-1,"n/m"),"n/a")</f>
        <v>n/a</v>
      </c>
      <c r="C94" s="32" t="str">
        <f>IF(AND(ISNUMBER(C93),ISNUMBER(Inputs!C189)),IF(Inputs!C189&gt;0,C93/Inputs!C189-1,"n/m"),"n/a")</f>
        <v>n/a</v>
      </c>
      <c r="D94" s="32" t="str">
        <f>IF(AND(ISNUMBER(D93),ISNUMBER(Inputs!F189)),IF(Inputs!F189&gt;0,D93/Inputs!F189-1,"n/m"),"n/a")</f>
        <v>n/a</v>
      </c>
      <c r="E94" s="32">
        <f>IF(AND(ISNUMBER(E93),ISNUMBER(Inputs!D189)),IF(Inputs!D189&gt;0,E93/Inputs!D189-1,"n/m"),"n/a")</f>
        <v>0.21476510067114107</v>
      </c>
      <c r="F94" s="32">
        <f>IF(AND(ISNUMBER(F93),ISNUMBER(Inputs!E189)),IF(Inputs!E189&gt;0,F93/Inputs!E189-1,"n/m"),"n/a")</f>
        <v>0.21153846153846145</v>
      </c>
      <c r="G94" s="33">
        <f t="shared" si="1"/>
        <v>0.20524436363636367</v>
      </c>
      <c r="H94" s="2"/>
    </row>
    <row r="95" ht="15" customHeight="1">
      <c r="A95" s="31" t="s">
        <v>65</v>
      </c>
      <c r="B95" s="57">
        <f>IF(AND(ISNUMBER(B93),ISNUMBER(Inputs!E189)),B93-Inputs!E189,"n/a")</f>
        <v>0.4500000000000002</v>
      </c>
      <c r="C95" s="58">
        <f t="shared" si="0"/>
        <v>0.4499999999999993</v>
      </c>
      <c r="D95" s="58"/>
      <c r="E95" s="58">
        <f t="shared" si="2"/>
        <v>0.3500000000000014</v>
      </c>
      <c r="F95" s="58">
        <f t="shared" si="0"/>
        <v>0.3999999999999986</v>
      </c>
      <c r="G95" s="59">
        <f t="shared" si="0"/>
        <v>0.4932660000000002</v>
      </c>
      <c r="H95" s="2"/>
    </row>
    <row r="96" ht="15" customHeight="1">
      <c r="A96" s="29" t="s">
        <v>132</v>
      </c>
      <c r="B96" s="46">
        <f>Inputs!E192</f>
        <v>70228</v>
      </c>
      <c r="C96" s="51">
        <f t="shared" si="23" ref="C96:G96">B102</f>
        <v>73817</v>
      </c>
      <c r="D96" s="46">
        <f>Inputs!C192</f>
        <v>65495</v>
      </c>
      <c r="E96" s="51">
        <f>C102</f>
        <v>77682</v>
      </c>
      <c r="F96" s="51">
        <f t="shared" si="23"/>
        <v>79918</v>
      </c>
      <c r="G96" s="52">
        <f t="shared" si="23"/>
        <v>82357</v>
      </c>
      <c r="H96" s="2"/>
    </row>
    <row r="97" ht="15" customHeight="1">
      <c r="A97" s="31" t="s">
        <v>60</v>
      </c>
      <c r="B97" s="32" t="str">
        <f>IF(AND(ISNUMBER(B96),ISNUMBER(Inputs!B190)),IF(Inputs!B190&gt;0,B96/Inputs!B190-1,"n/m"),"n/a")</f>
        <v>n/a</v>
      </c>
      <c r="C97" s="32">
        <f>IF(AND(ISNUMBER(C96),ISNUMBER(Inputs!C190)),IF(Inputs!C190&gt;0,C96/Inputs!C190-1,"n/m"),"n/a")</f>
        <v>0.18256676439018915</v>
      </c>
      <c r="D97" s="32" t="str">
        <f>IF(AND(ISNUMBER(D96),ISNUMBER(Inputs!F190)),IF(Inputs!F190&gt;0,D96/Inputs!F190-1,"n/m"),"n/a")</f>
        <v>n/a</v>
      </c>
      <c r="E97" s="32">
        <f>IF(AND(ISNUMBER(E96),ISNUMBER(Inputs!D190)),IF(Inputs!D190&gt;0,E96/Inputs!D190-1,"n/m"),"n/a")</f>
        <v>0.1860752729215971</v>
      </c>
      <c r="F97" s="32">
        <f>IF(AND(ISNUMBER(F96),ISNUMBER(Inputs!E190)),IF(Inputs!E190&gt;0,F96/Inputs!E190-1,"n/m"),"n/a")</f>
        <v>0.18720660764157104</v>
      </c>
      <c r="G97" s="33">
        <f t="shared" si="1"/>
        <v>0.1727088910406105</v>
      </c>
      <c r="H97" s="2"/>
    </row>
    <row r="98" ht="15" customHeight="1">
      <c r="A98" s="31" t="s">
        <v>65</v>
      </c>
      <c r="B98" s="48">
        <f>IF(AND(ISNUMBER(B96),ISNUMBER(Inputs!E190)),B96-Inputs!E190,"n/a")</f>
        <v>2912</v>
      </c>
      <c r="C98" s="38">
        <f t="shared" si="0"/>
        <v>3589</v>
      </c>
      <c r="D98" s="38"/>
      <c r="E98" s="38">
        <f t="shared" si="2"/>
        <v>3865</v>
      </c>
      <c r="F98" s="38">
        <f t="shared" si="0"/>
        <v>2236</v>
      </c>
      <c r="G98" s="39">
        <f t="shared" si="0"/>
        <v>2439</v>
      </c>
      <c r="H98" s="2"/>
    </row>
    <row r="99" ht="15" customHeight="1">
      <c r="A99" s="29" t="s">
        <v>133</v>
      </c>
      <c r="B99" s="51">
        <f t="shared" si="24" ref="B99:F99">B102-B96</f>
        <v>3589</v>
      </c>
      <c r="C99" s="51">
        <f t="shared" si="24"/>
        <v>3865</v>
      </c>
      <c r="D99" s="51">
        <f t="shared" si="24"/>
        <v>12187</v>
      </c>
      <c r="E99" s="51">
        <f t="shared" si="24"/>
        <v>2236</v>
      </c>
      <c r="F99" s="51">
        <f t="shared" si="24"/>
        <v>2439</v>
      </c>
      <c r="G99" s="47">
        <v>2400</v>
      </c>
      <c r="H99" s="2" t="s">
        <v>134</v>
      </c>
    </row>
    <row r="100" ht="15" customHeight="1">
      <c r="A100" s="31" t="s">
        <v>72</v>
      </c>
      <c r="B100" s="48" t="str">
        <f>IF(AND(ISNUMBER(B99),ISNUMBER(Inputs!B191)),B99-Inputs!B191,"n/a")</f>
        <v>n/a</v>
      </c>
      <c r="C100" s="48">
        <f>IF(AND(ISNUMBER(C99),ISNUMBER(Inputs!C191)),C99-Inputs!C191,"n/a")</f>
        <v>791</v>
      </c>
      <c r="D100" s="48" t="str">
        <f>IF(AND(ISNUMBER(D99),ISNUMBER(Inputs!F191)),D99-Inputs!F191,"n/a")</f>
        <v>n/a</v>
      </c>
      <c r="E100" s="48">
        <f>IF(AND(ISNUMBER(E99),ISNUMBER(Inputs!D191)),E99-Inputs!D191,"n/a")</f>
        <v>415</v>
      </c>
      <c r="F100" s="48">
        <f>IF(AND(ISNUMBER(F99),ISNUMBER(Inputs!E191)),F99-Inputs!E191,"n/a")</f>
        <v>-473</v>
      </c>
      <c r="G100" s="39">
        <f t="shared" si="7"/>
        <v>-1189</v>
      </c>
      <c r="H100" s="2"/>
    </row>
    <row r="101" ht="15" customHeight="1">
      <c r="A101" s="31" t="s">
        <v>65</v>
      </c>
      <c r="B101" s="48">
        <f>IF(AND(ISNUMBER(B99),ISNUMBER(Inputs!E191)),B99-Inputs!E191,"n/a")</f>
        <v>677</v>
      </c>
      <c r="C101" s="38">
        <f t="shared" si="0"/>
        <v>276</v>
      </c>
      <c r="D101" s="38"/>
      <c r="E101" s="38">
        <f t="shared" si="2"/>
        <v>-1629</v>
      </c>
      <c r="F101" s="38">
        <f t="shared" si="0"/>
        <v>203</v>
      </c>
      <c r="G101" s="39">
        <f t="shared" si="0"/>
        <v>-39</v>
      </c>
      <c r="H101" s="2"/>
    </row>
    <row r="102" ht="15" customHeight="1">
      <c r="A102" s="3" t="s">
        <v>135</v>
      </c>
      <c r="B102" s="53">
        <v>73817</v>
      </c>
      <c r="C102" s="53">
        <v>77682</v>
      </c>
      <c r="D102" s="49">
        <f t="shared" si="20"/>
        <v>77682</v>
      </c>
      <c r="E102" s="53">
        <v>79918</v>
      </c>
      <c r="F102" s="53">
        <v>82357</v>
      </c>
      <c r="G102" s="50">
        <f t="shared" si="3"/>
        <v>84757</v>
      </c>
      <c r="H102" s="2"/>
    </row>
    <row r="103" ht="15" customHeight="1">
      <c r="A103" s="23" t="s">
        <v>60</v>
      </c>
      <c r="B103" s="32">
        <f>IF(AND(ISNUMBER(B102),ISNUMBER(Inputs!B192)),IF(Inputs!B192&gt;0,B102/Inputs!B192-1,"n/m"),"n/a")</f>
        <v>0.18256676439018915</v>
      </c>
      <c r="C103" s="32">
        <f>IF(AND(ISNUMBER(C102),ISNUMBER(Inputs!C192)),IF(Inputs!C192&gt;0,C102/Inputs!C192-1,"n/m"),"n/a")</f>
        <v>0.1860752729215971</v>
      </c>
      <c r="D103" s="32">
        <f>IF(AND(ISNUMBER(D102),ISNUMBER(Inputs!F192)),IF(Inputs!F192&gt;0,D102/Inputs!F192-1,"n/m"),"n/a")</f>
        <v>0.1860752729215971</v>
      </c>
      <c r="E103" s="32">
        <f>IF(AND(ISNUMBER(E102),ISNUMBER(Inputs!D192)),IF(Inputs!D192&gt;0,E102/Inputs!D192-1,"n/m"),"n/a")</f>
        <v>0.18720660764157104</v>
      </c>
      <c r="F103" s="32">
        <f>IF(AND(ISNUMBER(F102),ISNUMBER(Inputs!E192)),IF(Inputs!E192&gt;0,F102/Inputs!E192-1,"n/m"),"n/a")</f>
        <v>0.1727088910406105</v>
      </c>
      <c r="G103" s="33">
        <f t="shared" si="1"/>
        <v>0.1482043431729818</v>
      </c>
      <c r="H103" s="2"/>
    </row>
    <row r="104" ht="15" customHeight="1">
      <c r="A104" s="23" t="s">
        <v>65</v>
      </c>
      <c r="B104" s="48">
        <f>IF(AND(ISNUMBER(B102),ISNUMBER(Inputs!E192)),B102-Inputs!E192,"n/a")</f>
        <v>3589</v>
      </c>
      <c r="C104" s="38">
        <f t="shared" si="0"/>
        <v>3865</v>
      </c>
      <c r="D104" s="38"/>
      <c r="E104" s="38">
        <f t="shared" si="2"/>
        <v>2236</v>
      </c>
      <c r="F104" s="38">
        <f t="shared" si="0"/>
        <v>2439</v>
      </c>
      <c r="G104" s="39">
        <f t="shared" si="0"/>
        <v>2400</v>
      </c>
      <c r="H104" s="2"/>
    </row>
    <row r="105" ht="15" customHeight="1">
      <c r="A105" s="3" t="s">
        <v>136</v>
      </c>
      <c r="B105" s="2"/>
      <c r="C105" s="2"/>
      <c r="D105" s="2"/>
      <c r="E105" s="2"/>
      <c r="F105" s="2"/>
      <c r="G105" s="28"/>
      <c r="H105" s="2"/>
    </row>
    <row r="106" ht="15" customHeight="1">
      <c r="A106" s="29" t="s">
        <v>137</v>
      </c>
      <c r="B106" s="51">
        <f t="shared" si="25" ref="B106:F106">B109*1000000/B50</f>
        <v>41816.17642528072</v>
      </c>
      <c r="C106" s="51">
        <f t="shared" si="25"/>
        <v>41131.44627987555</v>
      </c>
      <c r="D106" s="51">
        <f t="shared" si="25"/>
        <v>41279.71442046219</v>
      </c>
      <c r="E106" s="51">
        <f t="shared" si="25"/>
        <v>43635.94317992741</v>
      </c>
      <c r="F106" s="51">
        <f t="shared" si="25"/>
        <v>42336.619080470475</v>
      </c>
      <c r="G106" s="47">
        <v>41760</v>
      </c>
      <c r="H106" s="2" t="s">
        <v>138</v>
      </c>
    </row>
    <row r="107" ht="15" customHeight="1">
      <c r="A107" s="31" t="s">
        <v>60</v>
      </c>
      <c r="B107" s="32">
        <f>IF(AND(ISNUMBER(B106),ISNUMBER(Inputs!B193)),IF(Inputs!B193&gt;0,B106/Inputs!B193-1,"n/m"),"n/a")</f>
        <v>-0.004190538350097639</v>
      </c>
      <c r="C107" s="32">
        <f>IF(AND(ISNUMBER(C106),ISNUMBER(Inputs!C193)),IF(Inputs!C193&gt;0,C106/Inputs!C193-1,"n/m"),"n/a")</f>
        <v>0.03298809037568584</v>
      </c>
      <c r="D107" s="32">
        <f>IF(AND(ISNUMBER(D106),ISNUMBER(Inputs!F193)),IF(Inputs!F193&gt;0,D106/Inputs!F193-1,"n/m"),"n/a")</f>
        <v>-0.015151329893834387</v>
      </c>
      <c r="E107" s="32">
        <f>IF(AND(ISNUMBER(E106),ISNUMBER(Inputs!D193)),IF(Inputs!D193&gt;0,E106/Inputs!D193-1,"n/m"),"n/a")</f>
        <v>0.09034152490439884</v>
      </c>
      <c r="F107" s="32">
        <f>IF(AND(ISNUMBER(F106),ISNUMBER(Inputs!E193)),IF(Inputs!E193&gt;0,F106/Inputs!E193-1,"n/m"),"n/a")</f>
        <v>0.012227880228146137</v>
      </c>
      <c r="G107" s="33">
        <f t="shared" si="1"/>
        <v>-0.0013434137236602028</v>
      </c>
      <c r="H107" s="2"/>
    </row>
    <row r="108" ht="15" customHeight="1">
      <c r="A108" s="31" t="s">
        <v>65</v>
      </c>
      <c r="B108" s="48">
        <f>IF(AND(ISNUMBER(B106),ISNUMBER(Inputs!E193)),B106-Inputs!E193,"n/a")</f>
        <v>-9.00929369811638</v>
      </c>
      <c r="C108" s="38">
        <f t="shared" si="0"/>
        <v>-684.7301454051703</v>
      </c>
      <c r="D108" s="38"/>
      <c r="E108" s="38">
        <f t="shared" si="2"/>
        <v>2504.4969000518613</v>
      </c>
      <c r="F108" s="38">
        <f t="shared" si="0"/>
        <v>-1299.324099456935</v>
      </c>
      <c r="G108" s="39">
        <f t="shared" si="0"/>
        <v>-576.6190804704747</v>
      </c>
      <c r="H108" s="2"/>
    </row>
    <row r="109" ht="15" customHeight="1">
      <c r="A109" s="29" t="s">
        <v>78</v>
      </c>
      <c r="B109" s="40">
        <v>20359</v>
      </c>
      <c r="C109" s="40">
        <v>16750</v>
      </c>
      <c r="D109" s="13">
        <f>Inputs!D194+Inputs!E194+B109+C109</f>
        <v>65821</v>
      </c>
      <c r="E109" s="40">
        <v>15473</v>
      </c>
      <c r="F109" s="40">
        <v>20006</v>
      </c>
      <c r="G109" s="65">
        <f>G50*G106/1000000</f>
        <v>20104.0085808</v>
      </c>
      <c r="H109" s="2"/>
    </row>
    <row r="110" ht="15" customHeight="1">
      <c r="A110" s="31" t="s">
        <v>139</v>
      </c>
      <c r="B110" s="32">
        <f>IF(AND(ISNUMBER(B109),ISNUMBER(Inputs!B194)),IF(Inputs!B194&gt;0,B109/Inputs!B194-1,"n/m"),"n/a")</f>
        <v>0.08114279645265787</v>
      </c>
      <c r="C110" s="32">
        <f>IF(AND(ISNUMBER(C109),ISNUMBER(Inputs!C194)),IF(Inputs!C194&gt;0,C109/Inputs!C194-1,"n/m"),"n/a")</f>
        <v>-0.10230987727102203</v>
      </c>
      <c r="D110" s="32">
        <f>IF(AND(ISNUMBER(D109),ISNUMBER(Inputs!F194)),IF(Inputs!F194&gt;0,D109/Inputs!F194-1,"n/m"),"n/a")</f>
        <v>-0.09187362030905077</v>
      </c>
      <c r="E110" s="32">
        <f>IF(AND(ISNUMBER(E109),ISNUMBER(Inputs!D194)),IF(Inputs!D194&gt;0,E109/Inputs!D194-1,"n/m"),"n/a")</f>
        <v>0.19713733075435202</v>
      </c>
      <c r="F110" s="32">
        <f>IF(AND(ISNUMBER(F109),ISNUMBER(Inputs!E194)),IF(Inputs!E194&gt;0,F109/Inputs!E194-1,"n/m"),"n/a")</f>
        <v>0.2672452017482738</v>
      </c>
      <c r="G110" s="33">
        <f t="shared" si="1"/>
        <v>-0.012524751667567169</v>
      </c>
      <c r="H110" s="2"/>
    </row>
    <row r="111" ht="15" customHeight="1">
      <c r="A111" s="31" t="s">
        <v>74</v>
      </c>
      <c r="B111" s="32">
        <f>'Revenue summary'!B31</f>
        <v>0</v>
      </c>
      <c r="C111" s="32">
        <f>'Revenue summary'!C31</f>
        <v>0</v>
      </c>
      <c r="D111" s="32">
        <f>'Revenue summary'!D31</f>
        <v>0</v>
      </c>
      <c r="E111" s="32">
        <f>'Revenue summary'!E31</f>
        <v>0</v>
      </c>
      <c r="F111" s="32">
        <f>'Revenue summary'!F31</f>
        <v>0</v>
      </c>
      <c r="G111" s="66">
        <f>'Revenue summary'!G31</f>
        <v>0</v>
      </c>
      <c r="H111" s="2"/>
    </row>
    <row r="112" ht="15" customHeight="1">
      <c r="A112" s="31" t="s">
        <v>140</v>
      </c>
      <c r="B112" s="15" t="s">
        <v>31</v>
      </c>
      <c r="C112" s="15" t="s">
        <v>31</v>
      </c>
      <c r="D112" s="15" t="s">
        <v>31</v>
      </c>
      <c r="E112" s="15" t="s">
        <v>31</v>
      </c>
      <c r="F112" s="15" t="s">
        <v>31</v>
      </c>
      <c r="G112" s="33" t="s">
        <v>31</v>
      </c>
      <c r="H112" s="2"/>
    </row>
    <row r="113" ht="15" customHeight="1">
      <c r="A113" s="31" t="s">
        <v>141</v>
      </c>
      <c r="B113" s="15" t="str">
        <f t="shared" si="26" ref="B113:G149">IF(AND(ISNUMBER(B110),ISNUMBER(B111),ISNUMBER(B112)),(1+B110)/((1+B111)*(1+B112))-1,"n/a")</f>
        <v>n/a</v>
      </c>
      <c r="C113" s="15" t="str">
        <f t="shared" si="26"/>
        <v>n/a</v>
      </c>
      <c r="D113" s="15" t="str">
        <f t="shared" si="26"/>
        <v>n/a</v>
      </c>
      <c r="E113" s="15" t="str">
        <f t="shared" si="26"/>
        <v>n/a</v>
      </c>
      <c r="F113" s="15" t="str">
        <f t="shared" si="26"/>
        <v>n/a</v>
      </c>
      <c r="G113" s="33" t="str">
        <f t="shared" si="26"/>
        <v>n/a</v>
      </c>
      <c r="H113" s="2"/>
    </row>
    <row r="114" ht="15" customHeight="1">
      <c r="A114" s="31" t="s">
        <v>65</v>
      </c>
      <c r="B114" s="24">
        <f>IF(AND(ISNUMBER(B109),ISNUMBER(Inputs!E194)),B109-Inputs!E194,"n/a")</f>
        <v>4572</v>
      </c>
      <c r="C114" s="36">
        <f t="shared" si="27" ref="C114:G150">IF(AND(ISNUMBER(C109),ISNUMBER(B109)),C109-B109,"n/a")</f>
        <v>-3609</v>
      </c>
      <c r="D114" s="36"/>
      <c r="E114" s="36">
        <f t="shared" si="28" ref="E114:E150">IF(AND(ISNUMBER(E109),ISNUMBER(C109)),E109-C109,"n/a")</f>
        <v>-1277</v>
      </c>
      <c r="F114" s="36">
        <f t="shared" si="27"/>
        <v>4533</v>
      </c>
      <c r="G114" s="37">
        <f t="shared" si="27"/>
        <v>98.00858080000035</v>
      </c>
      <c r="H114" s="2"/>
    </row>
    <row r="115" ht="15" customHeight="1">
      <c r="A115" s="29" t="s">
        <v>79</v>
      </c>
      <c r="B115" s="40">
        <v>417</v>
      </c>
      <c r="C115" s="40">
        <v>542</v>
      </c>
      <c r="D115" s="13">
        <f>Inputs!D195+Inputs!E195+B115+C115</f>
        <v>1993</v>
      </c>
      <c r="E115" s="40">
        <v>380</v>
      </c>
      <c r="F115" s="40">
        <v>146</v>
      </c>
      <c r="G115" s="41">
        <v>150</v>
      </c>
      <c r="H115" s="2" t="s">
        <v>142</v>
      </c>
    </row>
    <row r="116" ht="15" customHeight="1">
      <c r="A116" s="31" t="s">
        <v>139</v>
      </c>
      <c r="B116" s="32">
        <f>IF(AND(ISNUMBER(B115),ISNUMBER(Inputs!B195)),IF(Inputs!B195&gt;0,B115/Inputs!B195-1,"n/m"),"n/a")</f>
        <v>-0.435723951285521</v>
      </c>
      <c r="C116" s="32">
        <f>IF(AND(ISNUMBER(C115),ISNUMBER(Inputs!C195)),IF(Inputs!C195&gt;0,C115/Inputs!C195-1,"n/m"),"n/a")</f>
        <v>-0.2167630057803468</v>
      </c>
      <c r="D116" s="32">
        <f>IF(AND(ISNUMBER(D115),ISNUMBER(Inputs!F195)),IF(Inputs!F195&gt;0,D115/Inputs!F195-1,"n/m"),"n/a")</f>
        <v>-0.27868259138617446</v>
      </c>
      <c r="E116" s="32">
        <f>IF(AND(ISNUMBER(E115),ISNUMBER(Inputs!D195)),IF(Inputs!D195&gt;0,E115/Inputs!D195-1,"n/m"),"n/a")</f>
        <v>-0.3613445378151261</v>
      </c>
      <c r="F116" s="32">
        <f>IF(AND(ISNUMBER(F115),ISNUMBER(Inputs!E195)),IF(Inputs!E195&gt;0,F115/Inputs!E195-1,"n/m"),"n/a")</f>
        <v>-0.6674259681093394</v>
      </c>
      <c r="G116" s="33">
        <f t="shared" si="1"/>
        <v>-0.6402877697841727</v>
      </c>
      <c r="H116" s="2"/>
    </row>
    <row r="117" ht="15" customHeight="1">
      <c r="A117" s="31" t="s">
        <v>74</v>
      </c>
      <c r="B117" s="32">
        <f>'Revenue summary'!B31</f>
        <v>0</v>
      </c>
      <c r="C117" s="32">
        <f>'Revenue summary'!C31</f>
        <v>0</v>
      </c>
      <c r="D117" s="32">
        <f>'Revenue summary'!D31</f>
        <v>0</v>
      </c>
      <c r="E117" s="32">
        <f>'Revenue summary'!E31</f>
        <v>0</v>
      </c>
      <c r="F117" s="32">
        <f>'Revenue summary'!F31</f>
        <v>0</v>
      </c>
      <c r="G117" s="66">
        <f>'Revenue summary'!G31</f>
        <v>0</v>
      </c>
      <c r="H117" s="2"/>
    </row>
    <row r="118" ht="15" customHeight="1">
      <c r="A118" s="31" t="s">
        <v>140</v>
      </c>
      <c r="B118" s="15" t="s">
        <v>31</v>
      </c>
      <c r="C118" s="15" t="s">
        <v>31</v>
      </c>
      <c r="D118" s="15" t="s">
        <v>31</v>
      </c>
      <c r="E118" s="15" t="s">
        <v>31</v>
      </c>
      <c r="F118" s="15" t="s">
        <v>31</v>
      </c>
      <c r="G118" s="33" t="s">
        <v>31</v>
      </c>
      <c r="H118" s="2"/>
    </row>
    <row r="119" ht="15" customHeight="1">
      <c r="A119" s="31" t="s">
        <v>141</v>
      </c>
      <c r="B119" s="15" t="str">
        <f t="shared" si="26"/>
        <v>n/a</v>
      </c>
      <c r="C119" s="15" t="str">
        <f t="shared" si="26"/>
        <v>n/a</v>
      </c>
      <c r="D119" s="15" t="str">
        <f t="shared" si="26"/>
        <v>n/a</v>
      </c>
      <c r="E119" s="15" t="str">
        <f t="shared" si="26"/>
        <v>n/a</v>
      </c>
      <c r="F119" s="15" t="str">
        <f t="shared" si="26"/>
        <v>n/a</v>
      </c>
      <c r="G119" s="33" t="str">
        <f t="shared" si="26"/>
        <v>n/a</v>
      </c>
      <c r="H119" s="2"/>
    </row>
    <row r="120" ht="15" customHeight="1">
      <c r="A120" s="31" t="s">
        <v>65</v>
      </c>
      <c r="B120" s="24">
        <f>IF(AND(ISNUMBER(B115),ISNUMBER(Inputs!E195)),B115-Inputs!E195,"n/a")</f>
        <v>-22</v>
      </c>
      <c r="C120" s="36">
        <f t="shared" si="27"/>
        <v>125</v>
      </c>
      <c r="D120" s="36"/>
      <c r="E120" s="36">
        <f t="shared" si="28"/>
        <v>-162</v>
      </c>
      <c r="F120" s="36">
        <f t="shared" si="27"/>
        <v>-234</v>
      </c>
      <c r="G120" s="37">
        <f t="shared" si="27"/>
        <v>4</v>
      </c>
      <c r="H120" s="2"/>
    </row>
    <row r="121" ht="15" customHeight="1">
      <c r="A121" s="29" t="s">
        <v>143</v>
      </c>
      <c r="B121" s="51">
        <f t="shared" si="29" ref="B121:F121">B124*1000000/B69</f>
        <v>2523.195459424488</v>
      </c>
      <c r="C121" s="51">
        <f t="shared" si="29"/>
        <v>2428.5515295029645</v>
      </c>
      <c r="D121" s="51">
        <f t="shared" si="29"/>
        <v>9965.133673653514</v>
      </c>
      <c r="E121" s="51">
        <f t="shared" si="29"/>
        <v>2418.5408771495495</v>
      </c>
      <c r="F121" s="51">
        <f t="shared" si="29"/>
        <v>2477.3111645744502</v>
      </c>
      <c r="G121" s="47">
        <v>2450</v>
      </c>
      <c r="H121" s="2" t="s">
        <v>144</v>
      </c>
    </row>
    <row r="122" ht="15" customHeight="1">
      <c r="A122" s="31" t="s">
        <v>60</v>
      </c>
      <c r="B122" s="32" t="str">
        <f>IF(AND(ISNUMBER(B121),ISNUMBER(Inputs!B196)),IF(Inputs!B196&gt;0,B121/Inputs!B196-1,"n/m"),"n/a")</f>
        <v>n/a</v>
      </c>
      <c r="C122" s="32" t="str">
        <f>IF(AND(ISNUMBER(C121),ISNUMBER(Inputs!C196)),IF(Inputs!C196&gt;0,C121/Inputs!C196-1,"n/m"),"n/a")</f>
        <v>n/a</v>
      </c>
      <c r="D122" s="32" t="str">
        <f>IF(AND(ISNUMBER(D121),ISNUMBER(Inputs!F196)),IF(Inputs!F196&gt;0,D121/Inputs!F196-1,"n/m"),"n/a")</f>
        <v>n/a</v>
      </c>
      <c r="E122" s="32">
        <f>IF(AND(ISNUMBER(E121),ISNUMBER(Inputs!D196)),IF(Inputs!D196&gt;0,E121/Inputs!D196-1,"n/m"),"n/a")</f>
        <v>-0.024865419696659452</v>
      </c>
      <c r="F122" s="32">
        <f>IF(AND(ISNUMBER(F121),ISNUMBER(Inputs!E196)),IF(Inputs!E196&gt;0,F121/Inputs!E196-1,"n/m"),"n/a")</f>
        <v>0.004626559305564326</v>
      </c>
      <c r="G122" s="33">
        <f t="shared" si="1"/>
        <v>-0.02900903263403265</v>
      </c>
      <c r="H122" s="2"/>
    </row>
    <row r="123" ht="15" customHeight="1">
      <c r="A123" s="31" t="s">
        <v>65</v>
      </c>
      <c r="B123" s="48">
        <f>IF(AND(ISNUMBER(B121),ISNUMBER(Inputs!E196)),B121-Inputs!E196,"n/a")</f>
        <v>57.29293910205024</v>
      </c>
      <c r="C123" s="38">
        <f t="shared" si="0"/>
        <v>-94.64392992152352</v>
      </c>
      <c r="D123" s="38"/>
      <c r="E123" s="38">
        <f t="shared" si="2"/>
        <v>-10.010652353415026</v>
      </c>
      <c r="F123" s="38">
        <f t="shared" si="0"/>
        <v>58.770287424900744</v>
      </c>
      <c r="G123" s="39">
        <f t="shared" si="0"/>
        <v>-27.31116457445023</v>
      </c>
      <c r="H123" s="2"/>
    </row>
    <row r="124" ht="15" customHeight="1">
      <c r="A124" s="29" t="s">
        <v>80</v>
      </c>
      <c r="B124" s="40">
        <v>429</v>
      </c>
      <c r="C124" s="40">
        <v>401</v>
      </c>
      <c r="D124" s="13">
        <f>Inputs!D197+Inputs!E197+B124+C124</f>
        <v>1712</v>
      </c>
      <c r="E124" s="40">
        <v>381</v>
      </c>
      <c r="F124" s="40">
        <v>364</v>
      </c>
      <c r="G124" s="65">
        <f>G69*G121/1000000</f>
        <v>334.26105825</v>
      </c>
      <c r="H124" s="2"/>
    </row>
    <row r="125" ht="15" customHeight="1">
      <c r="A125" s="31" t="s">
        <v>139</v>
      </c>
      <c r="B125" s="32">
        <f>IF(AND(ISNUMBER(B124),ISNUMBER(Inputs!B197)),IF(Inputs!B197&gt;0,B124/Inputs!B197-1,"n/m"),"n/a")</f>
        <v>-0.03811659192825112</v>
      </c>
      <c r="C125" s="32">
        <f>IF(AND(ISNUMBER(C124),ISNUMBER(Inputs!C197)),IF(Inputs!C197&gt;0,C124/Inputs!C197-1,"n/m"),"n/a")</f>
        <v>-0.1029082774049217</v>
      </c>
      <c r="D125" s="32">
        <f>IF(AND(ISNUMBER(D124),ISNUMBER(Inputs!F197)),IF(Inputs!F197&gt;0,D124/Inputs!F197-1,"n/m"),"n/a")</f>
        <v>-0.06294471811713187</v>
      </c>
      <c r="E125" s="32">
        <f>IF(AND(ISNUMBER(E124),ISNUMBER(Inputs!D197)),IF(Inputs!D197&gt;0,E124/Inputs!D197-1,"n/m"),"n/a")</f>
        <v>-0.1476510067114094</v>
      </c>
      <c r="F125" s="32">
        <f>IF(AND(ISNUMBER(F124),ISNUMBER(Inputs!E197)),IF(Inputs!E197&gt;0,F124/Inputs!E197-1,"n/m"),"n/a")</f>
        <v>-0.16321839080459766</v>
      </c>
      <c r="G125" s="33">
        <f t="shared" si="1"/>
        <v>-0.22083669405594397</v>
      </c>
      <c r="H125" s="2"/>
    </row>
    <row r="126" ht="15" customHeight="1">
      <c r="A126" s="31" t="s">
        <v>74</v>
      </c>
      <c r="B126" s="32">
        <f>'Revenue summary'!B31</f>
        <v>0</v>
      </c>
      <c r="C126" s="32">
        <f>'Revenue summary'!C31</f>
        <v>0</v>
      </c>
      <c r="D126" s="32">
        <f>'Revenue summary'!D31</f>
        <v>0</v>
      </c>
      <c r="E126" s="32">
        <f>'Revenue summary'!E31</f>
        <v>0</v>
      </c>
      <c r="F126" s="32">
        <f>'Revenue summary'!F31</f>
        <v>0</v>
      </c>
      <c r="G126" s="66">
        <f>'Revenue summary'!G31</f>
        <v>0</v>
      </c>
      <c r="H126" s="2"/>
    </row>
    <row r="127" ht="15" customHeight="1">
      <c r="A127" s="31" t="s">
        <v>140</v>
      </c>
      <c r="B127" s="15" t="s">
        <v>31</v>
      </c>
      <c r="C127" s="15" t="s">
        <v>31</v>
      </c>
      <c r="D127" s="15" t="s">
        <v>31</v>
      </c>
      <c r="E127" s="15" t="s">
        <v>31</v>
      </c>
      <c r="F127" s="15" t="s">
        <v>31</v>
      </c>
      <c r="G127" s="33" t="s">
        <v>31</v>
      </c>
      <c r="H127" s="2"/>
    </row>
    <row r="128" ht="15" customHeight="1">
      <c r="A128" s="31" t="s">
        <v>141</v>
      </c>
      <c r="B128" s="15" t="str">
        <f t="shared" si="26"/>
        <v>n/a</v>
      </c>
      <c r="C128" s="15" t="str">
        <f t="shared" si="26"/>
        <v>n/a</v>
      </c>
      <c r="D128" s="15" t="str">
        <f t="shared" si="26"/>
        <v>n/a</v>
      </c>
      <c r="E128" s="15" t="str">
        <f t="shared" si="26"/>
        <v>n/a</v>
      </c>
      <c r="F128" s="15" t="str">
        <f t="shared" si="26"/>
        <v>n/a</v>
      </c>
      <c r="G128" s="33" t="str">
        <f t="shared" si="26"/>
        <v>n/a</v>
      </c>
      <c r="H128" s="2"/>
    </row>
    <row r="129" ht="15" customHeight="1">
      <c r="A129" s="31" t="s">
        <v>65</v>
      </c>
      <c r="B129" s="24">
        <f>IF(AND(ISNUMBER(B124),ISNUMBER(Inputs!E197)),B124-Inputs!E197,"n/a")</f>
        <v>-6</v>
      </c>
      <c r="C129" s="36">
        <f t="shared" si="27"/>
        <v>-28</v>
      </c>
      <c r="D129" s="36"/>
      <c r="E129" s="36">
        <f t="shared" si="28"/>
        <v>-20</v>
      </c>
      <c r="F129" s="36">
        <f t="shared" si="27"/>
        <v>-17</v>
      </c>
      <c r="G129" s="37">
        <f t="shared" si="27"/>
        <v>-29.73894174999998</v>
      </c>
      <c r="H129" s="2"/>
    </row>
    <row r="130" ht="15" customHeight="1">
      <c r="A130" s="3" t="s">
        <v>145</v>
      </c>
      <c r="B130" s="34">
        <f t="shared" si="30" ref="B130:G130">B109+B115+B124</f>
        <v>21205</v>
      </c>
      <c r="C130" s="34">
        <f t="shared" si="30"/>
        <v>17693</v>
      </c>
      <c r="D130" s="34">
        <f t="shared" si="30"/>
        <v>69526</v>
      </c>
      <c r="E130" s="34">
        <f t="shared" si="30"/>
        <v>16234</v>
      </c>
      <c r="F130" s="34">
        <f t="shared" si="30"/>
        <v>20516</v>
      </c>
      <c r="G130" s="35">
        <f t="shared" si="30"/>
        <v>20588.26963905</v>
      </c>
      <c r="H130" s="2"/>
    </row>
    <row r="131" ht="15" customHeight="1">
      <c r="A131" s="23" t="s">
        <v>139</v>
      </c>
      <c r="B131" s="32">
        <f>IF(AND(ISNUMBER(B130),ISNUMBER(Inputs!B198)),IF(Inputs!B198&gt;0,B130/Inputs!B198-1,"n/m"),"n/a")</f>
        <v>0.059402478017585914</v>
      </c>
      <c r="C131" s="32">
        <f>IF(AND(ISNUMBER(C130),ISNUMBER(Inputs!C198)),IF(Inputs!C198&gt;0,C130/Inputs!C198-1,"n/m"),"n/a")</f>
        <v>-0.10632387109809072</v>
      </c>
      <c r="D131" s="32">
        <f>IF(AND(ISNUMBER(D130),ISNUMBER(Inputs!F198)),IF(Inputs!F198&gt;0,D130/Inputs!F198-1,"n/m"),"n/a")</f>
        <v>-0.09788503957441286</v>
      </c>
      <c r="E131" s="32">
        <f>IF(AND(ISNUMBER(E130),ISNUMBER(Inputs!D198)),IF(Inputs!D198&gt;0,E130/Inputs!D198-1,"n/m"),"n/a")</f>
        <v>0.16231116202477258</v>
      </c>
      <c r="F131" s="32">
        <f>IF(AND(ISNUMBER(F130),ISNUMBER(Inputs!E198)),IF(Inputs!E198&gt;0,F130/Inputs!E198-1,"n/m"),"n/a")</f>
        <v>0.231378668747374</v>
      </c>
      <c r="G131" s="33">
        <f t="shared" si="1"/>
        <v>-0.029084195281773195</v>
      </c>
      <c r="H131" s="2"/>
    </row>
    <row r="132" ht="15" customHeight="1">
      <c r="A132" s="23" t="s">
        <v>74</v>
      </c>
      <c r="B132" s="32">
        <f>'Revenue summary'!B31</f>
        <v>0</v>
      </c>
      <c r="C132" s="32">
        <f>'Revenue summary'!C31</f>
        <v>0</v>
      </c>
      <c r="D132" s="32">
        <f>'Revenue summary'!D31</f>
        <v>0</v>
      </c>
      <c r="E132" s="32">
        <f>'Revenue summary'!E31</f>
        <v>0</v>
      </c>
      <c r="F132" s="32">
        <f>'Revenue summary'!F31</f>
        <v>0</v>
      </c>
      <c r="G132" s="66">
        <f>'Revenue summary'!G31</f>
        <v>0</v>
      </c>
      <c r="H132" s="2"/>
    </row>
    <row r="133" ht="15" customHeight="1">
      <c r="A133" s="23" t="s">
        <v>140</v>
      </c>
      <c r="B133" s="15" t="s">
        <v>31</v>
      </c>
      <c r="C133" s="15" t="s">
        <v>31</v>
      </c>
      <c r="D133" s="15" t="s">
        <v>31</v>
      </c>
      <c r="E133" s="15" t="s">
        <v>31</v>
      </c>
      <c r="F133" s="15" t="s">
        <v>31</v>
      </c>
      <c r="G133" s="33" t="s">
        <v>31</v>
      </c>
      <c r="H133" s="2"/>
    </row>
    <row r="134" ht="15" customHeight="1">
      <c r="A134" s="23" t="s">
        <v>141</v>
      </c>
      <c r="B134" s="15" t="str">
        <f t="shared" si="26"/>
        <v>n/a</v>
      </c>
      <c r="C134" s="15" t="str">
        <f t="shared" si="26"/>
        <v>n/a</v>
      </c>
      <c r="D134" s="15" t="str">
        <f t="shared" si="26"/>
        <v>n/a</v>
      </c>
      <c r="E134" s="15" t="str">
        <f t="shared" si="26"/>
        <v>n/a</v>
      </c>
      <c r="F134" s="15" t="str">
        <f t="shared" si="26"/>
        <v>n/a</v>
      </c>
      <c r="G134" s="33" t="str">
        <f t="shared" si="26"/>
        <v>n/a</v>
      </c>
      <c r="H134" s="2"/>
    </row>
    <row r="135" ht="15" customHeight="1">
      <c r="A135" s="23" t="s">
        <v>65</v>
      </c>
      <c r="B135" s="24">
        <f>IF(AND(ISNUMBER(B130),ISNUMBER(Inputs!E198)),B130-Inputs!E198,"n/a")</f>
        <v>4544</v>
      </c>
      <c r="C135" s="36">
        <f t="shared" si="27"/>
        <v>-3512</v>
      </c>
      <c r="D135" s="36"/>
      <c r="E135" s="36">
        <f t="shared" si="28"/>
        <v>-1459</v>
      </c>
      <c r="F135" s="36">
        <f t="shared" si="27"/>
        <v>4282</v>
      </c>
      <c r="G135" s="37">
        <f t="shared" si="27"/>
        <v>72.26963904999866</v>
      </c>
      <c r="H135" s="2"/>
    </row>
    <row r="136" ht="15" customHeight="1">
      <c r="A136" s="29" t="s">
        <v>146</v>
      </c>
      <c r="B136" s="51">
        <f t="shared" si="31" ref="B136:F136">B139/B93</f>
        <v>421.2121212121212</v>
      </c>
      <c r="C136" s="51">
        <f t="shared" si="31"/>
        <v>387.4712643678161</v>
      </c>
      <c r="D136" s="51">
        <f t="shared" si="31"/>
        <v>1546.9135802469136</v>
      </c>
      <c r="E136" s="51">
        <f t="shared" si="31"/>
        <v>413.81215469613255</v>
      </c>
      <c r="F136" s="51">
        <f t="shared" si="31"/>
        <v>484.7619047619048</v>
      </c>
      <c r="G136" s="47">
        <v>480</v>
      </c>
      <c r="H136" s="2" t="s">
        <v>147</v>
      </c>
    </row>
    <row r="137" ht="15" customHeight="1">
      <c r="A137" s="31" t="s">
        <v>60</v>
      </c>
      <c r="B137" s="32" t="str">
        <f>IF(AND(ISNUMBER(B136),ISNUMBER(Inputs!B199)),IF(Inputs!B199&gt;0,B136/Inputs!B199-1,"n/m"),"n/a")</f>
        <v>n/a</v>
      </c>
      <c r="C137" s="32" t="str">
        <f>IF(AND(ISNUMBER(C136),ISNUMBER(Inputs!C199)),IF(Inputs!C199&gt;0,C136/Inputs!C199-1,"n/m"),"n/a")</f>
        <v>n/a</v>
      </c>
      <c r="D137" s="32" t="str">
        <f>IF(AND(ISNUMBER(D136),ISNUMBER(Inputs!F199)),IF(Inputs!F199&gt;0,D136/Inputs!F199-1,"n/m"),"n/a")</f>
        <v>n/a</v>
      </c>
      <c r="E137" s="32">
        <f>IF(AND(ISNUMBER(E136),ISNUMBER(Inputs!D199)),IF(Inputs!D199&gt;0,E136/Inputs!D199-1,"n/m"),"n/a")</f>
        <v>0.16865070223130685</v>
      </c>
      <c r="F137" s="32">
        <f>IF(AND(ISNUMBER(F136),ISNUMBER(Inputs!E199)),IF(Inputs!E199&gt;0,F136/Inputs!E199-1,"n/m"),"n/a")</f>
        <v>0.2413469655754621</v>
      </c>
      <c r="G137" s="33">
        <f t="shared" si="1"/>
        <v>0.13956834532374107</v>
      </c>
      <c r="H137" s="2"/>
    </row>
    <row r="138" ht="15" customHeight="1">
      <c r="A138" s="31" t="s">
        <v>65</v>
      </c>
      <c r="B138" s="48">
        <f>IF(AND(ISNUMBER(B136),ISNUMBER(Inputs!E199)),B136-Inputs!E199,"n/a")</f>
        <v>30.699300699300693</v>
      </c>
      <c r="C138" s="38">
        <f t="shared" si="0"/>
        <v>-33.740856844305085</v>
      </c>
      <c r="D138" s="38"/>
      <c r="E138" s="38">
        <f t="shared" si="2"/>
        <v>26.340890328316448</v>
      </c>
      <c r="F138" s="38">
        <f t="shared" si="0"/>
        <v>70.94975006577226</v>
      </c>
      <c r="G138" s="39">
        <f t="shared" si="0"/>
        <v>-4.761904761904816</v>
      </c>
      <c r="H138" s="2"/>
    </row>
    <row r="139" ht="15" customHeight="1">
      <c r="A139" s="29" t="s">
        <v>81</v>
      </c>
      <c r="B139" s="40">
        <v>3475</v>
      </c>
      <c r="C139" s="40">
        <v>3371</v>
      </c>
      <c r="D139" s="13">
        <f>Inputs!D200+Inputs!E200+B139+C139</f>
        <v>12530</v>
      </c>
      <c r="E139" s="40">
        <v>3745</v>
      </c>
      <c r="F139" s="40">
        <v>4581</v>
      </c>
      <c r="G139" s="65">
        <f>G93*G136</f>
        <v>4772.76768</v>
      </c>
      <c r="H139" s="2"/>
    </row>
    <row r="140" ht="15" customHeight="1">
      <c r="A140" s="31" t="s">
        <v>139</v>
      </c>
      <c r="B140" s="32">
        <f>IF(AND(ISNUMBER(B139),ISNUMBER(Inputs!B200)),IF(Inputs!B200&gt;0,B139/Inputs!B200-1,"n/m"),"n/a")</f>
        <v>0.24551971326164868</v>
      </c>
      <c r="C140" s="32">
        <f>IF(AND(ISNUMBER(C139),ISNUMBER(Inputs!C200)),IF(Inputs!C200&gt;0,C139/Inputs!C200-1,"n/m"),"n/a")</f>
        <v>0.1836376404494382</v>
      </c>
      <c r="D140" s="32">
        <f>IF(AND(ISNUMBER(D139),ISNUMBER(Inputs!F200)),IF(Inputs!F200&gt;0,D139/Inputs!F200-1,"n/m"),"n/a")</f>
        <v>0.18948167837478636</v>
      </c>
      <c r="E140" s="32">
        <f>IF(AND(ISNUMBER(E139),ISNUMBER(Inputs!D200)),IF(Inputs!D200&gt;0,E139/Inputs!D200-1,"n/m"),"n/a")</f>
        <v>0.4196360879454133</v>
      </c>
      <c r="F140" s="32">
        <f>IF(AND(ISNUMBER(F139),ISNUMBER(Inputs!E200)),IF(Inputs!E200&gt;0,F139/Inputs!E200-1,"n/m"),"n/a")</f>
        <v>0.5039395929087327</v>
      </c>
      <c r="G140" s="33">
        <f t="shared" si="1"/>
        <v>0.373458325179856</v>
      </c>
      <c r="H140" s="2"/>
    </row>
    <row r="141" ht="15" customHeight="1">
      <c r="A141" s="31" t="s">
        <v>74</v>
      </c>
      <c r="B141" s="32">
        <f>'Revenue summary'!B31</f>
        <v>0</v>
      </c>
      <c r="C141" s="32">
        <f>'Revenue summary'!C31</f>
        <v>0</v>
      </c>
      <c r="D141" s="32">
        <f>'Revenue summary'!D31</f>
        <v>0</v>
      </c>
      <c r="E141" s="32">
        <f>'Revenue summary'!E31</f>
        <v>0</v>
      </c>
      <c r="F141" s="32">
        <f>'Revenue summary'!F31</f>
        <v>0</v>
      </c>
      <c r="G141" s="66">
        <f>'Revenue summary'!G31</f>
        <v>0</v>
      </c>
      <c r="H141" s="2"/>
    </row>
    <row r="142" ht="15" customHeight="1">
      <c r="A142" s="31" t="s">
        <v>140</v>
      </c>
      <c r="B142" s="15" t="s">
        <v>31</v>
      </c>
      <c r="C142" s="15" t="s">
        <v>31</v>
      </c>
      <c r="D142" s="15" t="s">
        <v>31</v>
      </c>
      <c r="E142" s="15" t="s">
        <v>31</v>
      </c>
      <c r="F142" s="15" t="s">
        <v>31</v>
      </c>
      <c r="G142" s="33" t="s">
        <v>31</v>
      </c>
      <c r="H142" s="2"/>
    </row>
    <row r="143" ht="15" customHeight="1">
      <c r="A143" s="31" t="s">
        <v>141</v>
      </c>
      <c r="B143" s="15" t="str">
        <f t="shared" si="26"/>
        <v>n/a</v>
      </c>
      <c r="C143" s="15" t="str">
        <f t="shared" si="26"/>
        <v>n/a</v>
      </c>
      <c r="D143" s="15" t="str">
        <f t="shared" si="26"/>
        <v>n/a</v>
      </c>
      <c r="E143" s="15" t="str">
        <f t="shared" si="26"/>
        <v>n/a</v>
      </c>
      <c r="F143" s="15" t="str">
        <f t="shared" si="26"/>
        <v>n/a</v>
      </c>
      <c r="G143" s="33" t="str">
        <f t="shared" si="26"/>
        <v>n/a</v>
      </c>
      <c r="H143" s="2"/>
    </row>
    <row r="144" ht="15" customHeight="1">
      <c r="A144" s="31" t="s">
        <v>65</v>
      </c>
      <c r="B144" s="24">
        <f>IF(AND(ISNUMBER(B139),ISNUMBER(Inputs!E200)),B139-Inputs!E200,"n/a")</f>
        <v>429</v>
      </c>
      <c r="C144" s="36">
        <f t="shared" si="27"/>
        <v>-104</v>
      </c>
      <c r="D144" s="36"/>
      <c r="E144" s="36">
        <f t="shared" si="28"/>
        <v>374</v>
      </c>
      <c r="F144" s="36">
        <f t="shared" si="27"/>
        <v>836</v>
      </c>
      <c r="G144" s="37">
        <f t="shared" si="27"/>
        <v>191.76767999999993</v>
      </c>
      <c r="H144" s="2"/>
    </row>
    <row r="145" ht="15" customHeight="1">
      <c r="A145" s="3" t="s">
        <v>148</v>
      </c>
      <c r="B145" s="34">
        <f t="shared" si="32" ref="B145:G145">B130+B139</f>
        <v>24680</v>
      </c>
      <c r="C145" s="34">
        <f t="shared" si="32"/>
        <v>21064</v>
      </c>
      <c r="D145" s="34">
        <f t="shared" si="32"/>
        <v>82056</v>
      </c>
      <c r="E145" s="34">
        <f t="shared" si="32"/>
        <v>19979</v>
      </c>
      <c r="F145" s="34">
        <f t="shared" si="32"/>
        <v>25097</v>
      </c>
      <c r="G145" s="35">
        <f t="shared" si="32"/>
        <v>25361.03731905</v>
      </c>
      <c r="H145" s="2"/>
    </row>
    <row r="146" ht="15" customHeight="1">
      <c r="A146" s="23" t="s">
        <v>139</v>
      </c>
      <c r="B146" s="32">
        <f>IF(AND(ISNUMBER(B145),ISNUMBER(Inputs!B201)),IF(Inputs!B201&gt;0,B145/Inputs!B201-1,"n/m"),"n/a")</f>
        <v>0.08217135841445233</v>
      </c>
      <c r="C146" s="32">
        <f>IF(AND(ISNUMBER(C145),ISNUMBER(Inputs!C201)),IF(Inputs!C201&gt;0,C145/Inputs!C201-1,"n/m"),"n/a")</f>
        <v>-0.0698578115340458</v>
      </c>
      <c r="D146" s="32">
        <f>IF(AND(ISNUMBER(D145),ISNUMBER(Inputs!F201)),IF(Inputs!F201&gt;0,D145/Inputs!F201-1,"n/m"),"n/a")</f>
        <v>-0.06333044153235012</v>
      </c>
      <c r="E146" s="32">
        <f>IF(AND(ISNUMBER(E145),ISNUMBER(Inputs!D201)),IF(Inputs!D201&gt;0,E145/Inputs!D201-1,"n/m"),"n/a")</f>
        <v>0.2031918096958747</v>
      </c>
      <c r="F146" s="32">
        <f>IF(AND(ISNUMBER(F145),ISNUMBER(Inputs!E201)),IF(Inputs!E201&gt;0,F145/Inputs!E201-1,"n/m"),"n/a")</f>
        <v>0.2735068757294363</v>
      </c>
      <c r="G146" s="33">
        <f t="shared" si="1"/>
        <v>0.027594704985818508</v>
      </c>
      <c r="H146" s="2"/>
    </row>
    <row r="147" ht="15" customHeight="1">
      <c r="A147" s="23" t="s">
        <v>74</v>
      </c>
      <c r="B147" s="32">
        <f>'Revenue summary'!B31</f>
        <v>0</v>
      </c>
      <c r="C147" s="32">
        <f>'Revenue summary'!C31</f>
        <v>0</v>
      </c>
      <c r="D147" s="32">
        <f>'Revenue summary'!D31</f>
        <v>0</v>
      </c>
      <c r="E147" s="32">
        <f>'Revenue summary'!E31</f>
        <v>0</v>
      </c>
      <c r="F147" s="32">
        <f>'Revenue summary'!F31</f>
        <v>0</v>
      </c>
      <c r="G147" s="66">
        <f>'Revenue summary'!G31</f>
        <v>0</v>
      </c>
      <c r="H147" s="2"/>
    </row>
    <row r="148" ht="15" customHeight="1">
      <c r="A148" s="23" t="s">
        <v>140</v>
      </c>
      <c r="B148" s="15" t="s">
        <v>31</v>
      </c>
      <c r="C148" s="15" t="s">
        <v>31</v>
      </c>
      <c r="D148" s="15" t="s">
        <v>31</v>
      </c>
      <c r="E148" s="15" t="s">
        <v>31</v>
      </c>
      <c r="F148" s="15" t="s">
        <v>31</v>
      </c>
      <c r="G148" s="33" t="s">
        <v>31</v>
      </c>
      <c r="H148" s="2"/>
    </row>
    <row r="149" ht="15" customHeight="1">
      <c r="A149" s="23" t="s">
        <v>141</v>
      </c>
      <c r="B149" s="15" t="str">
        <f t="shared" si="26"/>
        <v>n/a</v>
      </c>
      <c r="C149" s="15" t="str">
        <f t="shared" si="26"/>
        <v>n/a</v>
      </c>
      <c r="D149" s="15" t="str">
        <f t="shared" si="26"/>
        <v>n/a</v>
      </c>
      <c r="E149" s="15" t="str">
        <f t="shared" si="26"/>
        <v>n/a</v>
      </c>
      <c r="F149" s="15" t="str">
        <f t="shared" si="26"/>
        <v>n/a</v>
      </c>
      <c r="G149" s="33" t="str">
        <f t="shared" si="26"/>
        <v>n/a</v>
      </c>
      <c r="H149" s="2"/>
    </row>
    <row r="150" ht="15" customHeight="1">
      <c r="A150" s="23" t="s">
        <v>65</v>
      </c>
      <c r="B150" s="24">
        <f>IF(AND(ISNUMBER(B145),ISNUMBER(Inputs!E201)),B145-Inputs!E201,"n/a")</f>
        <v>4973</v>
      </c>
      <c r="C150" s="36">
        <f t="shared" si="27"/>
        <v>-3616</v>
      </c>
      <c r="D150" s="36"/>
      <c r="E150" s="36">
        <f t="shared" si="28"/>
        <v>-1085</v>
      </c>
      <c r="F150" s="36">
        <f t="shared" si="27"/>
        <v>5118</v>
      </c>
      <c r="G150" s="37">
        <f t="shared" si="27"/>
        <v>264.0373190499995</v>
      </c>
      <c r="H150" s="2"/>
    </row>
    <row r="151" ht="15" customHeight="1">
      <c r="A151" s="29" t="s">
        <v>149</v>
      </c>
      <c r="B151" s="40">
        <v>24680</v>
      </c>
      <c r="C151" s="13">
        <f>Inputs!B143-Inputs!C143</f>
        <v>21064</v>
      </c>
      <c r="D151" s="13">
        <f>Inputs!B143</f>
        <v>82056</v>
      </c>
      <c r="E151" s="40">
        <v>19979</v>
      </c>
      <c r="F151" s="40">
        <v>25097</v>
      </c>
      <c r="G151" s="65" t="s">
        <v>31</v>
      </c>
      <c r="H151" s="2" t="s">
        <v>150</v>
      </c>
    </row>
    <row r="152" ht="15" customHeight="1">
      <c r="A152" s="23" t="s">
        <v>151</v>
      </c>
      <c r="B152" s="36">
        <f t="shared" si="33" ref="B152:F152">B145-B151</f>
        <v>0</v>
      </c>
      <c r="C152" s="36">
        <f t="shared" si="33"/>
        <v>0</v>
      </c>
      <c r="D152" s="36">
        <f t="shared" si="33"/>
        <v>0</v>
      </c>
      <c r="E152" s="36">
        <f t="shared" si="33"/>
        <v>0</v>
      </c>
      <c r="F152" s="36">
        <f t="shared" si="33"/>
        <v>0</v>
      </c>
      <c r="G152" s="37" t="s">
        <v>31</v>
      </c>
      <c r="H152" s="2"/>
    </row>
    <row r="153" ht="15" customHeight="1">
      <c r="A153" s="3" t="s">
        <v>152</v>
      </c>
      <c r="B153" s="2"/>
      <c r="C153" s="2"/>
      <c r="D153" s="2"/>
      <c r="E153" s="2"/>
      <c r="F153" s="2"/>
      <c r="G153" s="28"/>
      <c r="H153" s="2"/>
    </row>
    <row r="154" ht="15" customHeight="1">
      <c r="A154" s="29" t="s">
        <v>153</v>
      </c>
      <c r="B154" s="51">
        <f t="shared" si="34" ref="B154:F154">B157*1000000/B50</f>
        <v>35666.67830566333</v>
      </c>
      <c r="C154" s="51">
        <f t="shared" si="34"/>
        <v>34069.11556340259</v>
      </c>
      <c r="D154" s="51">
        <f t="shared" si="34"/>
        <v>35287.91254001224</v>
      </c>
      <c r="E154" s="51">
        <f t="shared" si="34"/>
        <v>35578.81853279676</v>
      </c>
      <c r="F154" s="51">
        <f t="shared" si="34"/>
        <v>35691.76334155828</v>
      </c>
      <c r="G154" s="47">
        <v>35100</v>
      </c>
      <c r="H154" s="2" t="s">
        <v>154</v>
      </c>
    </row>
    <row r="155" ht="15" customHeight="1">
      <c r="A155" s="31" t="s">
        <v>60</v>
      </c>
      <c r="B155" s="32">
        <f>IF(AND(ISNUMBER(B154),ISNUMBER(Inputs!B203)),IF(Inputs!B203&gt;0,B154/Inputs!B203-1,"n/m"),"n/a")</f>
        <v>0.01596905837959528</v>
      </c>
      <c r="C155" s="32">
        <f>IF(AND(ISNUMBER(C154),ISNUMBER(Inputs!C203)),IF(Inputs!C203&gt;0,C154/Inputs!C203-1,"n/m"),"n/a")</f>
        <v>-0.018621827764017662</v>
      </c>
      <c r="D155" s="32">
        <f>IF(AND(ISNUMBER(D154),ISNUMBER(Inputs!F203)),IF(Inputs!F203&gt;0,D154/Inputs!F203-1,"n/m"),"n/a")</f>
        <v>-0.013727654983391124</v>
      </c>
      <c r="E155" s="32">
        <f>IF(AND(ISNUMBER(E154),ISNUMBER(Inputs!D203)),IF(Inputs!D203&gt;0,E154/Inputs!D203-1,"n/m"),"n/a")</f>
        <v>0.002577020622287929</v>
      </c>
      <c r="F155" s="32">
        <f>IF(AND(ISNUMBER(F154),ISNUMBER(Inputs!E203)),IF(Inputs!E203&gt;0,F154/Inputs!E203-1,"n/m"),"n/a")</f>
        <v>-0.0070076319895440164</v>
      </c>
      <c r="G155" s="33">
        <f t="shared" si="1"/>
        <v>-0.015888171609559354</v>
      </c>
      <c r="H155" s="2"/>
    </row>
    <row r="156" ht="15" customHeight="1">
      <c r="A156" s="31" t="s">
        <v>65</v>
      </c>
      <c r="B156" s="48">
        <f>IF(AND(ISNUMBER(B154),ISNUMBER(Inputs!E203)),B154-Inputs!E203,"n/a")</f>
        <v>-276.9648595603285</v>
      </c>
      <c r="C156" s="38">
        <f t="shared" si="0"/>
        <v>-1597.5627422607358</v>
      </c>
      <c r="D156" s="38"/>
      <c r="E156" s="38">
        <f t="shared" si="2"/>
        <v>1509.7029693941658</v>
      </c>
      <c r="F156" s="38">
        <f t="shared" si="0"/>
        <v>112.94480876152375</v>
      </c>
      <c r="G156" s="39">
        <f t="shared" si="0"/>
        <v>-591.7633415582823</v>
      </c>
      <c r="H156" s="2"/>
    </row>
    <row r="157" ht="15" customHeight="1">
      <c r="A157" s="29" t="s">
        <v>155</v>
      </c>
      <c r="B157" s="40">
        <v>17365</v>
      </c>
      <c r="C157" s="40">
        <v>13874</v>
      </c>
      <c r="D157" s="13">
        <f>Inputs!D204+Inputs!E204+B157+C157</f>
        <v>56267</v>
      </c>
      <c r="E157" s="40">
        <v>12616</v>
      </c>
      <c r="F157" s="40">
        <v>16866</v>
      </c>
      <c r="G157" s="65">
        <f>G50*G154/1000000</f>
        <v>16897.765833</v>
      </c>
      <c r="H157" s="2"/>
    </row>
    <row r="158" ht="15" customHeight="1">
      <c r="A158" s="31" t="s">
        <v>60</v>
      </c>
      <c r="B158" s="32">
        <f>IF(AND(ISNUMBER(B157),ISNUMBER(Inputs!B204)),IF(Inputs!B204&gt;0,B157/Inputs!B204-1,"n/m"),"n/a")</f>
        <v>0.10302991805881989</v>
      </c>
      <c r="C158" s="32">
        <f>IF(AND(ISNUMBER(C157),ISNUMBER(Inputs!C204)),IF(Inputs!C204&gt;0,C157/Inputs!C204-1,"n/m"),"n/a")</f>
        <v>-0.14716006884681587</v>
      </c>
      <c r="D158" s="32">
        <f>IF(AND(ISNUMBER(D157),ISNUMBER(Inputs!F204)),IF(Inputs!F204&gt;0,D157/Inputs!F204-1,"n/m"),"n/a")</f>
        <v>-0.09056085340229514</v>
      </c>
      <c r="E158" s="32">
        <f>IF(AND(ISNUMBER(E157),ISNUMBER(Inputs!D204)),IF(Inputs!D204&gt;0,E157/Inputs!D204-1,"n/m"),"n/a")</f>
        <v>0.10077654654916679</v>
      </c>
      <c r="F158" s="32">
        <f>IF(AND(ISNUMBER(F157),ISNUMBER(Inputs!E204)),IF(Inputs!E204&gt;0,F157/Inputs!E204-1,"n/m"),"n/a")</f>
        <v>0.243163558634923</v>
      </c>
      <c r="G158" s="33">
        <f t="shared" si="1"/>
        <v>-0.026906660927152215</v>
      </c>
      <c r="H158" s="2"/>
    </row>
    <row r="159" ht="15" customHeight="1">
      <c r="A159" s="31" t="s">
        <v>65</v>
      </c>
      <c r="B159" s="24">
        <f>IF(AND(ISNUMBER(B157),ISNUMBER(Inputs!E204)),B157-Inputs!E204,"n/a")</f>
        <v>3798</v>
      </c>
      <c r="C159" s="36">
        <f t="shared" si="0"/>
        <v>-3491</v>
      </c>
      <c r="D159" s="36"/>
      <c r="E159" s="36">
        <f t="shared" si="2"/>
        <v>-1258</v>
      </c>
      <c r="F159" s="36">
        <f t="shared" si="0"/>
        <v>4250</v>
      </c>
      <c r="G159" s="37">
        <f t="shared" si="0"/>
        <v>31.765833000001294</v>
      </c>
      <c r="H159" s="2"/>
    </row>
    <row r="160" ht="15" customHeight="1">
      <c r="A160" s="23" t="s">
        <v>156</v>
      </c>
      <c r="B160" s="15">
        <f t="shared" si="35" ref="B160:F160">B184/B124</f>
        <v>0.4755244755244755</v>
      </c>
      <c r="C160" s="15">
        <f t="shared" si="35"/>
        <v>0.486284289276808</v>
      </c>
      <c r="D160" s="15">
        <f t="shared" si="35"/>
        <v>0.47546728971962615</v>
      </c>
      <c r="E160" s="15">
        <f t="shared" si="35"/>
        <v>0.48556430446194226</v>
      </c>
      <c r="F160" s="15">
        <f t="shared" si="35"/>
        <v>0.48626373626373626</v>
      </c>
      <c r="G160" s="43">
        <v>0.486</v>
      </c>
      <c r="H160" s="2" t="s">
        <v>157</v>
      </c>
    </row>
    <row r="161" ht="15" customHeight="1">
      <c r="A161" s="31" t="s">
        <v>68</v>
      </c>
      <c r="B161" s="48">
        <f>IF(AND(ISNUMBER(B160),ISNUMBER(Inputs!B205)),(B160-Inputs!B205)*10000,"n/a")</f>
        <v>293.3613471730062</v>
      </c>
      <c r="C161" s="48">
        <f>IF(AND(ISNUMBER(C160),ISNUMBER(Inputs!C205)),(C160-Inputs!C205)*10000,"n/a")</f>
        <v>276.7131388530913</v>
      </c>
      <c r="D161" s="48">
        <f>IF(AND(ISNUMBER(D160),ISNUMBER(Inputs!F205)),(D160-Inputs!F205)*10000,"n/a")</f>
        <v>244.54700776002701</v>
      </c>
      <c r="E161" s="48">
        <f>IF(AND(ISNUMBER(E160),ISNUMBER(Inputs!D205)),(E160-Inputs!D205)*10000,"n/a")</f>
        <v>202.39919674470252</v>
      </c>
      <c r="F161" s="48">
        <f>IF(AND(ISNUMBER(F160),ISNUMBER(Inputs!E205)),(F160-Inputs!E205)*10000,"n/a")</f>
        <v>104.01667298219009</v>
      </c>
      <c r="G161" s="39">
        <f t="shared" si="8"/>
        <v>104.75524475524468</v>
      </c>
      <c r="H161" s="2"/>
    </row>
    <row r="162" ht="15" customHeight="1">
      <c r="A162" s="31" t="s">
        <v>69</v>
      </c>
      <c r="B162" s="48">
        <f>IF(AND(ISNUMBER(B160),ISNUMBER(Inputs!E205)),(B160-Inputs!E205)*10000,"n/a")</f>
        <v>-3.3759344104172806</v>
      </c>
      <c r="C162" s="38">
        <f t="shared" si="5"/>
        <v>107.59813752332481</v>
      </c>
      <c r="D162" s="38"/>
      <c r="E162" s="38">
        <f t="shared" si="9"/>
        <v>-7.199848148657373</v>
      </c>
      <c r="F162" s="38">
        <f t="shared" si="5"/>
        <v>6.994318017939927</v>
      </c>
      <c r="G162" s="39">
        <f t="shared" si="5"/>
        <v>-2.6373626373626946</v>
      </c>
      <c r="H162" s="2"/>
    </row>
    <row r="163" ht="15" customHeight="1">
      <c r="A163" s="29" t="s">
        <v>158</v>
      </c>
      <c r="B163" s="40">
        <v>225</v>
      </c>
      <c r="C163" s="40">
        <v>206</v>
      </c>
      <c r="D163" s="13">
        <f>Inputs!D206+Inputs!E206+B163+C163</f>
        <v>898</v>
      </c>
      <c r="E163" s="40">
        <v>196</v>
      </c>
      <c r="F163" s="40">
        <v>187</v>
      </c>
      <c r="G163" s="65">
        <f>G124*(1-G160)</f>
        <v>171.81018394050002</v>
      </c>
      <c r="H163" s="2"/>
    </row>
    <row r="164" ht="15" customHeight="1">
      <c r="A164" s="31" t="s">
        <v>60</v>
      </c>
      <c r="B164" s="32">
        <f>IF(AND(ISNUMBER(B163),ISNUMBER(Inputs!B206)),IF(Inputs!B206&gt;0,B163/Inputs!B206-1,"n/m"),"n/a")</f>
        <v>-0.08906882591093113</v>
      </c>
      <c r="C164" s="32">
        <f>IF(AND(ISNUMBER(C163),ISNUMBER(Inputs!C206)),IF(Inputs!C206&gt;0,C163/Inputs!C206-1,"n/m"),"n/a")</f>
        <v>-0.14876033057851235</v>
      </c>
      <c r="D164" s="32">
        <f>IF(AND(ISNUMBER(D163),ISNUMBER(Inputs!F206)),IF(Inputs!F206&gt;0,D163/Inputs!F206-1,"n/m"),"n/a")</f>
        <v>-0.1046859421734796</v>
      </c>
      <c r="E164" s="32">
        <f>IF(AND(ISNUMBER(E163),ISNUMBER(Inputs!D206)),IF(Inputs!D206&gt;0,E163/Inputs!D206-1,"n/m"),"n/a")</f>
        <v>-0.17991631799163177</v>
      </c>
      <c r="F164" s="32">
        <f>IF(AND(ISNUMBER(F163),ISNUMBER(Inputs!E206)),IF(Inputs!E206&gt;0,F163/Inputs!E206-1,"n/m"),"n/a")</f>
        <v>-0.17982456140350878</v>
      </c>
      <c r="G164" s="33">
        <f t="shared" si="1"/>
        <v>-0.23639918248666658</v>
      </c>
      <c r="H164" s="2"/>
    </row>
    <row r="165" ht="15" customHeight="1">
      <c r="A165" s="31" t="s">
        <v>65</v>
      </c>
      <c r="B165" s="24">
        <f>IF(AND(ISNUMBER(B163),ISNUMBER(Inputs!E206)),B163-Inputs!E206,"n/a")</f>
        <v>-3</v>
      </c>
      <c r="C165" s="36">
        <f t="shared" si="0"/>
        <v>-19</v>
      </c>
      <c r="D165" s="36"/>
      <c r="E165" s="36">
        <f t="shared" si="2"/>
        <v>-10</v>
      </c>
      <c r="F165" s="36">
        <f t="shared" si="0"/>
        <v>-9</v>
      </c>
      <c r="G165" s="37">
        <f t="shared" si="0"/>
        <v>-15.189816059499975</v>
      </c>
      <c r="H165" s="2"/>
    </row>
    <row r="166" ht="15" customHeight="1">
      <c r="A166" s="3" t="s">
        <v>159</v>
      </c>
      <c r="B166" s="34">
        <f t="shared" si="36" ref="B166:G175">B157+B163</f>
        <v>17590</v>
      </c>
      <c r="C166" s="34">
        <f t="shared" si="36"/>
        <v>14080</v>
      </c>
      <c r="D166" s="34">
        <f t="shared" si="36"/>
        <v>57165</v>
      </c>
      <c r="E166" s="34">
        <f t="shared" si="36"/>
        <v>12812</v>
      </c>
      <c r="F166" s="34">
        <f t="shared" si="36"/>
        <v>17053</v>
      </c>
      <c r="G166" s="35">
        <f t="shared" si="36"/>
        <v>17069.5760169405</v>
      </c>
      <c r="H166" s="2"/>
    </row>
    <row r="167" ht="15" customHeight="1">
      <c r="A167" s="23" t="s">
        <v>60</v>
      </c>
      <c r="B167" s="32">
        <f>IF(AND(ISNUMBER(B166),ISNUMBER(Inputs!B207)),IF(Inputs!B207&gt;0,B166/Inputs!B207-1,"n/m"),"n/a")</f>
        <v>0.10006253908692941</v>
      </c>
      <c r="C167" s="32">
        <f>IF(AND(ISNUMBER(C166),ISNUMBER(Inputs!C207)),IF(Inputs!C207&gt;0,C166/Inputs!C207-1,"n/m"),"n/a")</f>
        <v>-0.14718352513628108</v>
      </c>
      <c r="D167" s="32">
        <f>IF(AND(ISNUMBER(D166),ISNUMBER(Inputs!F207)),IF(Inputs!F207&gt;0,D166/Inputs!F207-1,"n/m"),"n/a")</f>
        <v>-0.09078618802983796</v>
      </c>
      <c r="E167" s="32">
        <f>IF(AND(ISNUMBER(E166),ISNUMBER(Inputs!D207)),IF(Inputs!D207&gt;0,E166/Inputs!D207-1,"n/m"),"n/a")</f>
        <v>0.09504273504273497</v>
      </c>
      <c r="F167" s="32">
        <f>IF(AND(ISNUMBER(F166),ISNUMBER(Inputs!E207)),IF(Inputs!E207&gt;0,F166/Inputs!E207-1,"n/m"),"n/a")</f>
        <v>0.23617252627763685</v>
      </c>
      <c r="G167" s="33">
        <f t="shared" si="1"/>
        <v>-0.02958635492094941</v>
      </c>
      <c r="H167" s="2"/>
    </row>
    <row r="168" ht="15" customHeight="1">
      <c r="A168" s="23" t="s">
        <v>65</v>
      </c>
      <c r="B168" s="24">
        <f>IF(AND(ISNUMBER(B166),ISNUMBER(Inputs!E207)),B166-Inputs!E207,"n/a")</f>
        <v>3795</v>
      </c>
      <c r="C168" s="36">
        <f t="shared" si="0"/>
        <v>-3510</v>
      </c>
      <c r="D168" s="36"/>
      <c r="E168" s="36">
        <f t="shared" si="2"/>
        <v>-1268</v>
      </c>
      <c r="F168" s="36">
        <f t="shared" si="0"/>
        <v>4241</v>
      </c>
      <c r="G168" s="37">
        <f t="shared" si="0"/>
        <v>16.576016940500267</v>
      </c>
      <c r="H168" s="2"/>
    </row>
    <row r="169" ht="15" customHeight="1">
      <c r="A169" s="23" t="s">
        <v>160</v>
      </c>
      <c r="B169" s="15">
        <f t="shared" si="37" ref="B169:F169">B196/B139</f>
        <v>0.10532374100719424</v>
      </c>
      <c r="C169" s="15">
        <f t="shared" si="37"/>
        <v>0.08840106793236428</v>
      </c>
      <c r="D169" s="15">
        <f t="shared" si="37"/>
        <v>0.07430167597765364</v>
      </c>
      <c r="E169" s="15">
        <f t="shared" si="37"/>
        <v>0.09238985313751669</v>
      </c>
      <c r="F169" s="15">
        <f t="shared" si="37"/>
        <v>0.14145383104125736</v>
      </c>
      <c r="G169" s="43">
        <v>0.138</v>
      </c>
      <c r="H169" s="2" t="s">
        <v>161</v>
      </c>
    </row>
    <row r="170" ht="15" customHeight="1">
      <c r="A170" s="31" t="s">
        <v>68</v>
      </c>
      <c r="B170" s="48">
        <f>IF(AND(ISNUMBER(B169),ISNUMBER(Inputs!B208)),(B169-Inputs!B208)*10000,"n/a")</f>
        <v>171.5169799644156</v>
      </c>
      <c r="C170" s="48">
        <f>IF(AND(ISNUMBER(C169),ISNUMBER(Inputs!C208)),(C169-Inputs!C208)*10000,"n/a")</f>
        <v>466.17360067195744</v>
      </c>
      <c r="D170" s="48">
        <f>IF(AND(ISNUMBER(D169),ISNUMBER(Inputs!F208)),(D169-Inputs!F208)*10000,"n/a")</f>
        <v>161.0915651686001</v>
      </c>
      <c r="E170" s="48">
        <f>IF(AND(ISNUMBER(E169),ISNUMBER(Inputs!D208)),(E169-Inputs!D208)*10000,"n/a")</f>
        <v>541.0327239452957</v>
      </c>
      <c r="F170" s="48">
        <f>IF(AND(ISNUMBER(F169),ISNUMBER(Inputs!E208)),(F169-Inputs!E208)*10000,"n/a")</f>
        <v>869.5612913712077</v>
      </c>
      <c r="G170" s="39">
        <f t="shared" si="8"/>
        <v>326.76258992805765</v>
      </c>
      <c r="H170" s="2"/>
    </row>
    <row r="171" ht="15" customHeight="1">
      <c r="A171" s="31" t="s">
        <v>69</v>
      </c>
      <c r="B171" s="48">
        <f>IF(AND(ISNUMBER(B169),ISNUMBER(Inputs!E208)),(B169-Inputs!E208)*10000,"n/a")</f>
        <v>508.2603910305767</v>
      </c>
      <c r="C171" s="38">
        <f t="shared" si="5"/>
        <v>-169.22673074829962</v>
      </c>
      <c r="D171" s="38"/>
      <c r="E171" s="38">
        <f t="shared" si="9"/>
        <v>39.887852051524035</v>
      </c>
      <c r="F171" s="38">
        <f t="shared" si="5"/>
        <v>490.63977903740675</v>
      </c>
      <c r="G171" s="39">
        <f t="shared" si="5"/>
        <v>-34.538310412573495</v>
      </c>
      <c r="H171" s="2"/>
    </row>
    <row r="172" ht="15" customHeight="1">
      <c r="A172" s="29" t="s">
        <v>162</v>
      </c>
      <c r="B172" s="40">
        <v>3109</v>
      </c>
      <c r="C172" s="40">
        <v>3073</v>
      </c>
      <c r="D172" s="13">
        <f>Inputs!D209+Inputs!E209+B172+C172</f>
        <v>11599</v>
      </c>
      <c r="E172" s="40">
        <v>3399</v>
      </c>
      <c r="F172" s="40">
        <v>3933</v>
      </c>
      <c r="G172" s="65">
        <f>G139*(1-G169)</f>
        <v>4114.12574016</v>
      </c>
      <c r="H172" s="2"/>
    </row>
    <row r="173" ht="15" customHeight="1">
      <c r="A173" s="31" t="s">
        <v>60</v>
      </c>
      <c r="B173" s="32">
        <f>IF(AND(ISNUMBER(B172),ISNUMBER(Inputs!B209)),IF(Inputs!B209&gt;0,B172/Inputs!B209-1,"n/m"),"n/a")</f>
        <v>0.22209119496855356</v>
      </c>
      <c r="C173" s="32">
        <f>IF(AND(ISNUMBER(C172),ISNUMBER(Inputs!C209)),IF(Inputs!C209&gt;0,C172/Inputs!C209-1,"n/m"),"n/a")</f>
        <v>0.12605349945034816</v>
      </c>
      <c r="D173" s="32">
        <f>IF(AND(ISNUMBER(D172),ISNUMBER(Inputs!F209)),IF(Inputs!F209&gt;0,D172/Inputs!F209-1,"n/m"),"n/a")</f>
        <v>0.16913617578873108</v>
      </c>
      <c r="E173" s="32">
        <f>IF(AND(ISNUMBER(E172),ISNUMBER(Inputs!D209)),IF(Inputs!D209&gt;0,E172/Inputs!D209-1,"n/m"),"n/a")</f>
        <v>0.33977138352384717</v>
      </c>
      <c r="F173" s="32">
        <f>IF(AND(ISNUMBER(F172),ISNUMBER(Inputs!E209)),IF(Inputs!E209&gt;0,F172/Inputs!E209-1,"n/m"),"n/a")</f>
        <v>0.3656250000000001</v>
      </c>
      <c r="G173" s="33">
        <f t="shared" si="1"/>
        <v>0.32329550986169164</v>
      </c>
      <c r="H173" s="2"/>
    </row>
    <row r="174" ht="15" customHeight="1">
      <c r="A174" s="31" t="s">
        <v>65</v>
      </c>
      <c r="B174" s="24">
        <f>IF(AND(ISNUMBER(B172),ISNUMBER(Inputs!E209)),B172-Inputs!E209,"n/a")</f>
        <v>229</v>
      </c>
      <c r="C174" s="36">
        <f t="shared" si="0"/>
        <v>-36</v>
      </c>
      <c r="D174" s="36"/>
      <c r="E174" s="36">
        <f t="shared" si="2"/>
        <v>326</v>
      </c>
      <c r="F174" s="36">
        <f t="shared" si="0"/>
        <v>534</v>
      </c>
      <c r="G174" s="37">
        <f t="shared" si="0"/>
        <v>181.12574015999962</v>
      </c>
      <c r="H174" s="2"/>
    </row>
    <row r="175" ht="15" customHeight="1">
      <c r="A175" s="3" t="s">
        <v>163</v>
      </c>
      <c r="B175" s="34">
        <f t="shared" si="36"/>
        <v>20699</v>
      </c>
      <c r="C175" s="34">
        <f t="shared" si="36"/>
        <v>17153</v>
      </c>
      <c r="D175" s="34">
        <f t="shared" si="36"/>
        <v>68764</v>
      </c>
      <c r="E175" s="34">
        <f t="shared" si="36"/>
        <v>16211</v>
      </c>
      <c r="F175" s="34">
        <f t="shared" si="36"/>
        <v>20986</v>
      </c>
      <c r="G175" s="35">
        <f t="shared" si="36"/>
        <v>21183.701757100498</v>
      </c>
      <c r="H175" s="2"/>
    </row>
    <row r="176" ht="15" customHeight="1">
      <c r="A176" s="23" t="s">
        <v>60</v>
      </c>
      <c r="B176" s="32">
        <f>IF(AND(ISNUMBER(B175),ISNUMBER(Inputs!B210)),IF(Inputs!B210&gt;0,B175/Inputs!B210-1,"n/m"),"n/a")</f>
        <v>0.11681234487968051</v>
      </c>
      <c r="C176" s="32">
        <f>IF(AND(ISNUMBER(C175),ISNUMBER(Inputs!C210)),IF(Inputs!C210&gt;0,C175/Inputs!C210-1,"n/m"),"n/a")</f>
        <v>-0.10842559384583395</v>
      </c>
      <c r="D176" s="32">
        <f>IF(AND(ISNUMBER(D175),ISNUMBER(Inputs!F210)),IF(Inputs!F210&gt;0,D175/Inputs!F210-1,"n/m"),"n/a")</f>
        <v>-0.055361705635079805</v>
      </c>
      <c r="E176" s="32">
        <f>IF(AND(ISNUMBER(E175),ISNUMBER(Inputs!D210)),IF(Inputs!D210&gt;0,E175/Inputs!D210-1,"n/m"),"n/a")</f>
        <v>0.13865280606869423</v>
      </c>
      <c r="F176" s="32">
        <f>IF(AND(ISNUMBER(F175),ISNUMBER(Inputs!E210)),IF(Inputs!E210&gt;0,F175/Inputs!E210-1,"n/m"),"n/a")</f>
        <v>0.2585307346326837</v>
      </c>
      <c r="G176" s="33">
        <f t="shared" si="1"/>
        <v>0.02341667506162115</v>
      </c>
      <c r="H176" s="2"/>
    </row>
    <row r="177" ht="15" customHeight="1">
      <c r="A177" s="23" t="s">
        <v>65</v>
      </c>
      <c r="B177" s="24">
        <f>IF(AND(ISNUMBER(B175),ISNUMBER(Inputs!E210)),B175-Inputs!E210,"n/a")</f>
        <v>4024</v>
      </c>
      <c r="C177" s="36">
        <f t="shared" si="0"/>
        <v>-3546</v>
      </c>
      <c r="D177" s="36"/>
      <c r="E177" s="36">
        <f t="shared" si="2"/>
        <v>-942</v>
      </c>
      <c r="F177" s="36">
        <f t="shared" si="0"/>
        <v>4775</v>
      </c>
      <c r="G177" s="37">
        <f t="shared" si="0"/>
        <v>197.70175710049807</v>
      </c>
      <c r="H177" s="2"/>
    </row>
    <row r="178" ht="15" customHeight="1">
      <c r="A178" s="29" t="s">
        <v>164</v>
      </c>
      <c r="B178" s="14">
        <f t="shared" si="38" ref="B178:G178">B109-B157</f>
        <v>2994</v>
      </c>
      <c r="C178" s="14">
        <f t="shared" si="38"/>
        <v>2876</v>
      </c>
      <c r="D178" s="14">
        <f t="shared" si="38"/>
        <v>9554</v>
      </c>
      <c r="E178" s="14">
        <f t="shared" si="38"/>
        <v>2857</v>
      </c>
      <c r="F178" s="14">
        <f t="shared" si="38"/>
        <v>3140</v>
      </c>
      <c r="G178" s="65">
        <f t="shared" si="38"/>
        <v>3206.242747799999</v>
      </c>
      <c r="H178" s="2"/>
    </row>
    <row r="179" ht="15" customHeight="1">
      <c r="A179" s="31" t="s">
        <v>60</v>
      </c>
      <c r="B179" s="32">
        <f>IF(AND(ISNUMBER(B178),ISNUMBER(Inputs!B211)),IF(Inputs!B211&gt;0,B178/Inputs!B211-1,"n/m"),"n/a")</f>
        <v>-0.030440414507772018</v>
      </c>
      <c r="C179" s="32">
        <f>IF(AND(ISNUMBER(C178),ISNUMBER(Inputs!C211)),IF(Inputs!C211&gt;0,C178/Inputs!C211-1,"n/m"),"n/a")</f>
        <v>0.2028439983270598</v>
      </c>
      <c r="D179" s="32">
        <f>IF(AND(ISNUMBER(D178),ISNUMBER(Inputs!F211)),IF(Inputs!F211&gt;0,D178/Inputs!F211-1,"n/m"),"n/a")</f>
        <v>-0.0995287464655985</v>
      </c>
      <c r="E179" s="32">
        <f>IF(AND(ISNUMBER(E178),ISNUMBER(Inputs!D211)),IF(Inputs!D211&gt;0,E178/Inputs!D211-1,"n/m"),"n/a")</f>
        <v>0.9515027322404372</v>
      </c>
      <c r="F179" s="32">
        <f>IF(AND(ISNUMBER(F178),ISNUMBER(Inputs!E211)),IF(Inputs!E211&gt;0,F178/Inputs!E211-1,"n/m"),"n/a")</f>
        <v>0.4144144144144144</v>
      </c>
      <c r="G179" s="33">
        <f t="shared" si="1"/>
        <v>0.0708893613226449</v>
      </c>
      <c r="H179" s="2"/>
    </row>
    <row r="180" ht="15" customHeight="1">
      <c r="A180" s="31" t="s">
        <v>65</v>
      </c>
      <c r="B180" s="24">
        <f>IF(AND(ISNUMBER(B178),ISNUMBER(Inputs!E211)),B178-Inputs!E211,"n/a")</f>
        <v>774</v>
      </c>
      <c r="C180" s="36">
        <f t="shared" si="0"/>
        <v>-118</v>
      </c>
      <c r="D180" s="36"/>
      <c r="E180" s="36">
        <f t="shared" si="2"/>
        <v>-19</v>
      </c>
      <c r="F180" s="36">
        <f t="shared" si="0"/>
        <v>283</v>
      </c>
      <c r="G180" s="37">
        <f t="shared" si="0"/>
        <v>66.24274779999905</v>
      </c>
      <c r="H180" s="2"/>
    </row>
    <row r="181" ht="15" customHeight="1">
      <c r="A181" s="23" t="s">
        <v>165</v>
      </c>
      <c r="B181" s="15">
        <f t="shared" si="39" ref="B181:G181">B178/B109</f>
        <v>0.14706026818606022</v>
      </c>
      <c r="C181" s="15">
        <f t="shared" si="39"/>
        <v>0.17170149253731343</v>
      </c>
      <c r="D181" s="15">
        <f t="shared" si="39"/>
        <v>0.14515124352410325</v>
      </c>
      <c r="E181" s="15">
        <f t="shared" si="39"/>
        <v>0.18464421896206296</v>
      </c>
      <c r="F181" s="15">
        <f t="shared" si="39"/>
        <v>0.15695291412576226</v>
      </c>
      <c r="G181" s="33">
        <f t="shared" si="39"/>
        <v>0.1594827586206896</v>
      </c>
      <c r="H181" s="2"/>
    </row>
    <row r="182" ht="15" customHeight="1">
      <c r="A182" s="31" t="s">
        <v>68</v>
      </c>
      <c r="B182" s="48">
        <f>IF(AND(ISNUMBER(B181),ISNUMBER(Inputs!B212)),(B181-Inputs!B212)*10000,"n/a")</f>
        <v>-169.24650299415867</v>
      </c>
      <c r="C182" s="48">
        <f>IF(AND(ISNUMBER(C181),ISNUMBER(Inputs!C212)),(C181-Inputs!C212)*10000,"n/a")</f>
        <v>435.5957710776201</v>
      </c>
      <c r="D182" s="48">
        <f>IF(AND(ISNUMBER(D181),ISNUMBER(Inputs!F212)),(D181-Inputs!F212)*10000,"n/a")</f>
        <v>-12.339661889210484</v>
      </c>
      <c r="E182" s="48">
        <f>IF(AND(ISNUMBER(E181),ISNUMBER(Inputs!D212)),(E181-Inputs!D212)*10000,"n/a")</f>
        <v>713.7536016128926</v>
      </c>
      <c r="F182" s="48">
        <f>IF(AND(ISNUMBER(F181),ISNUMBER(Inputs!E212)),(F181-Inputs!E212)*10000,"n/a")</f>
        <v>163.30883340939295</v>
      </c>
      <c r="G182" s="39">
        <f t="shared" si="8"/>
        <v>124.22490434629397</v>
      </c>
      <c r="H182" s="2"/>
    </row>
    <row r="183" ht="15" customHeight="1">
      <c r="A183" s="31" t="s">
        <v>69</v>
      </c>
      <c r="B183" s="48">
        <f>IF(AND(ISNUMBER(B181),ISNUMBER(Inputs!E212)),(B181-Inputs!E212)*10000,"n/a")</f>
        <v>64.38237401237251</v>
      </c>
      <c r="C183" s="38">
        <f t="shared" si="5"/>
        <v>246.41224351253211</v>
      </c>
      <c r="D183" s="38"/>
      <c r="E183" s="38">
        <f t="shared" si="9"/>
        <v>129.4272642474953</v>
      </c>
      <c r="F183" s="38">
        <f t="shared" si="5"/>
        <v>-276.91304836300696</v>
      </c>
      <c r="G183" s="39">
        <f t="shared" si="5"/>
        <v>25.298444949273524</v>
      </c>
      <c r="H183" s="2"/>
    </row>
    <row r="184" ht="15" customHeight="1">
      <c r="A184" s="29" t="s">
        <v>166</v>
      </c>
      <c r="B184" s="14">
        <f t="shared" si="40" ref="B184:G184">B124-B163</f>
        <v>204</v>
      </c>
      <c r="C184" s="14">
        <f t="shared" si="40"/>
        <v>195</v>
      </c>
      <c r="D184" s="14">
        <f t="shared" si="40"/>
        <v>814</v>
      </c>
      <c r="E184" s="14">
        <f t="shared" si="40"/>
        <v>185</v>
      </c>
      <c r="F184" s="14">
        <f t="shared" si="40"/>
        <v>177</v>
      </c>
      <c r="G184" s="65">
        <f t="shared" si="40"/>
        <v>162.4508743095</v>
      </c>
      <c r="H184" s="2"/>
    </row>
    <row r="185" ht="15" customHeight="1">
      <c r="A185" s="31" t="s">
        <v>60</v>
      </c>
      <c r="B185" s="32">
        <f>IF(AND(ISNUMBER(B184),ISNUMBER(Inputs!B213)),IF(Inputs!B213&gt;0,B184/Inputs!B213-1,"n/m"),"n/a")</f>
        <v>0.025125628140703515</v>
      </c>
      <c r="C185" s="32">
        <f>IF(AND(ISNUMBER(C184),ISNUMBER(Inputs!C213)),IF(Inputs!C213&gt;0,C184/Inputs!C213-1,"n/m"),"n/a")</f>
        <v>-0.04878048780487809</v>
      </c>
      <c r="D185" s="32">
        <f>IF(AND(ISNUMBER(D184),ISNUMBER(Inputs!F213)),IF(Inputs!F213&gt;0,D184/Inputs!F213-1,"n/m"),"n/a")</f>
        <v>-0.012135922330097082</v>
      </c>
      <c r="E185" s="32">
        <f>IF(AND(ISNUMBER(E184),ISNUMBER(Inputs!D213)),IF(Inputs!D213&gt;0,E184/Inputs!D213-1,"n/m"),"n/a")</f>
        <v>-0.11057692307692313</v>
      </c>
      <c r="F185" s="32">
        <f>IF(AND(ISNUMBER(F184),ISNUMBER(Inputs!E213)),IF(Inputs!E213&gt;0,F184/Inputs!E213-1,"n/m"),"n/a")</f>
        <v>-0.14492753623188404</v>
      </c>
      <c r="G185" s="33">
        <f t="shared" si="1"/>
        <v>-0.20367218475735294</v>
      </c>
      <c r="H185" s="2"/>
    </row>
    <row r="186" ht="15" customHeight="1">
      <c r="A186" s="31" t="s">
        <v>65</v>
      </c>
      <c r="B186" s="24">
        <f>IF(AND(ISNUMBER(B184),ISNUMBER(Inputs!E213)),B184-Inputs!E213,"n/a")</f>
        <v>-3</v>
      </c>
      <c r="C186" s="36">
        <f t="shared" si="0"/>
        <v>-9</v>
      </c>
      <c r="D186" s="36"/>
      <c r="E186" s="36">
        <f t="shared" si="2"/>
        <v>-10</v>
      </c>
      <c r="F186" s="36">
        <f t="shared" si="0"/>
        <v>-8</v>
      </c>
      <c r="G186" s="37">
        <f t="shared" si="0"/>
        <v>-14.549125690500006</v>
      </c>
      <c r="H186" s="2"/>
    </row>
    <row r="187" ht="15" customHeight="1">
      <c r="A187" s="3" t="s">
        <v>167</v>
      </c>
      <c r="B187" s="34">
        <f t="shared" si="41" ref="B187:G187">B130-B166</f>
        <v>3615</v>
      </c>
      <c r="C187" s="34">
        <f t="shared" si="41"/>
        <v>3613</v>
      </c>
      <c r="D187" s="34">
        <f t="shared" si="41"/>
        <v>12361</v>
      </c>
      <c r="E187" s="34">
        <f t="shared" si="41"/>
        <v>3422</v>
      </c>
      <c r="F187" s="34">
        <f t="shared" si="41"/>
        <v>3463</v>
      </c>
      <c r="G187" s="35">
        <f t="shared" si="41"/>
        <v>3518.6936221094984</v>
      </c>
      <c r="H187" s="2"/>
    </row>
    <row r="188" ht="15" customHeight="1">
      <c r="A188" s="23" t="s">
        <v>60</v>
      </c>
      <c r="B188" s="32">
        <f>IF(AND(ISNUMBER(B187),ISNUMBER(Inputs!B214)),IF(Inputs!B214&gt;0,B187/Inputs!B214-1,"n/m"),"n/a")</f>
        <v>-0.1020864381520119</v>
      </c>
      <c r="C188" s="32">
        <f>IF(AND(ISNUMBER(C187),ISNUMBER(Inputs!C214)),IF(Inputs!C214&gt;0,C187/Inputs!C214-1,"n/m"),"n/a")</f>
        <v>0.09884428223844277</v>
      </c>
      <c r="D188" s="32">
        <f>IF(AND(ISNUMBER(D187),ISNUMBER(Inputs!F214)),IF(Inputs!F214&gt;0,D187/Inputs!F214-1,"n/m"),"n/a")</f>
        <v>-0.129323096428823</v>
      </c>
      <c r="E188" s="32">
        <f>IF(AND(ISNUMBER(E187),ISNUMBER(Inputs!D214)),IF(Inputs!D214&gt;0,E187/Inputs!D214-1,"n/m"),"n/a")</f>
        <v>0.5094838994265549</v>
      </c>
      <c r="F188" s="32">
        <f>IF(AND(ISNUMBER(F187),ISNUMBER(Inputs!E214)),IF(Inputs!E214&gt;0,F187/Inputs!E214-1,"n/m"),"n/a")</f>
        <v>0.20830425680390796</v>
      </c>
      <c r="G188" s="33">
        <f t="shared" si="1"/>
        <v>-0.0266407684344403</v>
      </c>
      <c r="H188" s="2"/>
    </row>
    <row r="189" ht="15" customHeight="1">
      <c r="A189" s="23" t="s">
        <v>65</v>
      </c>
      <c r="B189" s="24">
        <f>IF(AND(ISNUMBER(B187),ISNUMBER(Inputs!E214)),B187-Inputs!E214,"n/a")</f>
        <v>749</v>
      </c>
      <c r="C189" s="36">
        <f t="shared" si="0"/>
        <v>-2</v>
      </c>
      <c r="D189" s="36"/>
      <c r="E189" s="36">
        <f t="shared" si="2"/>
        <v>-191</v>
      </c>
      <c r="F189" s="36">
        <f t="shared" si="0"/>
        <v>41</v>
      </c>
      <c r="G189" s="37">
        <f t="shared" si="0"/>
        <v>55.69362210949839</v>
      </c>
      <c r="H189" s="2"/>
    </row>
    <row r="190" ht="15" customHeight="1">
      <c r="A190" s="23" t="s">
        <v>168</v>
      </c>
      <c r="B190" s="15">
        <f t="shared" si="42" ref="B190:G190">B187/B130</f>
        <v>0.17047866069323273</v>
      </c>
      <c r="C190" s="15">
        <f t="shared" si="42"/>
        <v>0.2042050528457582</v>
      </c>
      <c r="D190" s="15">
        <f t="shared" si="42"/>
        <v>0.17778960388919254</v>
      </c>
      <c r="E190" s="15">
        <f t="shared" si="42"/>
        <v>0.21079216459282987</v>
      </c>
      <c r="F190" s="15">
        <f t="shared" si="42"/>
        <v>0.16879508676155197</v>
      </c>
      <c r="G190" s="33">
        <f t="shared" si="42"/>
        <v>0.17090769082582605</v>
      </c>
      <c r="H190" s="2"/>
    </row>
    <row r="191" ht="15" customHeight="1">
      <c r="A191" s="31" t="s">
        <v>68</v>
      </c>
      <c r="B191" s="48">
        <f>IF(AND(ISNUMBER(B190),ISNUMBER(Inputs!B215)),(B190-Inputs!B215)*10000,"n/a")</f>
        <v>-306.6042803578406</v>
      </c>
      <c r="C191" s="48">
        <f>IF(AND(ISNUMBER(C190),ISNUMBER(Inputs!C215)),(C190-Inputs!C215)*10000,"n/a")</f>
        <v>381.2767129206593</v>
      </c>
      <c r="D191" s="48">
        <f>IF(AND(ISNUMBER(D190),ISNUMBER(Inputs!F215)),(D190-Inputs!F215)*10000,"n/a")</f>
        <v>-64.19556614245897</v>
      </c>
      <c r="E191" s="48">
        <f>IF(AND(ISNUMBER(E190),ISNUMBER(Inputs!D215)),(E190-Inputs!D215)*10000,"n/a")</f>
        <v>484.8100256805721</v>
      </c>
      <c r="F191" s="48">
        <f>IF(AND(ISNUMBER(F190),ISNUMBER(Inputs!E215)),(F190-Inputs!E215)*10000,"n/a")</f>
        <v>-32.23399523785031</v>
      </c>
      <c r="G191" s="39">
        <f t="shared" si="8"/>
        <v>4.290301325933221</v>
      </c>
      <c r="H191" s="2"/>
    </row>
    <row r="192" ht="15" customHeight="1">
      <c r="A192" s="31" t="s">
        <v>69</v>
      </c>
      <c r="B192" s="48">
        <f>IF(AND(ISNUMBER(B190),ISNUMBER(Inputs!E215)),(B190-Inputs!E215)*10000,"n/a")</f>
        <v>-15.39825592104277</v>
      </c>
      <c r="C192" s="38">
        <f t="shared" si="5"/>
        <v>337.2639215252549</v>
      </c>
      <c r="D192" s="38"/>
      <c r="E192" s="38">
        <f t="shared" si="9"/>
        <v>65.87111747071661</v>
      </c>
      <c r="F192" s="38">
        <f t="shared" si="5"/>
        <v>-419.97077831277903</v>
      </c>
      <c r="G192" s="39">
        <f t="shared" si="5"/>
        <v>21.12604064274076</v>
      </c>
      <c r="H192" s="2"/>
    </row>
    <row r="193" ht="15" customHeight="1">
      <c r="A193" s="23" t="s">
        <v>169</v>
      </c>
      <c r="B193" s="15">
        <f t="shared" si="43" ref="B193:G193">(B187-B115)/(B130-B115)</f>
        <v>0.15383875312680392</v>
      </c>
      <c r="C193" s="15">
        <f t="shared" si="43"/>
        <v>0.1790566147746487</v>
      </c>
      <c r="D193" s="15">
        <f t="shared" si="43"/>
        <v>0.15352494336102349</v>
      </c>
      <c r="E193" s="15">
        <f t="shared" si="43"/>
        <v>0.19187586728901224</v>
      </c>
      <c r="F193" s="15">
        <f t="shared" si="43"/>
        <v>0.1628375061364752</v>
      </c>
      <c r="G193" s="33">
        <f t="shared" si="43"/>
        <v>0.1648228388020269</v>
      </c>
      <c r="H193" s="2"/>
    </row>
    <row r="194" ht="15" customHeight="1">
      <c r="A194" s="31" t="s">
        <v>68</v>
      </c>
      <c r="B194" s="48">
        <f>IF(AND(ISNUMBER(B193),ISNUMBER(Inputs!B216)),(B193-Inputs!B216)*10000,"n/a")</f>
        <v>-166.75331014919388</v>
      </c>
      <c r="C194" s="48">
        <f>IF(AND(ISNUMBER(C193),ISNUMBER(Inputs!C216)),(C193-Inputs!C216)*10000,"n/a")</f>
        <v>431.8306719797121</v>
      </c>
      <c r="D194" s="48">
        <f>IF(AND(ISNUMBER(D193),ISNUMBER(Inputs!F216)),(D193-Inputs!F216)*10000,"n/a")</f>
        <v>-3.5019626243057433</v>
      </c>
      <c r="E194" s="48">
        <f>IF(AND(ISNUMBER(E193),ISNUMBER(Inputs!D216)),(E193-Inputs!D216)*10000,"n/a")</f>
        <v>668.3847572454918</v>
      </c>
      <c r="F194" s="48">
        <f>IF(AND(ISNUMBER(F193),ISNUMBER(Inputs!E216)),(F193-Inputs!E216)*10000,"n/a")</f>
        <v>132.258676208791</v>
      </c>
      <c r="G194" s="39">
        <f t="shared" si="8"/>
        <v>109.84085675222966</v>
      </c>
      <c r="H194" s="2"/>
    </row>
    <row r="195" ht="15" customHeight="1">
      <c r="A195" s="31" t="s">
        <v>69</v>
      </c>
      <c r="B195" s="48">
        <f>IF(AND(ISNUMBER(B193),ISNUMBER(Inputs!E216)),(B193-Inputs!E216)*10000,"n/a")</f>
        <v>42.27114611207811</v>
      </c>
      <c r="C195" s="38">
        <f t="shared" si="5"/>
        <v>252.17861647844785</v>
      </c>
      <c r="D195" s="38"/>
      <c r="E195" s="38">
        <f t="shared" si="9"/>
        <v>128.19252514363527</v>
      </c>
      <c r="F195" s="38">
        <f t="shared" si="5"/>
        <v>-290.3836115253702</v>
      </c>
      <c r="G195" s="39">
        <f t="shared" si="5"/>
        <v>19.853326655516756</v>
      </c>
      <c r="H195" s="2"/>
    </row>
    <row r="196" ht="15" customHeight="1">
      <c r="A196" s="29" t="s">
        <v>170</v>
      </c>
      <c r="B196" s="14">
        <f t="shared" si="44" ref="B196:G196">B139-B172</f>
        <v>366</v>
      </c>
      <c r="C196" s="14">
        <f t="shared" si="44"/>
        <v>298</v>
      </c>
      <c r="D196" s="14">
        <f t="shared" si="44"/>
        <v>931</v>
      </c>
      <c r="E196" s="14">
        <f t="shared" si="44"/>
        <v>346</v>
      </c>
      <c r="F196" s="14">
        <f t="shared" si="44"/>
        <v>648</v>
      </c>
      <c r="G196" s="65">
        <f t="shared" si="44"/>
        <v>658.6419398400003</v>
      </c>
      <c r="H196" s="2"/>
    </row>
    <row r="197" ht="15" customHeight="1">
      <c r="A197" s="31" t="s">
        <v>60</v>
      </c>
      <c r="B197" s="32">
        <f>IF(AND(ISNUMBER(B196),ISNUMBER(Inputs!B217)),IF(Inputs!B217&gt;0,B196/Inputs!B217-1,"n/m"),"n/a")</f>
        <v>0.4878048780487805</v>
      </c>
      <c r="C197" s="32">
        <f>IF(AND(ISNUMBER(C196),ISNUMBER(Inputs!C217)),IF(Inputs!C217&gt;0,C196/Inputs!C217-1,"n/m"),"n/a")</f>
        <v>1.504201680672269</v>
      </c>
      <c r="D197" s="32">
        <f>IF(AND(ISNUMBER(D196),ISNUMBER(Inputs!F217)),IF(Inputs!F217&gt;0,D196/Inputs!F217-1,"n/m"),"n/a")</f>
        <v>0.5187601957585644</v>
      </c>
      <c r="E197" s="32">
        <f>IF(AND(ISNUMBER(E196),ISNUMBER(Inputs!D217)),IF(Inputs!D217&gt;0,E196/Inputs!D217-1,"n/m"),"n/a")</f>
        <v>2.4257425742574257</v>
      </c>
      <c r="F197" s="32">
        <f>IF(AND(ISNUMBER(F196),ISNUMBER(Inputs!E217)),IF(Inputs!E217&gt;0,F196/Inputs!E217-1,"n/m"),"n/a")</f>
        <v>2.9036144578313254</v>
      </c>
      <c r="G197" s="33">
        <f t="shared" si="1"/>
        <v>0.7995681416393452</v>
      </c>
      <c r="H197" s="2"/>
    </row>
    <row r="198" ht="15" customHeight="1">
      <c r="A198" s="31" t="s">
        <v>65</v>
      </c>
      <c r="B198" s="24">
        <f>IF(AND(ISNUMBER(B196),ISNUMBER(Inputs!E217)),B196-Inputs!E217,"n/a")</f>
        <v>200</v>
      </c>
      <c r="C198" s="36">
        <f t="shared" si="0"/>
        <v>-68</v>
      </c>
      <c r="D198" s="36"/>
      <c r="E198" s="36">
        <f t="shared" si="2"/>
        <v>48</v>
      </c>
      <c r="F198" s="36">
        <f t="shared" si="0"/>
        <v>302</v>
      </c>
      <c r="G198" s="37">
        <f t="shared" si="0"/>
        <v>10.641939840000305</v>
      </c>
      <c r="H198" s="2"/>
    </row>
    <row r="199" ht="15" customHeight="1">
      <c r="A199" s="3" t="s">
        <v>171</v>
      </c>
      <c r="B199" s="34">
        <f t="shared" si="45" ref="B199:G199">B145-B175</f>
        <v>3981</v>
      </c>
      <c r="C199" s="34">
        <f t="shared" si="45"/>
        <v>3911</v>
      </c>
      <c r="D199" s="34">
        <f t="shared" si="45"/>
        <v>13292</v>
      </c>
      <c r="E199" s="34">
        <f t="shared" si="45"/>
        <v>3768</v>
      </c>
      <c r="F199" s="34">
        <f t="shared" si="45"/>
        <v>4111</v>
      </c>
      <c r="G199" s="35">
        <f t="shared" si="45"/>
        <v>4177.335561949501</v>
      </c>
      <c r="H199" s="2"/>
    </row>
    <row r="200" ht="15" customHeight="1">
      <c r="A200" s="23" t="s">
        <v>60</v>
      </c>
      <c r="B200" s="32">
        <f>IF(AND(ISNUMBER(B199),ISNUMBER(Inputs!B218)),IF(Inputs!B218&gt;0,B199/Inputs!B218-1,"n/m"),"n/a")</f>
        <v>-0.0681179775280899</v>
      </c>
      <c r="C200" s="32">
        <f>IF(AND(ISNUMBER(C199),ISNUMBER(Inputs!C218)),IF(Inputs!C218&gt;0,C199/Inputs!C218-1,"n/m"),"n/a")</f>
        <v>0.1479307308482536</v>
      </c>
      <c r="D200" s="32">
        <f>IF(AND(ISNUMBER(D199),ISNUMBER(Inputs!F218)),IF(Inputs!F218&gt;0,D199/Inputs!F218-1,"n/m"),"n/a")</f>
        <v>-0.10249831195138415</v>
      </c>
      <c r="E200" s="32">
        <f>IF(AND(ISNUMBER(E199),ISNUMBER(Inputs!D218)),IF(Inputs!D218&gt;0,E199/Inputs!D218-1,"n/m"),"n/a")</f>
        <v>0.5912162162162162</v>
      </c>
      <c r="F200" s="32">
        <f>IF(AND(ISNUMBER(F199),ISNUMBER(Inputs!E218)),IF(Inputs!E218&gt;0,F199/Inputs!E218-1,"n/m"),"n/a")</f>
        <v>0.3558707124010554</v>
      </c>
      <c r="G200" s="33">
        <f t="shared" si="1"/>
        <v>0.04931815170798837</v>
      </c>
      <c r="H200" s="2"/>
    </row>
    <row r="201" ht="15" customHeight="1">
      <c r="A201" s="23" t="s">
        <v>65</v>
      </c>
      <c r="B201" s="24">
        <f>IF(AND(ISNUMBER(B199),ISNUMBER(Inputs!E218)),B199-Inputs!E218,"n/a")</f>
        <v>949</v>
      </c>
      <c r="C201" s="36">
        <f t="shared" si="0"/>
        <v>-70</v>
      </c>
      <c r="D201" s="36"/>
      <c r="E201" s="36">
        <f t="shared" si="2"/>
        <v>-143</v>
      </c>
      <c r="F201" s="36">
        <f t="shared" si="0"/>
        <v>343</v>
      </c>
      <c r="G201" s="37">
        <f t="shared" si="0"/>
        <v>66.33556194950143</v>
      </c>
      <c r="H201" s="2"/>
    </row>
    <row r="202" ht="15" customHeight="1">
      <c r="A202" s="23" t="s">
        <v>172</v>
      </c>
      <c r="B202" s="15">
        <f t="shared" si="46" ref="B202:G202">B199/B145</f>
        <v>0.16130470016207454</v>
      </c>
      <c r="C202" s="15">
        <f t="shared" si="46"/>
        <v>0.18567223699202431</v>
      </c>
      <c r="D202" s="15">
        <f t="shared" si="46"/>
        <v>0.1619869357511943</v>
      </c>
      <c r="E202" s="15">
        <f t="shared" si="46"/>
        <v>0.18859802792932578</v>
      </c>
      <c r="F202" s="15">
        <f t="shared" si="46"/>
        <v>0.16380443877754314</v>
      </c>
      <c r="G202" s="33">
        <f t="shared" si="46"/>
        <v>0.1647146963823789</v>
      </c>
      <c r="H202" s="2"/>
    </row>
    <row r="203" ht="15" customHeight="1">
      <c r="A203" s="31" t="s">
        <v>68</v>
      </c>
      <c r="B203" s="48">
        <f>IF(AND(ISNUMBER(B202),ISNUMBER(Inputs!B219)),(B202-Inputs!B219)*10000,"n/a")</f>
        <v>-260.1442638357135</v>
      </c>
      <c r="C203" s="48">
        <f>IF(AND(ISNUMBER(C202),ISNUMBER(Inputs!C219)),(C202-Inputs!C219)*10000,"n/a")</f>
        <v>352.2624211434172</v>
      </c>
      <c r="D203" s="48">
        <f>IF(AND(ISNUMBER(D202),ISNUMBER(Inputs!F219)),(D202-Inputs!F219)*10000,"n/a")</f>
        <v>-70.69271727916244</v>
      </c>
      <c r="E203" s="48">
        <f>IF(AND(ISNUMBER(E202),ISNUMBER(Inputs!D219)),(E202-Inputs!D219)*10000,"n/a")</f>
        <v>459.90379630620583</v>
      </c>
      <c r="F203" s="48">
        <f>IF(AND(ISNUMBER(F202),ISNUMBER(Inputs!E219)),(F202-Inputs!E219)*10000,"n/a")</f>
        <v>99.5047825590109</v>
      </c>
      <c r="G203" s="39">
        <f t="shared" si="8"/>
        <v>34.09996220304357</v>
      </c>
      <c r="H203" s="2"/>
    </row>
    <row r="204" ht="15" customHeight="1">
      <c r="A204" s="31" t="s">
        <v>69</v>
      </c>
      <c r="B204" s="48">
        <f>IF(AND(ISNUMBER(B202),ISNUMBER(Inputs!E219)),(B202-Inputs!E219)*10000,"n/a")</f>
        <v>74.50739640432496</v>
      </c>
      <c r="C204" s="38">
        <f t="shared" si="5"/>
        <v>243.6753682994977</v>
      </c>
      <c r="D204" s="38"/>
      <c r="E204" s="38">
        <f t="shared" si="9"/>
        <v>29.2579093730147</v>
      </c>
      <c r="F204" s="38">
        <f t="shared" si="5"/>
        <v>-247.93589151782646</v>
      </c>
      <c r="G204" s="39">
        <f t="shared" si="5"/>
        <v>9.102576048357625</v>
      </c>
      <c r="H204" s="2"/>
    </row>
    <row r="205" ht="15" customHeight="1">
      <c r="A205" s="3" t="s">
        <v>173</v>
      </c>
      <c r="B205" s="2"/>
      <c r="C205" s="2"/>
      <c r="D205" s="2"/>
      <c r="E205" s="2"/>
      <c r="F205" s="2"/>
      <c r="G205" s="28"/>
      <c r="H205" s="2"/>
    </row>
    <row r="206" ht="15" customHeight="1">
      <c r="A206" s="29" t="s">
        <v>174</v>
      </c>
      <c r="B206" s="51">
        <f t="shared" si="47" ref="B206:G206">B178*1000000/B50</f>
        <v>6149.498119617392</v>
      </c>
      <c r="C206" s="51">
        <f t="shared" si="47"/>
        <v>7062.33071647296</v>
      </c>
      <c r="D206" s="51">
        <f t="shared" si="47"/>
        <v>5991.801880449943</v>
      </c>
      <c r="E206" s="51">
        <f t="shared" si="47"/>
        <v>8057.124647130654</v>
      </c>
      <c r="F206" s="51">
        <f t="shared" si="47"/>
        <v>6644.855738912191</v>
      </c>
      <c r="G206" s="52">
        <f t="shared" si="47"/>
        <v>6659.999999999998</v>
      </c>
      <c r="H206" s="2"/>
    </row>
    <row r="207" ht="15" customHeight="1">
      <c r="A207" s="31" t="s">
        <v>60</v>
      </c>
      <c r="B207" s="32">
        <f>IF(AND(ISNUMBER(B206),ISNUMBER(Inputs!B220)),IF(Inputs!B220&gt;0,B206/Inputs!B220-1,"n/m"),"n/a")</f>
        <v>-0.10696661714399514</v>
      </c>
      <c r="C207" s="32">
        <f>IF(AND(ISNUMBER(C206),ISNUMBER(Inputs!C220)),IF(Inputs!C220&gt;0,C206/Inputs!C220-1,"n/m"),"n/a")</f>
        <v>0.38413411643034756</v>
      </c>
      <c r="D207" s="32">
        <f>IF(AND(ISNUMBER(D206),ISNUMBER(Inputs!F220)),IF(Inputs!F220&gt;0,D206/Inputs!F220-1,"n/m"),"n/a")</f>
        <v>-0.02345319292014214</v>
      </c>
      <c r="E207" s="32">
        <f>IF(AND(ISNUMBER(E206),ISNUMBER(Inputs!D220)),IF(Inputs!D220&gt;0,E206/Inputs!D220-1,"n/m"),"n/a")</f>
        <v>0.7774105027577296</v>
      </c>
      <c r="F207" s="32">
        <f>IF(AND(ISNUMBER(F206),ISNUMBER(Inputs!E220)),IF(Inputs!E220&gt;0,F206/Inputs!E220-1,"n/m"),"n/a")</f>
        <v>0.12978112088463267</v>
      </c>
      <c r="G207" s="33">
        <f t="shared" si="1"/>
        <v>0.08301521042084126</v>
      </c>
      <c r="H207" s="2"/>
    </row>
    <row r="208" ht="15" customHeight="1">
      <c r="A208" s="31" t="s">
        <v>65</v>
      </c>
      <c r="B208" s="48">
        <f>IF(AND(ISNUMBER(B206),ISNUMBER(Inputs!E220)),B206-Inputs!E220,"n/a")</f>
        <v>267.955565862213</v>
      </c>
      <c r="C208" s="38">
        <f t="shared" si="0"/>
        <v>912.8325968555682</v>
      </c>
      <c r="D208" s="38"/>
      <c r="E208" s="38">
        <f t="shared" si="2"/>
        <v>994.7939306576936</v>
      </c>
      <c r="F208" s="38">
        <f t="shared" si="0"/>
        <v>-1412.2689082184634</v>
      </c>
      <c r="G208" s="39">
        <f t="shared" si="0"/>
        <v>15.144261087807536</v>
      </c>
      <c r="H208" s="2"/>
    </row>
    <row r="209" ht="15" customHeight="1">
      <c r="A209" s="29" t="s">
        <v>175</v>
      </c>
      <c r="B209" s="40">
        <v>959</v>
      </c>
      <c r="C209" s="14"/>
      <c r="D209" s="40">
        <v>3780</v>
      </c>
      <c r="E209" s="40">
        <v>1020</v>
      </c>
      <c r="F209" s="40">
        <v>927</v>
      </c>
      <c r="G209" s="65" t="s">
        <v>31</v>
      </c>
      <c r="H209" s="2" t="s">
        <v>176</v>
      </c>
    </row>
    <row r="210" ht="15" customHeight="1">
      <c r="A210" s="31" t="s">
        <v>72</v>
      </c>
      <c r="B210" s="24">
        <f>IF(AND(ISNUMBER(B209),ISNUMBER(Inputs!B221)),B209-Inputs!B221,"n/a")</f>
        <v>21</v>
      </c>
      <c r="C210" s="24" t="str">
        <f>IF(AND(ISNUMBER(C209),ISNUMBER(Inputs!C221)),C209-Inputs!C221,"n/a")</f>
        <v>n/a</v>
      </c>
      <c r="D210" s="24">
        <f>IF(AND(ISNUMBER(D209),ISNUMBER(Inputs!F221)),D209-Inputs!F221,"n/a")</f>
        <v>100</v>
      </c>
      <c r="E210" s="24">
        <f>IF(AND(ISNUMBER(E209),ISNUMBER(Inputs!D221)),E209-Inputs!D221,"n/a")</f>
        <v>66</v>
      </c>
      <c r="F210" s="24">
        <f>IF(AND(ISNUMBER(F209),ISNUMBER(Inputs!E221)),F209-Inputs!E221,"n/a")</f>
        <v>36</v>
      </c>
      <c r="G210" s="37" t="str">
        <f t="shared" si="7"/>
        <v>n/a</v>
      </c>
      <c r="H210" s="2"/>
    </row>
    <row r="211" ht="15" customHeight="1">
      <c r="A211" s="31" t="s">
        <v>65</v>
      </c>
      <c r="B211" s="24">
        <f>IF(AND(ISNUMBER(B209),ISNUMBER(Inputs!E221)),B209-Inputs!E221,"n/a")</f>
        <v>68</v>
      </c>
      <c r="C211" s="36" t="str">
        <f t="shared" si="0"/>
        <v>n/a</v>
      </c>
      <c r="D211" s="36"/>
      <c r="E211" s="36" t="str">
        <f t="shared" si="2"/>
        <v>n/a</v>
      </c>
      <c r="F211" s="36">
        <f t="shared" si="0"/>
        <v>-93</v>
      </c>
      <c r="G211" s="37" t="str">
        <f t="shared" si="0"/>
        <v>n/a</v>
      </c>
      <c r="H211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E618798-1008-5C58-9238-2298B7FD403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177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178</v>
      </c>
      <c r="B8" s="2"/>
      <c r="C8" s="2"/>
      <c r="D8" s="2"/>
      <c r="E8" s="2"/>
      <c r="F8" s="2"/>
      <c r="G8" s="28"/>
      <c r="H8" s="2"/>
    </row>
    <row r="9" ht="15" customHeight="1">
      <c r="A9" s="29" t="s">
        <v>179</v>
      </c>
      <c r="B9" s="40">
        <v>12.5</v>
      </c>
      <c r="C9" s="40">
        <v>14.2</v>
      </c>
      <c r="D9" s="13">
        <f>Inputs!D222+Inputs!E222+B9+C9</f>
        <v>46.7</v>
      </c>
      <c r="E9" s="40">
        <v>8.8</v>
      </c>
      <c r="F9" s="40">
        <v>13.5</v>
      </c>
      <c r="G9" s="41">
        <v>13.7</v>
      </c>
      <c r="H9" s="2" t="s">
        <v>180</v>
      </c>
    </row>
    <row r="10" ht="15" customHeight="1">
      <c r="A10" s="31" t="s">
        <v>60</v>
      </c>
      <c r="B10" s="32">
        <f>IF(AND(ISNUMBER(B9),ISNUMBER(Inputs!B222)),IF(Inputs!B222&gt;0,B9/Inputs!B222-1,"n/m"),"n/a")</f>
        <v>0.8115942028985506</v>
      </c>
      <c r="C10" s="32">
        <f>IF(AND(ISNUMBER(C9),ISNUMBER(Inputs!C222)),IF(Inputs!C222&gt;0,C9/Inputs!C222-1,"n/m"),"n/a")</f>
        <v>0.2909090909090908</v>
      </c>
      <c r="D10" s="32">
        <f>IF(AND(ISNUMBER(D9),ISNUMBER(Inputs!F222)),IF(Inputs!F222&gt;0,D9/Inputs!F222-1,"n/m"),"n/a")</f>
        <v>0.4872611464968155</v>
      </c>
      <c r="E10" s="32">
        <f>IF(AND(ISNUMBER(E9),ISNUMBER(Inputs!D222)),IF(Inputs!D222&gt;0,E9/Inputs!D222-1,"n/m"),"n/a")</f>
        <v>-0.15384615384615385</v>
      </c>
      <c r="F10" s="32">
        <f>IF(AND(ISNUMBER(F9),ISNUMBER(Inputs!E222)),IF(Inputs!E222&gt;0,F9/Inputs!E222-1,"n/m"),"n/a")</f>
        <v>0.40625</v>
      </c>
      <c r="G10" s="33">
        <f t="shared" si="2" ref="G10:G45">IF(AND(ISNUMBER(G9),ISNUMBER(B9)),IF(B9&gt;0,G9/B9-1,"n/m"),"n/a")</f>
        <v>0.09599999999999986</v>
      </c>
      <c r="H10" s="2"/>
    </row>
    <row r="11" ht="15" customHeight="1">
      <c r="A11" s="31" t="s">
        <v>65</v>
      </c>
      <c r="B11" s="24">
        <f>IF(AND(ISNUMBER(B9),ISNUMBER(Inputs!E222)),B9-Inputs!E222,"n/a")</f>
        <v>2.9000000000000004</v>
      </c>
      <c r="C11" s="36">
        <f t="shared" si="0" ref="C11:G55">IF(AND(ISNUMBER(C9),ISNUMBER(B9)),C9-B9,"n/a")</f>
        <v>1.6999999999999993</v>
      </c>
      <c r="D11" s="36"/>
      <c r="E11" s="36">
        <f t="shared" si="3" ref="E11:E55">IF(AND(ISNUMBER(E9),ISNUMBER(C9)),E9-C9,"n/a")</f>
        <v>-5.399999999999999</v>
      </c>
      <c r="F11" s="36">
        <f t="shared" si="0"/>
        <v>4.699999999999999</v>
      </c>
      <c r="G11" s="37">
        <f t="shared" si="0"/>
        <v>0.1999999999999993</v>
      </c>
      <c r="H11" s="2"/>
    </row>
    <row r="12" ht="15" customHeight="1">
      <c r="A12" s="3" t="s">
        <v>136</v>
      </c>
      <c r="B12" s="2"/>
      <c r="C12" s="2"/>
      <c r="D12" s="2"/>
      <c r="E12" s="2"/>
      <c r="F12" s="2"/>
      <c r="G12" s="28"/>
      <c r="H12" s="2"/>
    </row>
    <row r="13" ht="15" customHeight="1">
      <c r="A13" s="29" t="s">
        <v>181</v>
      </c>
      <c r="B13" s="14">
        <f t="shared" si="1" ref="B13:F13">B16/B9</f>
        <v>262.48</v>
      </c>
      <c r="C13" s="14">
        <f t="shared" si="1"/>
        <v>262.11267605633805</v>
      </c>
      <c r="D13" s="14">
        <f t="shared" si="1"/>
        <v>262.7408993576017</v>
      </c>
      <c r="E13" s="14">
        <f t="shared" si="1"/>
        <v>261.9318181818182</v>
      </c>
      <c r="F13" s="14">
        <f t="shared" si="1"/>
        <v>222.07407407407408</v>
      </c>
      <c r="G13" s="41">
        <v>225</v>
      </c>
      <c r="H13" s="2" t="s">
        <v>182</v>
      </c>
    </row>
    <row r="14" ht="15" customHeight="1">
      <c r="A14" s="31" t="s">
        <v>60</v>
      </c>
      <c r="B14" s="32">
        <f>IF(AND(ISNUMBER(B13),ISNUMBER(Inputs!B223)),IF(Inputs!B223&gt;0,B13/Inputs!B223-1,"n/m"),"n/a")</f>
        <v>-0.18711310592459596</v>
      </c>
      <c r="C14" s="32">
        <f>IF(AND(ISNUMBER(C13),ISNUMBER(Inputs!C223)),IF(Inputs!C223&gt;0,C13/Inputs!C223-1,"n/m"),"n/a")</f>
        <v>-0.02196762665545504</v>
      </c>
      <c r="D14" s="32">
        <f>IF(AND(ISNUMBER(D13),ISNUMBER(Inputs!F223)),IF(Inputs!F223&gt;0,D13/Inputs!F223-1,"n/m"),"n/a")</f>
        <v>-0.1373834964629138</v>
      </c>
      <c r="E14" s="32">
        <f>IF(AND(ISNUMBER(E13),ISNUMBER(Inputs!D223)),IF(Inputs!D223&gt;0,E13/Inputs!D223-1,"n/m"),"n/a")</f>
        <v>0.03933266275883596</v>
      </c>
      <c r="F14" s="32">
        <f>IF(AND(ISNUMBER(F13),ISNUMBER(Inputs!E223)),IF(Inputs!E223&gt;0,F13/Inputs!E223-1,"n/m"),"n/a")</f>
        <v>-0.19428907365415304</v>
      </c>
      <c r="G14" s="33">
        <f t="shared" si="2"/>
        <v>-0.1427918317586102</v>
      </c>
      <c r="H14" s="2"/>
    </row>
    <row r="15" ht="15" customHeight="1">
      <c r="A15" s="31" t="s">
        <v>65</v>
      </c>
      <c r="B15" s="24">
        <f>IF(AND(ISNUMBER(B13),ISNUMBER(Inputs!E223)),B13-Inputs!E223,"n/a")</f>
        <v>-13.144999999999982</v>
      </c>
      <c r="C15" s="36">
        <f t="shared" si="0"/>
        <v>-0.3673239436619724</v>
      </c>
      <c r="D15" s="36"/>
      <c r="E15" s="36">
        <f t="shared" si="3"/>
        <v>-0.1808578745198588</v>
      </c>
      <c r="F15" s="36">
        <f t="shared" si="0"/>
        <v>-39.85774410774411</v>
      </c>
      <c r="G15" s="37">
        <f t="shared" si="0"/>
        <v>2.925925925925924</v>
      </c>
      <c r="H15" s="2"/>
    </row>
    <row r="16" ht="15" customHeight="1">
      <c r="A16" s="29" t="s">
        <v>82</v>
      </c>
      <c r="B16" s="40">
        <v>3281</v>
      </c>
      <c r="C16" s="13">
        <f>Inputs!B138-Inputs!C138</f>
        <v>3722</v>
      </c>
      <c r="D16" s="13">
        <f>Inputs!D224+Inputs!E224+B16+C16</f>
        <v>12270</v>
      </c>
      <c r="E16" s="40">
        <v>2305</v>
      </c>
      <c r="F16" s="40">
        <v>2998</v>
      </c>
      <c r="G16" s="65">
        <f>G9*G13</f>
        <v>3082.5</v>
      </c>
      <c r="H16" s="2"/>
    </row>
    <row r="17" ht="15" customHeight="1">
      <c r="A17" s="31" t="s">
        <v>139</v>
      </c>
      <c r="B17" s="32">
        <f>IF(AND(ISNUMBER(B16),ISNUMBER(Inputs!B224)),IF(Inputs!B224&gt;0,B16/Inputs!B224-1,"n/m"),"n/a")</f>
        <v>0.4726211849192101</v>
      </c>
      <c r="C17" s="32">
        <f>IF(AND(ISNUMBER(C16),ISNUMBER(Inputs!C224)),IF(Inputs!C224&gt;0,C16/Inputs!C224-1,"n/m"),"n/a")</f>
        <v>0.2625508819538671</v>
      </c>
      <c r="D17" s="32">
        <f>IF(AND(ISNUMBER(D16),ISNUMBER(Inputs!F224)),IF(Inputs!F224&gt;0,D16/Inputs!F224-1,"n/m"),"n/a")</f>
        <v>0.28293601003764124</v>
      </c>
      <c r="E17" s="32">
        <f>IF(AND(ISNUMBER(E16),ISNUMBER(Inputs!D224)),IF(Inputs!D224&gt;0,E16/Inputs!D224-1,"n/m"),"n/a")</f>
        <v>-0.12056466997329263</v>
      </c>
      <c r="F17" s="32">
        <f>IF(AND(ISNUMBER(F16),ISNUMBER(Inputs!E224)),IF(Inputs!E224&gt;0,F16/Inputs!E224-1,"n/m"),"n/a")</f>
        <v>0.13303099017384734</v>
      </c>
      <c r="G17" s="33">
        <f t="shared" si="2"/>
        <v>-0.06049984760743676</v>
      </c>
      <c r="H17" s="2"/>
    </row>
    <row r="18" ht="15" customHeight="1">
      <c r="A18" s="31" t="s">
        <v>74</v>
      </c>
      <c r="B18" s="32">
        <f>'Revenue summary'!B31</f>
        <v>0</v>
      </c>
      <c r="C18" s="32">
        <f>'Revenue summary'!C31</f>
        <v>0</v>
      </c>
      <c r="D18" s="32">
        <f>'Revenue summary'!D31</f>
        <v>0</v>
      </c>
      <c r="E18" s="32">
        <f>'Revenue summary'!E31</f>
        <v>0</v>
      </c>
      <c r="F18" s="32">
        <f>'Revenue summary'!F31</f>
        <v>0</v>
      </c>
      <c r="G18" s="66">
        <f>'Revenue summary'!G31</f>
        <v>0</v>
      </c>
      <c r="H18" s="2"/>
    </row>
    <row r="19" ht="15" customHeight="1">
      <c r="A19" s="31" t="s">
        <v>140</v>
      </c>
      <c r="B19" s="15" t="s">
        <v>31</v>
      </c>
      <c r="C19" s="15" t="s">
        <v>31</v>
      </c>
      <c r="D19" s="15" t="s">
        <v>31</v>
      </c>
      <c r="E19" s="15" t="s">
        <v>31</v>
      </c>
      <c r="F19" s="15" t="s">
        <v>31</v>
      </c>
      <c r="G19" s="33" t="s">
        <v>31</v>
      </c>
      <c r="H19" s="2"/>
    </row>
    <row r="20" ht="15" customHeight="1">
      <c r="A20" s="31" t="s">
        <v>141</v>
      </c>
      <c r="B20" s="15" t="str">
        <f t="shared" si="4" ref="B20:G32">IF(AND(ISNUMBER(B17),ISNUMBER(B18),ISNUMBER(B19)),(1+B17)/((1+B18)*(1+B19))-1,"n/a")</f>
        <v>n/a</v>
      </c>
      <c r="C20" s="15" t="str">
        <f t="shared" si="4"/>
        <v>n/a</v>
      </c>
      <c r="D20" s="15" t="str">
        <f t="shared" si="4"/>
        <v>n/a</v>
      </c>
      <c r="E20" s="15" t="str">
        <f t="shared" si="4"/>
        <v>n/a</v>
      </c>
      <c r="F20" s="15" t="str">
        <f t="shared" si="4"/>
        <v>n/a</v>
      </c>
      <c r="G20" s="33" t="str">
        <f t="shared" si="4"/>
        <v>n/a</v>
      </c>
      <c r="H20" s="2"/>
    </row>
    <row r="21" ht="15" customHeight="1">
      <c r="A21" s="31" t="s">
        <v>65</v>
      </c>
      <c r="B21" s="24">
        <f>IF(AND(ISNUMBER(B16),ISNUMBER(Inputs!E224)),B16-Inputs!E224,"n/a")</f>
        <v>635</v>
      </c>
      <c r="C21" s="36">
        <f t="shared" si="5" ref="C21:G33">IF(AND(ISNUMBER(C16),ISNUMBER(B16)),C16-B16,"n/a")</f>
        <v>441</v>
      </c>
      <c r="D21" s="36"/>
      <c r="E21" s="36">
        <f t="shared" si="6" ref="E21:E33">IF(AND(ISNUMBER(E16),ISNUMBER(C16)),E16-C16,"n/a")</f>
        <v>-1417</v>
      </c>
      <c r="F21" s="36">
        <f t="shared" si="5"/>
        <v>693</v>
      </c>
      <c r="G21" s="37">
        <f t="shared" si="5"/>
        <v>84.5</v>
      </c>
      <c r="H21" s="2"/>
    </row>
    <row r="22" ht="15" customHeight="1">
      <c r="A22" s="29" t="s">
        <v>83</v>
      </c>
      <c r="B22" s="40">
        <v>134</v>
      </c>
      <c r="C22" s="13">
        <f>Inputs!B139-Inputs!C139</f>
        <v>115</v>
      </c>
      <c r="D22" s="13">
        <f>Inputs!D225+Inputs!E225+B22+C22</f>
        <v>501</v>
      </c>
      <c r="E22" s="40">
        <v>103</v>
      </c>
      <c r="F22" s="40">
        <v>141</v>
      </c>
      <c r="G22" s="41">
        <v>140</v>
      </c>
      <c r="H22" s="2" t="s">
        <v>183</v>
      </c>
    </row>
    <row r="23" ht="15" customHeight="1">
      <c r="A23" s="31" t="s">
        <v>139</v>
      </c>
      <c r="B23" s="32">
        <f>IF(AND(ISNUMBER(B22),ISNUMBER(Inputs!B225)),IF(Inputs!B225&gt;0,B22/Inputs!B225-1,"n/m"),"n/a")</f>
        <v>-0.09459459459459463</v>
      </c>
      <c r="C23" s="32">
        <f>IF(AND(ISNUMBER(C22),ISNUMBER(Inputs!C225)),IF(Inputs!C225&gt;0,C22/Inputs!C225-1,"n/m"),"n/a")</f>
        <v>0.017699115044247815</v>
      </c>
      <c r="D23" s="32">
        <f>IF(AND(ISNUMBER(D22),ISNUMBER(Inputs!F225)),IF(Inputs!F225&gt;0,D22/Inputs!F225-1,"n/m"),"n/a")</f>
        <v>-0.04022988505747127</v>
      </c>
      <c r="E23" s="32">
        <f>IF(AND(ISNUMBER(E22),ISNUMBER(Inputs!D225)),IF(Inputs!D225&gt;0,E22/Inputs!D225-1,"n/m"),"n/a")</f>
        <v>-0.05504587155963303</v>
      </c>
      <c r="F23" s="32">
        <f>IF(AND(ISNUMBER(F22),ISNUMBER(Inputs!E225)),IF(Inputs!E225&gt;0,F22/Inputs!E225-1,"n/m"),"n/a")</f>
        <v>-0.013986013986013957</v>
      </c>
      <c r="G23" s="33">
        <f t="shared" si="2"/>
        <v>0.04477611940298498</v>
      </c>
      <c r="H23" s="2"/>
    </row>
    <row r="24" ht="15" customHeight="1">
      <c r="A24" s="31" t="s">
        <v>74</v>
      </c>
      <c r="B24" s="32">
        <f>'Revenue summary'!B31</f>
        <v>0</v>
      </c>
      <c r="C24" s="32">
        <f>'Revenue summary'!C31</f>
        <v>0</v>
      </c>
      <c r="D24" s="32">
        <f>'Revenue summary'!D31</f>
        <v>0</v>
      </c>
      <c r="E24" s="32">
        <f>'Revenue summary'!E31</f>
        <v>0</v>
      </c>
      <c r="F24" s="32">
        <f>'Revenue summary'!F31</f>
        <v>0</v>
      </c>
      <c r="G24" s="66">
        <f>'Revenue summary'!G31</f>
        <v>0</v>
      </c>
      <c r="H24" s="2"/>
    </row>
    <row r="25" ht="15" customHeight="1">
      <c r="A25" s="31" t="s">
        <v>140</v>
      </c>
      <c r="B25" s="15" t="s">
        <v>31</v>
      </c>
      <c r="C25" s="15" t="s">
        <v>31</v>
      </c>
      <c r="D25" s="15" t="s">
        <v>31</v>
      </c>
      <c r="E25" s="15" t="s">
        <v>31</v>
      </c>
      <c r="F25" s="15" t="s">
        <v>31</v>
      </c>
      <c r="G25" s="33" t="s">
        <v>31</v>
      </c>
      <c r="H25" s="2"/>
    </row>
    <row r="26" ht="15" customHeight="1">
      <c r="A26" s="31" t="s">
        <v>141</v>
      </c>
      <c r="B26" s="15" t="str">
        <f t="shared" si="4"/>
        <v>n/a</v>
      </c>
      <c r="C26" s="15" t="str">
        <f t="shared" si="4"/>
        <v>n/a</v>
      </c>
      <c r="D26" s="15" t="str">
        <f t="shared" si="4"/>
        <v>n/a</v>
      </c>
      <c r="E26" s="15" t="str">
        <f t="shared" si="4"/>
        <v>n/a</v>
      </c>
      <c r="F26" s="15" t="str">
        <f t="shared" si="4"/>
        <v>n/a</v>
      </c>
      <c r="G26" s="33" t="str">
        <f t="shared" si="4"/>
        <v>n/a</v>
      </c>
      <c r="H26" s="2"/>
    </row>
    <row r="27" ht="15" customHeight="1">
      <c r="A27" s="31" t="s">
        <v>65</v>
      </c>
      <c r="B27" s="24">
        <f>IF(AND(ISNUMBER(B22),ISNUMBER(Inputs!E225)),B22-Inputs!E225,"n/a")</f>
        <v>-9</v>
      </c>
      <c r="C27" s="36">
        <f t="shared" si="5"/>
        <v>-19</v>
      </c>
      <c r="D27" s="36"/>
      <c r="E27" s="36">
        <f t="shared" si="6"/>
        <v>-12</v>
      </c>
      <c r="F27" s="36">
        <f t="shared" si="5"/>
        <v>38</v>
      </c>
      <c r="G27" s="37">
        <f t="shared" si="5"/>
        <v>-1</v>
      </c>
      <c r="H27" s="2"/>
    </row>
    <row r="28" ht="15" customHeight="1">
      <c r="A28" s="3" t="s">
        <v>184</v>
      </c>
      <c r="B28" s="34">
        <f t="shared" si="7" ref="B28:G28">B16+B22</f>
        <v>3415</v>
      </c>
      <c r="C28" s="34">
        <f t="shared" si="7"/>
        <v>3837</v>
      </c>
      <c r="D28" s="34">
        <f t="shared" si="7"/>
        <v>12771</v>
      </c>
      <c r="E28" s="34">
        <f t="shared" si="7"/>
        <v>2408</v>
      </c>
      <c r="F28" s="34">
        <f t="shared" si="7"/>
        <v>3139</v>
      </c>
      <c r="G28" s="35">
        <f t="shared" si="7"/>
        <v>3222.5</v>
      </c>
      <c r="H28" s="2"/>
    </row>
    <row r="29" ht="15" customHeight="1">
      <c r="A29" s="23" t="s">
        <v>139</v>
      </c>
      <c r="B29" s="32">
        <f>IF(AND(ISNUMBER(B28),ISNUMBER(Inputs!B226)),IF(Inputs!B226&gt;0,B28/Inputs!B226-1,"n/m"),"n/a")</f>
        <v>0.4372895622895623</v>
      </c>
      <c r="C29" s="32">
        <f>IF(AND(ISNUMBER(C28),ISNUMBER(Inputs!C226)),IF(Inputs!C226&gt;0,C28/Inputs!C226-1,"n/m"),"n/a")</f>
        <v>0.25351192420777524</v>
      </c>
      <c r="D29" s="32">
        <f>IF(AND(ISNUMBER(D28),ISNUMBER(Inputs!F226)),IF(Inputs!F226&gt;0,D28/Inputs!F226-1,"n/m"),"n/a")</f>
        <v>0.2662105889351576</v>
      </c>
      <c r="E29" s="32">
        <f>IF(AND(ISNUMBER(E28),ISNUMBER(Inputs!D226)),IF(Inputs!D226&gt;0,E28/Inputs!D226-1,"n/m"),"n/a")</f>
        <v>-0.11794871794871797</v>
      </c>
      <c r="F29" s="32">
        <f>IF(AND(ISNUMBER(F28),ISNUMBER(Inputs!E226)),IF(Inputs!E226&gt;0,F28/Inputs!E226-1,"n/m"),"n/a")</f>
        <v>0.1254930082466834</v>
      </c>
      <c r="G29" s="33">
        <f t="shared" si="2"/>
        <v>-0.056368960468521245</v>
      </c>
      <c r="H29" s="2"/>
    </row>
    <row r="30" ht="15" customHeight="1">
      <c r="A30" s="23" t="s">
        <v>74</v>
      </c>
      <c r="B30" s="32">
        <f>'Revenue summary'!B31</f>
        <v>0</v>
      </c>
      <c r="C30" s="32">
        <f>'Revenue summary'!C31</f>
        <v>0</v>
      </c>
      <c r="D30" s="32">
        <f>'Revenue summary'!D31</f>
        <v>0</v>
      </c>
      <c r="E30" s="32">
        <f>'Revenue summary'!E31</f>
        <v>0</v>
      </c>
      <c r="F30" s="32">
        <f>'Revenue summary'!F31</f>
        <v>0</v>
      </c>
      <c r="G30" s="66">
        <f>'Revenue summary'!G31</f>
        <v>0</v>
      </c>
      <c r="H30" s="2"/>
    </row>
    <row r="31" ht="15" customHeight="1">
      <c r="A31" s="23" t="s">
        <v>140</v>
      </c>
      <c r="B31" s="15" t="s">
        <v>31</v>
      </c>
      <c r="C31" s="15" t="s">
        <v>31</v>
      </c>
      <c r="D31" s="15" t="s">
        <v>31</v>
      </c>
      <c r="E31" s="15" t="s">
        <v>31</v>
      </c>
      <c r="F31" s="15" t="s">
        <v>31</v>
      </c>
      <c r="G31" s="33" t="s">
        <v>31</v>
      </c>
      <c r="H31" s="2"/>
    </row>
    <row r="32" ht="15" customHeight="1">
      <c r="A32" s="23" t="s">
        <v>141</v>
      </c>
      <c r="B32" s="15" t="str">
        <f t="shared" si="4"/>
        <v>n/a</v>
      </c>
      <c r="C32" s="15" t="str">
        <f t="shared" si="4"/>
        <v>n/a</v>
      </c>
      <c r="D32" s="15" t="str">
        <f t="shared" si="4"/>
        <v>n/a</v>
      </c>
      <c r="E32" s="15" t="str">
        <f t="shared" si="4"/>
        <v>n/a</v>
      </c>
      <c r="F32" s="15" t="str">
        <f t="shared" si="4"/>
        <v>n/a</v>
      </c>
      <c r="G32" s="33" t="str">
        <f t="shared" si="4"/>
        <v>n/a</v>
      </c>
      <c r="H32" s="2"/>
    </row>
    <row r="33" ht="15" customHeight="1">
      <c r="A33" s="23" t="s">
        <v>65</v>
      </c>
      <c r="B33" s="24">
        <f>IF(AND(ISNUMBER(B28),ISNUMBER(Inputs!E226)),B28-Inputs!E226,"n/a")</f>
        <v>626</v>
      </c>
      <c r="C33" s="36">
        <f t="shared" si="5"/>
        <v>422</v>
      </c>
      <c r="D33" s="36"/>
      <c r="E33" s="36">
        <f t="shared" si="6"/>
        <v>-1429</v>
      </c>
      <c r="F33" s="36">
        <f t="shared" si="5"/>
        <v>731</v>
      </c>
      <c r="G33" s="37">
        <f t="shared" si="5"/>
        <v>83.5</v>
      </c>
      <c r="H33" s="2"/>
    </row>
    <row r="34" ht="15" customHeight="1">
      <c r="A34" s="29" t="s">
        <v>185</v>
      </c>
      <c r="B34" s="14"/>
      <c r="C34" s="14"/>
      <c r="D34" s="14"/>
      <c r="E34" s="40">
        <v>87</v>
      </c>
      <c r="F34" s="40">
        <v>318</v>
      </c>
      <c r="G34" s="65" t="s">
        <v>31</v>
      </c>
      <c r="H34" s="2" t="s">
        <v>186</v>
      </c>
    </row>
    <row r="35" ht="15" customHeight="1">
      <c r="A35" s="31" t="s">
        <v>72</v>
      </c>
      <c r="B35" s="36" t="s">
        <v>31</v>
      </c>
      <c r="C35" s="36" t="s">
        <v>31</v>
      </c>
      <c r="D35" s="36" t="s">
        <v>31</v>
      </c>
      <c r="E35" s="36" t="s">
        <v>31</v>
      </c>
      <c r="F35" s="36" t="s">
        <v>31</v>
      </c>
      <c r="G35" s="37" t="str">
        <f t="shared" si="11" ref="G35:G54">IF(AND(ISNUMBER(G34),ISNUMBER(B34)),G34-B34,"n/a")</f>
        <v>n/a</v>
      </c>
      <c r="H35" s="2"/>
    </row>
    <row r="36" ht="15" customHeight="1">
      <c r="A36" s="31" t="s">
        <v>65</v>
      </c>
      <c r="B36" s="36" t="s">
        <v>31</v>
      </c>
      <c r="C36" s="36" t="str">
        <f t="shared" si="0"/>
        <v>n/a</v>
      </c>
      <c r="D36" s="36"/>
      <c r="E36" s="36" t="str">
        <f t="shared" si="3"/>
        <v>n/a</v>
      </c>
      <c r="F36" s="36">
        <f t="shared" si="0"/>
        <v>231</v>
      </c>
      <c r="G36" s="37" t="str">
        <f t="shared" si="0"/>
        <v>n/a</v>
      </c>
      <c r="H36" s="2"/>
    </row>
    <row r="37" ht="15" customHeight="1">
      <c r="A37" s="3" t="s">
        <v>187</v>
      </c>
      <c r="B37" s="2"/>
      <c r="C37" s="2"/>
      <c r="D37" s="2"/>
      <c r="E37" s="2"/>
      <c r="F37" s="2"/>
      <c r="G37" s="28"/>
      <c r="H37" s="2"/>
    </row>
    <row r="38" ht="15" customHeight="1">
      <c r="A38" s="23" t="s">
        <v>188</v>
      </c>
      <c r="B38" s="15">
        <f t="shared" si="8" ref="B38:F38">B44/B28</f>
        <v>0.3142020497803807</v>
      </c>
      <c r="C38" s="15">
        <f t="shared" si="8"/>
        <v>0.2861610633307271</v>
      </c>
      <c r="D38" s="15">
        <f t="shared" si="8"/>
        <v>0.29770573956620466</v>
      </c>
      <c r="E38" s="15">
        <f t="shared" si="8"/>
        <v>0.3953488372093023</v>
      </c>
      <c r="F38" s="15">
        <f t="shared" si="8"/>
        <v>0.20388658808537752</v>
      </c>
      <c r="G38" s="43">
        <v>0.26</v>
      </c>
      <c r="H38" s="2" t="s">
        <v>189</v>
      </c>
    </row>
    <row r="39" ht="15" customHeight="1">
      <c r="A39" s="31" t="s">
        <v>68</v>
      </c>
      <c r="B39" s="48">
        <f>IF(AND(ISNUMBER(B38),ISNUMBER(Inputs!B227)),(B38-Inputs!B227)*10000,"n/a")</f>
        <v>90.6736964570054</v>
      </c>
      <c r="C39" s="48">
        <f>IF(AND(ISNUMBER(C38),ISNUMBER(Inputs!C227)),(C38-Inputs!C227)*10000,"n/a")</f>
        <v>339.55901618868245</v>
      </c>
      <c r="D39" s="48">
        <f>IF(AND(ISNUMBER(D38),ISNUMBER(Inputs!F227)),(D38-Inputs!F227)*10000,"n/a")</f>
        <v>359.5678061320051</v>
      </c>
      <c r="E39" s="48">
        <f>IF(AND(ISNUMBER(E38),ISNUMBER(Inputs!D227)),(E38-Inputs!D227)*10000,"n/a")</f>
        <v>1078.0304966351478</v>
      </c>
      <c r="F39" s="48">
        <f>IF(AND(ISNUMBER(F38),ISNUMBER(Inputs!E227)),(F38-Inputs!E227)*10000,"n/a")</f>
        <v>-994.4794041946292</v>
      </c>
      <c r="G39" s="39">
        <f t="shared" si="13" ref="G39:G51">IF(AND(ISNUMBER(G38),ISNUMBER(B38)),(G38-B38)*10000,"n/a")</f>
        <v>-542.0204978038067</v>
      </c>
      <c r="H39" s="2"/>
    </row>
    <row r="40" ht="15" customHeight="1">
      <c r="A40" s="31" t="s">
        <v>69</v>
      </c>
      <c r="B40" s="48">
        <f>IF(AND(ISNUMBER(B38),ISNUMBER(Inputs!E227)),(B38-Inputs!E227)*10000,"n/a")</f>
        <v>108.67521275540248</v>
      </c>
      <c r="C40" s="38">
        <f t="shared" si="9" ref="C40:G52">IF(AND(ISNUMBER(C38),ISNUMBER(B38)),(C38-B38)*10000,"n/a")</f>
        <v>-280.4098644965358</v>
      </c>
      <c r="D40" s="38"/>
      <c r="E40" s="38">
        <f t="shared" si="14" ref="E40:E52">IF(AND(ISNUMBER(E38),ISNUMBER(C38)),(E38-C38)*10000,"n/a")</f>
        <v>1091.877738785752</v>
      </c>
      <c r="F40" s="38">
        <f t="shared" si="9"/>
        <v>-1914.622491239248</v>
      </c>
      <c r="G40" s="39">
        <f t="shared" si="9"/>
        <v>561.1341191462249</v>
      </c>
      <c r="H40" s="2"/>
    </row>
    <row r="41" ht="15" customHeight="1">
      <c r="A41" s="29" t="s">
        <v>190</v>
      </c>
      <c r="B41" s="40">
        <v>2342</v>
      </c>
      <c r="C41" s="40">
        <v>2739</v>
      </c>
      <c r="D41" s="13">
        <f>Inputs!D228+Inputs!E228+B41+C41</f>
        <v>8969</v>
      </c>
      <c r="E41" s="40">
        <v>1456</v>
      </c>
      <c r="F41" s="40">
        <v>2499</v>
      </c>
      <c r="G41" s="65">
        <f>G28*(1-G38)</f>
        <v>2384.65</v>
      </c>
      <c r="H41" s="2"/>
    </row>
    <row r="42" ht="15" customHeight="1">
      <c r="A42" s="31" t="s">
        <v>60</v>
      </c>
      <c r="B42" s="32">
        <f>IF(AND(ISNUMBER(B41),ISNUMBER(Inputs!B228)),IF(Inputs!B228&gt;0,B41/Inputs!B228-1,"n/m"),"n/a")</f>
        <v>0.4185342216838279</v>
      </c>
      <c r="C42" s="32">
        <f>IF(AND(ISNUMBER(C41),ISNUMBER(Inputs!C228)),IF(Inputs!C228&gt;0,C41/Inputs!C228-1,"n/m"),"n/a")</f>
        <v>0.19659239842726084</v>
      </c>
      <c r="D42" s="32">
        <f>IF(AND(ISNUMBER(D41),ISNUMBER(Inputs!F228)),IF(Inputs!F228&gt;0,D41/Inputs!F228-1,"n/m"),"n/a")</f>
        <v>0.20453934998656997</v>
      </c>
      <c r="E42" s="32">
        <f>IF(AND(ISNUMBER(E41),ISNUMBER(Inputs!D228)),IF(Inputs!D228&gt;0,E41/Inputs!D228-1,"n/m"),"n/a")</f>
        <v>-0.251413881748072</v>
      </c>
      <c r="F42" s="32">
        <f>IF(AND(ISNUMBER(F41),ISNUMBER(Inputs!E228)),IF(Inputs!E228&gt;0,F41/Inputs!E228-1,"n/m"),"n/a")</f>
        <v>0.2861554297478126</v>
      </c>
      <c r="G42" s="33">
        <f t="shared" si="2"/>
        <v>0.01821093082835179</v>
      </c>
      <c r="H42" s="2"/>
    </row>
    <row r="43" ht="15" customHeight="1">
      <c r="A43" s="31" t="s">
        <v>65</v>
      </c>
      <c r="B43" s="24">
        <f>IF(AND(ISNUMBER(B41),ISNUMBER(Inputs!E228)),B41-Inputs!E228,"n/a")</f>
        <v>399</v>
      </c>
      <c r="C43" s="36">
        <f t="shared" si="0"/>
        <v>397</v>
      </c>
      <c r="D43" s="36"/>
      <c r="E43" s="36">
        <f t="shared" si="3"/>
        <v>-1283</v>
      </c>
      <c r="F43" s="36">
        <f t="shared" si="0"/>
        <v>1043</v>
      </c>
      <c r="G43" s="37">
        <f t="shared" si="0"/>
        <v>-114.34999999999991</v>
      </c>
      <c r="H43" s="2"/>
    </row>
    <row r="44" ht="15" customHeight="1">
      <c r="A44" s="3" t="s">
        <v>191</v>
      </c>
      <c r="B44" s="34">
        <f t="shared" si="10" ref="B44:G44">B28-B41</f>
        <v>1073</v>
      </c>
      <c r="C44" s="34">
        <f t="shared" si="10"/>
        <v>1098</v>
      </c>
      <c r="D44" s="34">
        <f t="shared" si="10"/>
        <v>3802</v>
      </c>
      <c r="E44" s="34">
        <f t="shared" si="10"/>
        <v>952</v>
      </c>
      <c r="F44" s="34">
        <f t="shared" si="10"/>
        <v>640</v>
      </c>
      <c r="G44" s="35">
        <f t="shared" si="10"/>
        <v>837.8499999999999</v>
      </c>
      <c r="H44" s="2"/>
    </row>
    <row r="45" ht="15" customHeight="1">
      <c r="A45" s="23" t="s">
        <v>60</v>
      </c>
      <c r="B45" s="32">
        <f>IF(AND(ISNUMBER(B44),ISNUMBER(Inputs!B229)),IF(Inputs!B229&gt;0,B44/Inputs!B229-1,"n/m"),"n/a")</f>
        <v>0.48</v>
      </c>
      <c r="C45" s="32">
        <f>IF(AND(ISNUMBER(C44),ISNUMBER(Inputs!C229)),IF(Inputs!C229&gt;0,C44/Inputs!C229-1,"n/m"),"n/a")</f>
        <v>0.42227979274611394</v>
      </c>
      <c r="D45" s="32">
        <f>IF(AND(ISNUMBER(D44),ISNUMBER(Inputs!F229)),IF(Inputs!F229&gt;0,D44/Inputs!F229-1,"n/m"),"n/a")</f>
        <v>0.4401515151515152</v>
      </c>
      <c r="E45" s="32">
        <f>IF(AND(ISNUMBER(E44),ISNUMBER(Inputs!D229)),IF(Inputs!D229&gt;0,E44/Inputs!D229-1,"n/m"),"n/a")</f>
        <v>0.21273885350318467</v>
      </c>
      <c r="F45" s="32">
        <f>IF(AND(ISNUMBER(F44),ISNUMBER(Inputs!E229)),IF(Inputs!E229&gt;0,F44/Inputs!E229-1,"n/m"),"n/a")</f>
        <v>-0.2434988179669031</v>
      </c>
      <c r="G45" s="33">
        <f t="shared" si="2"/>
        <v>-0.21915191053122096</v>
      </c>
      <c r="H45" s="2"/>
    </row>
    <row r="46" ht="15" customHeight="1">
      <c r="A46" s="23" t="s">
        <v>65</v>
      </c>
      <c r="B46" s="24">
        <f>IF(AND(ISNUMBER(B44),ISNUMBER(Inputs!E229)),B44-Inputs!E229,"n/a")</f>
        <v>227</v>
      </c>
      <c r="C46" s="36">
        <f t="shared" si="0"/>
        <v>25</v>
      </c>
      <c r="D46" s="36"/>
      <c r="E46" s="36">
        <f t="shared" si="3"/>
        <v>-146</v>
      </c>
      <c r="F46" s="36">
        <f t="shared" si="0"/>
        <v>-312</v>
      </c>
      <c r="G46" s="37">
        <f t="shared" si="0"/>
        <v>197.8499999999999</v>
      </c>
      <c r="H46" s="2"/>
    </row>
    <row r="47" ht="15" customHeight="1">
      <c r="A47" s="29" t="s">
        <v>192</v>
      </c>
      <c r="B47" s="14" t="s">
        <v>31</v>
      </c>
      <c r="C47" s="14" t="s">
        <v>31</v>
      </c>
      <c r="D47" s="14"/>
      <c r="E47" s="40">
        <v>200</v>
      </c>
      <c r="F47" s="40">
        <v>-240</v>
      </c>
      <c r="G47" s="41">
        <v>0</v>
      </c>
      <c r="H47" s="2" t="s">
        <v>193</v>
      </c>
    </row>
    <row r="48" ht="15" customHeight="1">
      <c r="A48" s="31" t="s">
        <v>72</v>
      </c>
      <c r="B48" s="36" t="s">
        <v>31</v>
      </c>
      <c r="C48" s="36" t="s">
        <v>31</v>
      </c>
      <c r="D48" s="36" t="s">
        <v>31</v>
      </c>
      <c r="E48" s="36" t="s">
        <v>31</v>
      </c>
      <c r="F48" s="36" t="s">
        <v>31</v>
      </c>
      <c r="G48" s="37" t="str">
        <f t="shared" si="11"/>
        <v>n/a</v>
      </c>
      <c r="H48" s="2"/>
    </row>
    <row r="49" ht="15" customHeight="1">
      <c r="A49" s="31" t="s">
        <v>65</v>
      </c>
      <c r="B49" s="36" t="s">
        <v>31</v>
      </c>
      <c r="C49" s="36" t="str">
        <f t="shared" si="0"/>
        <v>n/a</v>
      </c>
      <c r="D49" s="36"/>
      <c r="E49" s="36" t="str">
        <f t="shared" si="3"/>
        <v>n/a</v>
      </c>
      <c r="F49" s="36">
        <f t="shared" si="0"/>
        <v>-440</v>
      </c>
      <c r="G49" s="37">
        <f t="shared" si="0"/>
        <v>240</v>
      </c>
      <c r="H49" s="2"/>
    </row>
    <row r="50" ht="15" customHeight="1">
      <c r="A50" s="23" t="s">
        <v>194</v>
      </c>
      <c r="B50" s="15" t="str">
        <f t="shared" si="12" ref="B50:G50">IF(ISNUMBER(B47),(B44-B47)/B28,"n/a")</f>
        <v>n/a</v>
      </c>
      <c r="C50" s="15" t="str">
        <f t="shared" si="12"/>
        <v>n/a</v>
      </c>
      <c r="D50" s="15" t="str">
        <f>"n/a"</f>
        <v>n/a</v>
      </c>
      <c r="E50" s="15">
        <f t="shared" si="12"/>
        <v>0.3122923588039867</v>
      </c>
      <c r="F50" s="15">
        <f t="shared" si="12"/>
        <v>0.2803440586173941</v>
      </c>
      <c r="G50" s="33">
        <f t="shared" si="12"/>
        <v>0.25999999999999995</v>
      </c>
      <c r="H50" s="2"/>
    </row>
    <row r="51" ht="15" customHeight="1">
      <c r="A51" s="31" t="s">
        <v>68</v>
      </c>
      <c r="B51" s="38" t="s">
        <v>31</v>
      </c>
      <c r="C51" s="38" t="s">
        <v>31</v>
      </c>
      <c r="D51" s="38" t="s">
        <v>31</v>
      </c>
      <c r="E51" s="38" t="s">
        <v>31</v>
      </c>
      <c r="F51" s="38" t="s">
        <v>31</v>
      </c>
      <c r="G51" s="39" t="str">
        <f t="shared" si="13"/>
        <v>n/a</v>
      </c>
      <c r="H51" s="2"/>
    </row>
    <row r="52" ht="15" customHeight="1">
      <c r="A52" s="31" t="s">
        <v>69</v>
      </c>
      <c r="B52" s="38" t="s">
        <v>31</v>
      </c>
      <c r="C52" s="38" t="str">
        <f t="shared" si="9"/>
        <v>n/a</v>
      </c>
      <c r="D52" s="38"/>
      <c r="E52" s="38" t="str">
        <f t="shared" si="14"/>
        <v>n/a</v>
      </c>
      <c r="F52" s="38">
        <f t="shared" si="9"/>
        <v>-319.48300186592616</v>
      </c>
      <c r="G52" s="39">
        <f t="shared" si="9"/>
        <v>-203.44058617394134</v>
      </c>
      <c r="H52" s="2"/>
    </row>
    <row r="53" ht="15" customHeight="1">
      <c r="A53" s="29" t="s">
        <v>175</v>
      </c>
      <c r="B53" s="40">
        <v>92</v>
      </c>
      <c r="C53" s="14"/>
      <c r="D53" s="40">
        <v>355</v>
      </c>
      <c r="E53" s="40">
        <v>95</v>
      </c>
      <c r="F53" s="40">
        <v>97</v>
      </c>
      <c r="G53" s="65" t="s">
        <v>31</v>
      </c>
      <c r="H53" s="2" t="s">
        <v>195</v>
      </c>
    </row>
    <row r="54" ht="15" customHeight="1">
      <c r="A54" s="31" t="s">
        <v>72</v>
      </c>
      <c r="B54" s="24">
        <f>IF(AND(ISNUMBER(B53),ISNUMBER(Inputs!B230)),B53-Inputs!B230,"n/a")</f>
        <v>-3</v>
      </c>
      <c r="C54" s="24" t="str">
        <f>IF(AND(ISNUMBER(C53),ISNUMBER(Inputs!C230)),C53-Inputs!C230,"n/a")</f>
        <v>n/a</v>
      </c>
      <c r="D54" s="24">
        <f>IF(AND(ISNUMBER(D53),ISNUMBER(Inputs!F230)),D53-Inputs!F230,"n/a")</f>
        <v>-22</v>
      </c>
      <c r="E54" s="24">
        <f>IF(AND(ISNUMBER(E53),ISNUMBER(Inputs!D230)),E53-Inputs!D230,"n/a")</f>
        <v>12</v>
      </c>
      <c r="F54" s="24">
        <f>IF(AND(ISNUMBER(F53),ISNUMBER(Inputs!E230)),F53-Inputs!E230,"n/a")</f>
        <v>10</v>
      </c>
      <c r="G54" s="37" t="str">
        <f t="shared" si="11"/>
        <v>n/a</v>
      </c>
      <c r="H54" s="2"/>
    </row>
    <row r="55" ht="15" customHeight="1">
      <c r="A55" s="31" t="s">
        <v>65</v>
      </c>
      <c r="B55" s="24">
        <f>IF(AND(ISNUMBER(B53),ISNUMBER(Inputs!E230)),B53-Inputs!E230,"n/a")</f>
        <v>5</v>
      </c>
      <c r="C55" s="36" t="str">
        <f t="shared" si="0"/>
        <v>n/a</v>
      </c>
      <c r="D55" s="36"/>
      <c r="E55" s="36" t="str">
        <f t="shared" si="3"/>
        <v>n/a</v>
      </c>
      <c r="F55" s="36">
        <f t="shared" si="0"/>
        <v>2</v>
      </c>
      <c r="G55" s="37" t="str">
        <f t="shared" si="0"/>
        <v>n/a</v>
      </c>
      <c r="H55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C362F4B-5D48-CBC8-A3B8-D09615C6C6B2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196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197</v>
      </c>
      <c r="B8" s="2"/>
      <c r="C8" s="2"/>
      <c r="D8" s="2"/>
      <c r="E8" s="2"/>
      <c r="F8" s="2"/>
      <c r="G8" s="28"/>
      <c r="H8" s="2"/>
    </row>
    <row r="9" ht="15" customHeight="1">
      <c r="A9" s="29" t="s">
        <v>78</v>
      </c>
      <c r="B9" s="13">
        <f>'Segment - Automotive'!B109</f>
        <v>20359</v>
      </c>
      <c r="C9" s="13">
        <f>'Segment - Automotive'!C109</f>
        <v>16750</v>
      </c>
      <c r="D9" s="13">
        <f>'Segment - Automotive'!D109</f>
        <v>65821</v>
      </c>
      <c r="E9" s="13">
        <f>'Segment - Automotive'!E109</f>
        <v>15473</v>
      </c>
      <c r="F9" s="13">
        <f>'Segment - Automotive'!F109</f>
        <v>20006</v>
      </c>
      <c r="G9" s="30">
        <f>'Segment - Automotive'!G109</f>
        <v>20104.0085808</v>
      </c>
      <c r="H9" s="2"/>
    </row>
    <row r="10" ht="15" customHeight="1">
      <c r="A10" s="31" t="s">
        <v>72</v>
      </c>
      <c r="B10" s="24">
        <f>IF(AND(ISNUMBER(B9),ISNUMBER(Inputs!B231)),B9-Inputs!B231,"n/a")</f>
        <v>1528</v>
      </c>
      <c r="C10" s="24">
        <f>IF(AND(ISNUMBER(C9),ISNUMBER(Inputs!C231)),C9-Inputs!C231,"n/a")</f>
        <v>-1909</v>
      </c>
      <c r="D10" s="24">
        <f>IF(AND(ISNUMBER(D9),ISNUMBER(Inputs!F231)),D9-Inputs!F231,"n/a")</f>
        <v>-6659</v>
      </c>
      <c r="E10" s="24">
        <f>IF(AND(ISNUMBER(E9),ISNUMBER(Inputs!D231)),E9-Inputs!D231,"n/a")</f>
        <v>2548</v>
      </c>
      <c r="F10" s="24">
        <f>IF(AND(ISNUMBER(F9),ISNUMBER(Inputs!E231)),F9-Inputs!E231,"n/a")</f>
        <v>4219</v>
      </c>
      <c r="G10" s="37">
        <f t="shared" si="1" ref="G10:G247">IF(AND(ISNUMBER(G9),ISNUMBER(B9)),G9-B9,"n/a")</f>
        <v>-254.99141919999965</v>
      </c>
      <c r="H10" s="2"/>
    </row>
    <row r="11" ht="15" customHeight="1">
      <c r="A11" s="31" t="s">
        <v>65</v>
      </c>
      <c r="B11" s="24">
        <f>IF(AND(ISNUMBER(B9),ISNUMBER(Inputs!E231)),B9-Inputs!E231,"n/a")</f>
        <v>4572</v>
      </c>
      <c r="C11" s="36">
        <f t="shared" si="0" ref="C11:G248">IF(AND(ISNUMBER(C9),ISNUMBER(B9)),C9-B9,"n/a")</f>
        <v>-3609</v>
      </c>
      <c r="D11" s="36"/>
      <c r="E11" s="36">
        <f t="shared" si="2" ref="E11:E248">IF(AND(ISNUMBER(E9),ISNUMBER(C9)),E9-C9,"n/a")</f>
        <v>-1277</v>
      </c>
      <c r="F11" s="36">
        <f t="shared" si="0"/>
        <v>4533</v>
      </c>
      <c r="G11" s="37">
        <f t="shared" si="0"/>
        <v>98.00858080000035</v>
      </c>
      <c r="H11" s="2"/>
    </row>
    <row r="12" ht="15" customHeight="1">
      <c r="A12" s="29" t="s">
        <v>79</v>
      </c>
      <c r="B12" s="13">
        <f>'Segment - Automotive'!B115</f>
        <v>417</v>
      </c>
      <c r="C12" s="13">
        <f>'Segment - Automotive'!C115</f>
        <v>542</v>
      </c>
      <c r="D12" s="13">
        <f>'Segment - Automotive'!D115</f>
        <v>1993</v>
      </c>
      <c r="E12" s="13">
        <f>'Segment - Automotive'!E115</f>
        <v>380</v>
      </c>
      <c r="F12" s="13">
        <f>'Segment - Automotive'!F115</f>
        <v>146</v>
      </c>
      <c r="G12" s="30">
        <f>'Segment - Automotive'!G115</f>
        <v>150</v>
      </c>
      <c r="H12" s="2"/>
    </row>
    <row r="13" ht="15" customHeight="1">
      <c r="A13" s="31" t="s">
        <v>72</v>
      </c>
      <c r="B13" s="24">
        <f>IF(AND(ISNUMBER(B12),ISNUMBER(Inputs!B232)),B12-Inputs!B232,"n/a")</f>
        <v>-322</v>
      </c>
      <c r="C13" s="24">
        <f>IF(AND(ISNUMBER(C12),ISNUMBER(Inputs!C232)),C12-Inputs!C232,"n/a")</f>
        <v>-150</v>
      </c>
      <c r="D13" s="24">
        <f>IF(AND(ISNUMBER(D12),ISNUMBER(Inputs!F232)),D12-Inputs!F232,"n/a")</f>
        <v>-770</v>
      </c>
      <c r="E13" s="24">
        <f>IF(AND(ISNUMBER(E12),ISNUMBER(Inputs!D232)),E12-Inputs!D232,"n/a")</f>
        <v>-215</v>
      </c>
      <c r="F13" s="24">
        <f>IF(AND(ISNUMBER(F12),ISNUMBER(Inputs!E232)),F12-Inputs!E232,"n/a")</f>
        <v>-293</v>
      </c>
      <c r="G13" s="37">
        <f t="shared" si="1"/>
        <v>-267</v>
      </c>
      <c r="H13" s="2"/>
    </row>
    <row r="14" ht="15" customHeight="1">
      <c r="A14" s="31" t="s">
        <v>65</v>
      </c>
      <c r="B14" s="24">
        <f>IF(AND(ISNUMBER(B12),ISNUMBER(Inputs!E232)),B12-Inputs!E232,"n/a")</f>
        <v>-22</v>
      </c>
      <c r="C14" s="36">
        <f t="shared" si="0"/>
        <v>125</v>
      </c>
      <c r="D14" s="36"/>
      <c r="E14" s="36">
        <f t="shared" si="2"/>
        <v>-162</v>
      </c>
      <c r="F14" s="36">
        <f t="shared" si="0"/>
        <v>-234</v>
      </c>
      <c r="G14" s="37">
        <f t="shared" si="0"/>
        <v>4</v>
      </c>
      <c r="H14" s="2"/>
    </row>
    <row r="15" ht="15" customHeight="1">
      <c r="A15" s="29" t="s">
        <v>80</v>
      </c>
      <c r="B15" s="13">
        <f>'Segment - Automotive'!B124</f>
        <v>429</v>
      </c>
      <c r="C15" s="13">
        <f>'Segment - Automotive'!C124</f>
        <v>401</v>
      </c>
      <c r="D15" s="13">
        <f>'Segment - Automotive'!D124</f>
        <v>1712</v>
      </c>
      <c r="E15" s="13">
        <f>'Segment - Automotive'!E124</f>
        <v>381</v>
      </c>
      <c r="F15" s="13">
        <f>'Segment - Automotive'!F124</f>
        <v>364</v>
      </c>
      <c r="G15" s="30">
        <f>'Segment - Automotive'!G124</f>
        <v>334.26105825</v>
      </c>
      <c r="H15" s="2"/>
    </row>
    <row r="16" ht="15" customHeight="1">
      <c r="A16" s="31" t="s">
        <v>72</v>
      </c>
      <c r="B16" s="24">
        <f>IF(AND(ISNUMBER(B15),ISNUMBER(Inputs!B233)),B15-Inputs!B233,"n/a")</f>
        <v>-17</v>
      </c>
      <c r="C16" s="24">
        <f>IF(AND(ISNUMBER(C15),ISNUMBER(Inputs!C233)),C15-Inputs!C233,"n/a")</f>
        <v>-46</v>
      </c>
      <c r="D16" s="24">
        <f>IF(AND(ISNUMBER(D15),ISNUMBER(Inputs!F233)),D15-Inputs!F233,"n/a")</f>
        <v>-115</v>
      </c>
      <c r="E16" s="24">
        <f>IF(AND(ISNUMBER(E15),ISNUMBER(Inputs!D233)),E15-Inputs!D233,"n/a")</f>
        <v>-66</v>
      </c>
      <c r="F16" s="24">
        <f>IF(AND(ISNUMBER(F15),ISNUMBER(Inputs!E233)),F15-Inputs!E233,"n/a")</f>
        <v>-71</v>
      </c>
      <c r="G16" s="37">
        <f t="shared" si="1"/>
        <v>-94.73894174999998</v>
      </c>
      <c r="H16" s="2"/>
    </row>
    <row r="17" ht="15" customHeight="1">
      <c r="A17" s="31" t="s">
        <v>65</v>
      </c>
      <c r="B17" s="24">
        <f>IF(AND(ISNUMBER(B15),ISNUMBER(Inputs!E233)),B15-Inputs!E233,"n/a")</f>
        <v>-6</v>
      </c>
      <c r="C17" s="36">
        <f t="shared" si="0"/>
        <v>-28</v>
      </c>
      <c r="D17" s="36"/>
      <c r="E17" s="36">
        <f t="shared" si="2"/>
        <v>-20</v>
      </c>
      <c r="F17" s="36">
        <f t="shared" si="0"/>
        <v>-17</v>
      </c>
      <c r="G17" s="37">
        <f t="shared" si="0"/>
        <v>-29.73894174999998</v>
      </c>
      <c r="H17" s="2"/>
    </row>
    <row r="18" ht="15" customHeight="1">
      <c r="A18" s="3" t="s">
        <v>145</v>
      </c>
      <c r="B18" s="34">
        <f t="shared" si="3" ref="B18:G46">B9+B12+B15</f>
        <v>21205</v>
      </c>
      <c r="C18" s="34">
        <f t="shared" si="3"/>
        <v>17693</v>
      </c>
      <c r="D18" s="34">
        <f t="shared" si="3"/>
        <v>69526</v>
      </c>
      <c r="E18" s="34">
        <f t="shared" si="3"/>
        <v>16234</v>
      </c>
      <c r="F18" s="34">
        <f t="shared" si="3"/>
        <v>20516</v>
      </c>
      <c r="G18" s="35">
        <f t="shared" si="3"/>
        <v>20588.26963905</v>
      </c>
      <c r="H18" s="2"/>
    </row>
    <row r="19" ht="15" customHeight="1">
      <c r="A19" s="23" t="s">
        <v>72</v>
      </c>
      <c r="B19" s="24">
        <f>IF(AND(ISNUMBER(B18),ISNUMBER(Inputs!B234)),B18-Inputs!B234,"n/a")</f>
        <v>1189</v>
      </c>
      <c r="C19" s="24">
        <f>IF(AND(ISNUMBER(C18),ISNUMBER(Inputs!C234)),C18-Inputs!C234,"n/a")</f>
        <v>-2105</v>
      </c>
      <c r="D19" s="24">
        <f>IF(AND(ISNUMBER(D18),ISNUMBER(Inputs!F234)),D18-Inputs!F234,"n/a")</f>
        <v>-7544</v>
      </c>
      <c r="E19" s="24">
        <f>IF(AND(ISNUMBER(E18),ISNUMBER(Inputs!D234)),E18-Inputs!D234,"n/a")</f>
        <v>2267</v>
      </c>
      <c r="F19" s="24">
        <f>IF(AND(ISNUMBER(F18),ISNUMBER(Inputs!E234)),F18-Inputs!E234,"n/a")</f>
        <v>3855</v>
      </c>
      <c r="G19" s="37">
        <f t="shared" si="1"/>
        <v>-616.7303609500013</v>
      </c>
      <c r="H19" s="2"/>
    </row>
    <row r="20" ht="15" customHeight="1">
      <c r="A20" s="23" t="s">
        <v>65</v>
      </c>
      <c r="B20" s="24">
        <f>IF(AND(ISNUMBER(B18),ISNUMBER(Inputs!E234)),B18-Inputs!E234,"n/a")</f>
        <v>4544</v>
      </c>
      <c r="C20" s="36">
        <f t="shared" si="0"/>
        <v>-3512</v>
      </c>
      <c r="D20" s="36"/>
      <c r="E20" s="36">
        <f t="shared" si="2"/>
        <v>-1459</v>
      </c>
      <c r="F20" s="36">
        <f t="shared" si="0"/>
        <v>4282</v>
      </c>
      <c r="G20" s="37">
        <f t="shared" si="0"/>
        <v>72.26963904999866</v>
      </c>
      <c r="H20" s="2"/>
    </row>
    <row r="21" ht="15" customHeight="1">
      <c r="A21" s="29" t="s">
        <v>198</v>
      </c>
      <c r="B21" s="13">
        <f>'Segment - Energy'!B28</f>
        <v>3415</v>
      </c>
      <c r="C21" s="13">
        <f>'Segment - Energy'!C28</f>
        <v>3837</v>
      </c>
      <c r="D21" s="13">
        <f>'Segment - Energy'!D28</f>
        <v>12771</v>
      </c>
      <c r="E21" s="13">
        <f>'Segment - Energy'!E28</f>
        <v>2408</v>
      </c>
      <c r="F21" s="13">
        <f>'Segment - Energy'!F28</f>
        <v>3139</v>
      </c>
      <c r="G21" s="30">
        <f>'Segment - Energy'!G28</f>
        <v>3222.5</v>
      </c>
      <c r="H21" s="2"/>
    </row>
    <row r="22" ht="15" customHeight="1">
      <c r="A22" s="31" t="s">
        <v>72</v>
      </c>
      <c r="B22" s="24">
        <f>IF(AND(ISNUMBER(B21),ISNUMBER(Inputs!B235)),B21-Inputs!B235,"n/a")</f>
        <v>1039</v>
      </c>
      <c r="C22" s="24">
        <f>IF(AND(ISNUMBER(C21),ISNUMBER(Inputs!C235)),C21-Inputs!C235,"n/a")</f>
        <v>776</v>
      </c>
      <c r="D22" s="24">
        <f>IF(AND(ISNUMBER(D21),ISNUMBER(Inputs!F235)),D21-Inputs!F235,"n/a")</f>
        <v>2685</v>
      </c>
      <c r="E22" s="24">
        <f>IF(AND(ISNUMBER(E21),ISNUMBER(Inputs!D235)),E21-Inputs!D235,"n/a")</f>
        <v>-322</v>
      </c>
      <c r="F22" s="24">
        <f>IF(AND(ISNUMBER(F21),ISNUMBER(Inputs!E235)),F21-Inputs!E235,"n/a")</f>
        <v>350</v>
      </c>
      <c r="G22" s="37">
        <f t="shared" si="1"/>
        <v>-192.5</v>
      </c>
      <c r="H22" s="2"/>
    </row>
    <row r="23" ht="15" customHeight="1">
      <c r="A23" s="31" t="s">
        <v>65</v>
      </c>
      <c r="B23" s="24">
        <f>IF(AND(ISNUMBER(B21),ISNUMBER(Inputs!E235)),B21-Inputs!E235,"n/a")</f>
        <v>626</v>
      </c>
      <c r="C23" s="36">
        <f t="shared" si="0"/>
        <v>422</v>
      </c>
      <c r="D23" s="36"/>
      <c r="E23" s="36">
        <f t="shared" si="2"/>
        <v>-1429</v>
      </c>
      <c r="F23" s="36">
        <f t="shared" si="0"/>
        <v>731</v>
      </c>
      <c r="G23" s="37">
        <f t="shared" si="0"/>
        <v>83.5</v>
      </c>
      <c r="H23" s="2"/>
    </row>
    <row r="24" ht="15" customHeight="1">
      <c r="A24" s="29" t="s">
        <v>81</v>
      </c>
      <c r="B24" s="13">
        <f>'Segment - Automotive'!B139</f>
        <v>3475</v>
      </c>
      <c r="C24" s="13">
        <f>'Segment - Automotive'!C139</f>
        <v>3371</v>
      </c>
      <c r="D24" s="13">
        <f>'Segment - Automotive'!D139</f>
        <v>12530</v>
      </c>
      <c r="E24" s="13">
        <f>'Segment - Automotive'!E139</f>
        <v>3745</v>
      </c>
      <c r="F24" s="13">
        <f>'Segment - Automotive'!F139</f>
        <v>4581</v>
      </c>
      <c r="G24" s="30">
        <f>'Segment - Automotive'!G139</f>
        <v>4772.76768</v>
      </c>
      <c r="H24" s="2"/>
    </row>
    <row r="25" ht="15" customHeight="1">
      <c r="A25" s="31" t="s">
        <v>72</v>
      </c>
      <c r="B25" s="24">
        <f>IF(AND(ISNUMBER(B24),ISNUMBER(Inputs!B236)),B24-Inputs!B236,"n/a")</f>
        <v>685</v>
      </c>
      <c r="C25" s="24">
        <f>IF(AND(ISNUMBER(C24),ISNUMBER(Inputs!C236)),C24-Inputs!C236,"n/a")</f>
        <v>523</v>
      </c>
      <c r="D25" s="24">
        <f>IF(AND(ISNUMBER(D24),ISNUMBER(Inputs!F236)),D24-Inputs!F236,"n/a")</f>
        <v>1996</v>
      </c>
      <c r="E25" s="24">
        <f>IF(AND(ISNUMBER(E24),ISNUMBER(Inputs!D236)),E24-Inputs!D236,"n/a")</f>
        <v>1107</v>
      </c>
      <c r="F25" s="24">
        <f>IF(AND(ISNUMBER(F24),ISNUMBER(Inputs!E236)),F24-Inputs!E236,"n/a")</f>
        <v>1535</v>
      </c>
      <c r="G25" s="37">
        <f t="shared" si="1"/>
        <v>1297.76768</v>
      </c>
      <c r="H25" s="2"/>
    </row>
    <row r="26" ht="15" customHeight="1">
      <c r="A26" s="31" t="s">
        <v>65</v>
      </c>
      <c r="B26" s="24">
        <f>IF(AND(ISNUMBER(B24),ISNUMBER(Inputs!E236)),B24-Inputs!E236,"n/a")</f>
        <v>429</v>
      </c>
      <c r="C26" s="36">
        <f t="shared" si="0"/>
        <v>-104</v>
      </c>
      <c r="D26" s="36"/>
      <c r="E26" s="36">
        <f t="shared" si="2"/>
        <v>374</v>
      </c>
      <c r="F26" s="36">
        <f t="shared" si="0"/>
        <v>836</v>
      </c>
      <c r="G26" s="37">
        <f t="shared" si="0"/>
        <v>191.76767999999993</v>
      </c>
      <c r="H26" s="2"/>
    </row>
    <row r="27" ht="15" customHeight="1">
      <c r="A27" s="3" t="s">
        <v>64</v>
      </c>
      <c r="B27" s="34">
        <f t="shared" si="3"/>
        <v>28095</v>
      </c>
      <c r="C27" s="34">
        <f t="shared" si="3"/>
        <v>24901</v>
      </c>
      <c r="D27" s="34">
        <f t="shared" si="3"/>
        <v>94827</v>
      </c>
      <c r="E27" s="34">
        <f t="shared" si="3"/>
        <v>22387</v>
      </c>
      <c r="F27" s="34">
        <f t="shared" si="3"/>
        <v>28236</v>
      </c>
      <c r="G27" s="35">
        <f t="shared" si="3"/>
        <v>28583.53731905</v>
      </c>
      <c r="H27" s="2"/>
    </row>
    <row r="28" ht="15" customHeight="1">
      <c r="A28" s="23" t="s">
        <v>60</v>
      </c>
      <c r="B28" s="32">
        <f>IF(AND(ISNUMBER(B27),ISNUMBER(Inputs!B237)),IF(Inputs!B237&gt;0,B27/Inputs!B237-1,"n/m"),"n/a")</f>
        <v>0.11567786514176803</v>
      </c>
      <c r="C28" s="32">
        <f>IF(AND(ISNUMBER(C27),ISNUMBER(Inputs!C237)),IF(Inputs!C237&gt;0,C27/Inputs!C237-1,"n/m"),"n/a")</f>
        <v>-0.031353327887345905</v>
      </c>
      <c r="D28" s="32">
        <f>IF(AND(ISNUMBER(D27),ISNUMBER(Inputs!F237)),IF(Inputs!F237&gt;0,D27/Inputs!F237-1,"n/m"),"n/a")</f>
        <v>-0.02930699150373628</v>
      </c>
      <c r="E28" s="32">
        <f>IF(AND(ISNUMBER(E27),ISNUMBER(Inputs!D237)),IF(Inputs!D237&gt;0,E27/Inputs!D237-1,"n/m"),"n/a")</f>
        <v>0.15784846133953967</v>
      </c>
      <c r="F28" s="32">
        <f>IF(AND(ISNUMBER(F27),ISNUMBER(Inputs!E237)),IF(Inputs!E237&gt;0,F27/Inputs!E237-1,"n/m"),"n/a")</f>
        <v>0.25515647226173543</v>
      </c>
      <c r="G28" s="33">
        <f t="shared" si="7" ref="G28:G208">IF(AND(ISNUMBER(G27),ISNUMBER(B27)),IF(B27&gt;0,G27/B27-1,"n/m"),"n/a")</f>
        <v>0.017388763803167784</v>
      </c>
      <c r="H28" s="2"/>
    </row>
    <row r="29" ht="15" customHeight="1">
      <c r="A29" s="23" t="s">
        <v>61</v>
      </c>
      <c r="B29" s="32">
        <f>IF(AND(ISNUMBER(B27),ISNUMBER(Inputs!E237)),IF(Inputs!E237&gt;0,B27/Inputs!E237-1,"n/m"),"n/a")</f>
        <v>0.2488886913229018</v>
      </c>
      <c r="C29" s="15">
        <f t="shared" si="4" ref="C29:G29">IF(AND(ISNUMBER(C27),ISNUMBER(B27)),IF(B27&gt;0,C27/B27-1,"n/m"),"n/a")</f>
        <v>-0.11368570920092547</v>
      </c>
      <c r="D29" s="15"/>
      <c r="E29" s="15">
        <f>IF(AND(ISNUMBER(E27),ISNUMBER(C27)),IF(C27&gt;0,E27/C27-1,"n/m"),"n/a")</f>
        <v>-0.10095980081121236</v>
      </c>
      <c r="F29" s="15">
        <f t="shared" si="4"/>
        <v>0.261267700004467</v>
      </c>
      <c r="G29" s="33">
        <f t="shared" si="4"/>
        <v>0.012308305675378994</v>
      </c>
      <c r="H29" s="2"/>
    </row>
    <row r="30" ht="15" customHeight="1">
      <c r="A30" s="3" t="s">
        <v>199</v>
      </c>
      <c r="B30" s="2"/>
      <c r="C30" s="2"/>
      <c r="D30" s="2"/>
      <c r="E30" s="2"/>
      <c r="F30" s="2"/>
      <c r="G30" s="28"/>
      <c r="H30" s="2"/>
    </row>
    <row r="31" ht="15" customHeight="1">
      <c r="A31" s="29" t="s">
        <v>78</v>
      </c>
      <c r="B31" s="13">
        <f>'Segment - Automotive'!B157</f>
        <v>17365</v>
      </c>
      <c r="C31" s="13">
        <f>'Segment - Automotive'!C157</f>
        <v>13874</v>
      </c>
      <c r="D31" s="13">
        <f>'Segment - Automotive'!D157</f>
        <v>56267</v>
      </c>
      <c r="E31" s="13">
        <f>'Segment - Automotive'!E157</f>
        <v>12616</v>
      </c>
      <c r="F31" s="13">
        <f>'Segment - Automotive'!F157</f>
        <v>16866</v>
      </c>
      <c r="G31" s="30">
        <f>'Segment - Automotive'!G157</f>
        <v>16897.765833</v>
      </c>
      <c r="H31" s="2"/>
    </row>
    <row r="32" ht="15" customHeight="1">
      <c r="A32" s="31" t="s">
        <v>72</v>
      </c>
      <c r="B32" s="24">
        <f>IF(AND(ISNUMBER(B31),ISNUMBER(Inputs!B238)),B31-Inputs!B238,"n/a")</f>
        <v>1622</v>
      </c>
      <c r="C32" s="24">
        <f>IF(AND(ISNUMBER(C31),ISNUMBER(Inputs!C238)),C31-Inputs!C238,"n/a")</f>
        <v>-2394</v>
      </c>
      <c r="D32" s="24">
        <f>IF(AND(ISNUMBER(D31),ISNUMBER(Inputs!F238)),D31-Inputs!F238,"n/a")</f>
        <v>-5603</v>
      </c>
      <c r="E32" s="24">
        <f>IF(AND(ISNUMBER(E31),ISNUMBER(Inputs!D238)),E31-Inputs!D238,"n/a")</f>
        <v>1155</v>
      </c>
      <c r="F32" s="24">
        <f>IF(AND(ISNUMBER(F31),ISNUMBER(Inputs!E238)),F31-Inputs!E238,"n/a")</f>
        <v>3299</v>
      </c>
      <c r="G32" s="37">
        <f t="shared" si="1"/>
        <v>-467.2341669999987</v>
      </c>
      <c r="H32" s="2"/>
    </row>
    <row r="33" ht="15" customHeight="1">
      <c r="A33" s="31" t="s">
        <v>65</v>
      </c>
      <c r="B33" s="24">
        <f>IF(AND(ISNUMBER(B31),ISNUMBER(Inputs!E238)),B31-Inputs!E238,"n/a")</f>
        <v>3798</v>
      </c>
      <c r="C33" s="36">
        <f t="shared" si="0"/>
        <v>-3491</v>
      </c>
      <c r="D33" s="36"/>
      <c r="E33" s="36">
        <f t="shared" si="2"/>
        <v>-1258</v>
      </c>
      <c r="F33" s="36">
        <f t="shared" si="0"/>
        <v>4250</v>
      </c>
      <c r="G33" s="37">
        <f t="shared" si="0"/>
        <v>31.765833000001294</v>
      </c>
      <c r="H33" s="2"/>
    </row>
    <row r="34" ht="15" customHeight="1">
      <c r="A34" s="29" t="s">
        <v>80</v>
      </c>
      <c r="B34" s="13">
        <f>'Segment - Automotive'!B163</f>
        <v>225</v>
      </c>
      <c r="C34" s="13">
        <f>'Segment - Automotive'!C163</f>
        <v>206</v>
      </c>
      <c r="D34" s="13">
        <f>'Segment - Automotive'!D163</f>
        <v>898</v>
      </c>
      <c r="E34" s="13">
        <f>'Segment - Automotive'!E163</f>
        <v>196</v>
      </c>
      <c r="F34" s="13">
        <f>'Segment - Automotive'!F163</f>
        <v>187</v>
      </c>
      <c r="G34" s="30">
        <f>'Segment - Automotive'!G163</f>
        <v>171.81018394050002</v>
      </c>
      <c r="H34" s="2"/>
    </row>
    <row r="35" ht="15" customHeight="1">
      <c r="A35" s="31" t="s">
        <v>72</v>
      </c>
      <c r="B35" s="24">
        <f>IF(AND(ISNUMBER(B34),ISNUMBER(Inputs!B239)),B34-Inputs!B239,"n/a")</f>
        <v>-22</v>
      </c>
      <c r="C35" s="24">
        <f>IF(AND(ISNUMBER(C34),ISNUMBER(Inputs!C239)),C34-Inputs!C239,"n/a")</f>
        <v>-36</v>
      </c>
      <c r="D35" s="24">
        <f>IF(AND(ISNUMBER(D34),ISNUMBER(Inputs!F239)),D34-Inputs!F239,"n/a")</f>
        <v>-105</v>
      </c>
      <c r="E35" s="24">
        <f>IF(AND(ISNUMBER(E34),ISNUMBER(Inputs!D239)),E34-Inputs!D239,"n/a")</f>
        <v>-43</v>
      </c>
      <c r="F35" s="24">
        <f>IF(AND(ISNUMBER(F34),ISNUMBER(Inputs!E239)),F34-Inputs!E239,"n/a")</f>
        <v>-41</v>
      </c>
      <c r="G35" s="37">
        <f t="shared" si="1"/>
        <v>-53.189816059499975</v>
      </c>
      <c r="H35" s="2"/>
    </row>
    <row r="36" ht="15" customHeight="1">
      <c r="A36" s="31" t="s">
        <v>65</v>
      </c>
      <c r="B36" s="24">
        <f>IF(AND(ISNUMBER(B34),ISNUMBER(Inputs!E239)),B34-Inputs!E239,"n/a")</f>
        <v>-3</v>
      </c>
      <c r="C36" s="36">
        <f t="shared" si="0"/>
        <v>-19</v>
      </c>
      <c r="D36" s="36"/>
      <c r="E36" s="36">
        <f t="shared" si="2"/>
        <v>-10</v>
      </c>
      <c r="F36" s="36">
        <f t="shared" si="0"/>
        <v>-9</v>
      </c>
      <c r="G36" s="37">
        <f t="shared" si="0"/>
        <v>-15.189816059499975</v>
      </c>
      <c r="H36" s="2"/>
    </row>
    <row r="37" ht="15" customHeight="1">
      <c r="A37" s="3" t="s">
        <v>159</v>
      </c>
      <c r="B37" s="34">
        <f t="shared" si="5" ref="B37:G37">B31+B34</f>
        <v>17590</v>
      </c>
      <c r="C37" s="34">
        <f t="shared" si="5"/>
        <v>14080</v>
      </c>
      <c r="D37" s="34">
        <f t="shared" si="5"/>
        <v>57165</v>
      </c>
      <c r="E37" s="34">
        <f t="shared" si="5"/>
        <v>12812</v>
      </c>
      <c r="F37" s="34">
        <f t="shared" si="5"/>
        <v>17053</v>
      </c>
      <c r="G37" s="35">
        <f t="shared" si="5"/>
        <v>17069.5760169405</v>
      </c>
      <c r="H37" s="2"/>
    </row>
    <row r="38" ht="15" customHeight="1">
      <c r="A38" s="23" t="s">
        <v>72</v>
      </c>
      <c r="B38" s="24">
        <f>IF(AND(ISNUMBER(B37),ISNUMBER(Inputs!B240)),B37-Inputs!B240,"n/a")</f>
        <v>1600</v>
      </c>
      <c r="C38" s="24">
        <f>IF(AND(ISNUMBER(C37),ISNUMBER(Inputs!C240)),C37-Inputs!C240,"n/a")</f>
        <v>-2430</v>
      </c>
      <c r="D38" s="24">
        <f>IF(AND(ISNUMBER(D37),ISNUMBER(Inputs!F240)),D37-Inputs!F240,"n/a")</f>
        <v>-5708</v>
      </c>
      <c r="E38" s="24">
        <f>IF(AND(ISNUMBER(E37),ISNUMBER(Inputs!D240)),E37-Inputs!D240,"n/a")</f>
        <v>1112</v>
      </c>
      <c r="F38" s="24">
        <f>IF(AND(ISNUMBER(F37),ISNUMBER(Inputs!E240)),F37-Inputs!E240,"n/a")</f>
        <v>3258</v>
      </c>
      <c r="G38" s="37">
        <f t="shared" si="1"/>
        <v>-520.4239830594997</v>
      </c>
      <c r="H38" s="2"/>
    </row>
    <row r="39" ht="15" customHeight="1">
      <c r="A39" s="23" t="s">
        <v>65</v>
      </c>
      <c r="B39" s="24">
        <f>IF(AND(ISNUMBER(B37),ISNUMBER(Inputs!E240)),B37-Inputs!E240,"n/a")</f>
        <v>3795</v>
      </c>
      <c r="C39" s="36">
        <f t="shared" si="0"/>
        <v>-3510</v>
      </c>
      <c r="D39" s="36"/>
      <c r="E39" s="36">
        <f t="shared" si="2"/>
        <v>-1268</v>
      </c>
      <c r="F39" s="36">
        <f t="shared" si="0"/>
        <v>4241</v>
      </c>
      <c r="G39" s="37">
        <f t="shared" si="0"/>
        <v>16.576016940500267</v>
      </c>
      <c r="H39" s="2"/>
    </row>
    <row r="40" ht="15" customHeight="1">
      <c r="A40" s="29" t="s">
        <v>198</v>
      </c>
      <c r="B40" s="13">
        <f>'Segment - Energy'!B41</f>
        <v>2342</v>
      </c>
      <c r="C40" s="13">
        <f>'Segment - Energy'!C41</f>
        <v>2739</v>
      </c>
      <c r="D40" s="13">
        <f>'Segment - Energy'!D41</f>
        <v>8969</v>
      </c>
      <c r="E40" s="13">
        <f>'Segment - Energy'!E41</f>
        <v>1456</v>
      </c>
      <c r="F40" s="13">
        <f>'Segment - Energy'!F41</f>
        <v>2499</v>
      </c>
      <c r="G40" s="30">
        <f>'Segment - Energy'!G41</f>
        <v>2384.65</v>
      </c>
      <c r="H40" s="2"/>
    </row>
    <row r="41" ht="15" customHeight="1">
      <c r="A41" s="31" t="s">
        <v>72</v>
      </c>
      <c r="B41" s="24">
        <f>IF(AND(ISNUMBER(B40),ISNUMBER(Inputs!B241)),B40-Inputs!B241,"n/a")</f>
        <v>691</v>
      </c>
      <c r="C41" s="24">
        <f>IF(AND(ISNUMBER(C40),ISNUMBER(Inputs!C241)),C40-Inputs!C241,"n/a")</f>
        <v>450</v>
      </c>
      <c r="D41" s="24">
        <f>IF(AND(ISNUMBER(D40),ISNUMBER(Inputs!F241)),D40-Inputs!F241,"n/a")</f>
        <v>1523</v>
      </c>
      <c r="E41" s="24">
        <f>IF(AND(ISNUMBER(E40),ISNUMBER(Inputs!D241)),E40-Inputs!D241,"n/a")</f>
        <v>-489</v>
      </c>
      <c r="F41" s="24">
        <f>IF(AND(ISNUMBER(F40),ISNUMBER(Inputs!E241)),F40-Inputs!E241,"n/a")</f>
        <v>556</v>
      </c>
      <c r="G41" s="37">
        <f t="shared" si="1"/>
        <v>42.65000000000009</v>
      </c>
      <c r="H41" s="2"/>
    </row>
    <row r="42" ht="15" customHeight="1">
      <c r="A42" s="31" t="s">
        <v>65</v>
      </c>
      <c r="B42" s="24">
        <f>IF(AND(ISNUMBER(B40),ISNUMBER(Inputs!E241)),B40-Inputs!E241,"n/a")</f>
        <v>399</v>
      </c>
      <c r="C42" s="36">
        <f t="shared" si="0"/>
        <v>397</v>
      </c>
      <c r="D42" s="36"/>
      <c r="E42" s="36">
        <f t="shared" si="2"/>
        <v>-1283</v>
      </c>
      <c r="F42" s="36">
        <f t="shared" si="0"/>
        <v>1043</v>
      </c>
      <c r="G42" s="37">
        <f t="shared" si="0"/>
        <v>-114.34999999999991</v>
      </c>
      <c r="H42" s="2"/>
    </row>
    <row r="43" ht="15" customHeight="1">
      <c r="A43" s="29" t="s">
        <v>81</v>
      </c>
      <c r="B43" s="13">
        <f>'Segment - Automotive'!B172</f>
        <v>3109</v>
      </c>
      <c r="C43" s="13">
        <f>'Segment - Automotive'!C172</f>
        <v>3073</v>
      </c>
      <c r="D43" s="13">
        <f>'Segment - Automotive'!D172</f>
        <v>11599</v>
      </c>
      <c r="E43" s="13">
        <f>'Segment - Automotive'!E172</f>
        <v>3399</v>
      </c>
      <c r="F43" s="13">
        <f>'Segment - Automotive'!F172</f>
        <v>3933</v>
      </c>
      <c r="G43" s="30">
        <f>'Segment - Automotive'!G172</f>
        <v>4114.12574016</v>
      </c>
      <c r="H43" s="2"/>
    </row>
    <row r="44" ht="15" customHeight="1">
      <c r="A44" s="31" t="s">
        <v>72</v>
      </c>
      <c r="B44" s="24">
        <f>IF(AND(ISNUMBER(B43),ISNUMBER(Inputs!B242)),B43-Inputs!B242,"n/a")</f>
        <v>565</v>
      </c>
      <c r="C44" s="24">
        <f>IF(AND(ISNUMBER(C43),ISNUMBER(Inputs!C242)),C43-Inputs!C242,"n/a")</f>
        <v>344</v>
      </c>
      <c r="D44" s="24">
        <f>IF(AND(ISNUMBER(D43),ISNUMBER(Inputs!F242)),D43-Inputs!F242,"n/a")</f>
        <v>1678</v>
      </c>
      <c r="E44" s="24">
        <f>IF(AND(ISNUMBER(E43),ISNUMBER(Inputs!D242)),E43-Inputs!D242,"n/a")</f>
        <v>862</v>
      </c>
      <c r="F44" s="24">
        <f>IF(AND(ISNUMBER(F43),ISNUMBER(Inputs!E242)),F43-Inputs!E242,"n/a")</f>
        <v>1053</v>
      </c>
      <c r="G44" s="37">
        <f t="shared" si="1"/>
        <v>1005.1257401599996</v>
      </c>
      <c r="H44" s="2"/>
    </row>
    <row r="45" ht="15" customHeight="1">
      <c r="A45" s="31" t="s">
        <v>65</v>
      </c>
      <c r="B45" s="24">
        <f>IF(AND(ISNUMBER(B43),ISNUMBER(Inputs!E242)),B43-Inputs!E242,"n/a")</f>
        <v>229</v>
      </c>
      <c r="C45" s="36">
        <f t="shared" si="0"/>
        <v>-36</v>
      </c>
      <c r="D45" s="36"/>
      <c r="E45" s="36">
        <f t="shared" si="2"/>
        <v>326</v>
      </c>
      <c r="F45" s="36">
        <f t="shared" si="0"/>
        <v>534</v>
      </c>
      <c r="G45" s="37">
        <f t="shared" si="0"/>
        <v>181.12574015999962</v>
      </c>
      <c r="H45" s="2"/>
    </row>
    <row r="46" ht="15" customHeight="1">
      <c r="A46" s="3" t="s">
        <v>200</v>
      </c>
      <c r="B46" s="34">
        <f t="shared" si="3"/>
        <v>23041</v>
      </c>
      <c r="C46" s="34">
        <f t="shared" si="3"/>
        <v>19892</v>
      </c>
      <c r="D46" s="34">
        <f t="shared" si="3"/>
        <v>77733</v>
      </c>
      <c r="E46" s="34">
        <f t="shared" si="3"/>
        <v>17667</v>
      </c>
      <c r="F46" s="34">
        <f t="shared" si="3"/>
        <v>23485</v>
      </c>
      <c r="G46" s="35">
        <f t="shared" si="3"/>
        <v>23568.3517571005</v>
      </c>
      <c r="H46" s="2"/>
    </row>
    <row r="47" ht="15" customHeight="1">
      <c r="A47" s="23" t="s">
        <v>72</v>
      </c>
      <c r="B47" s="24">
        <f>IF(AND(ISNUMBER(B46),ISNUMBER(Inputs!B243)),B46-Inputs!B243,"n/a")</f>
        <v>2856</v>
      </c>
      <c r="C47" s="24">
        <f>IF(AND(ISNUMBER(C46),ISNUMBER(Inputs!C243)),C46-Inputs!C243,"n/a")</f>
        <v>-1636</v>
      </c>
      <c r="D47" s="24">
        <f>IF(AND(ISNUMBER(D46),ISNUMBER(Inputs!F243)),D46-Inputs!F243,"n/a")</f>
        <v>-2507</v>
      </c>
      <c r="E47" s="24">
        <f>IF(AND(ISNUMBER(E46),ISNUMBER(Inputs!D243)),E46-Inputs!D243,"n/a")</f>
        <v>1485</v>
      </c>
      <c r="F47" s="24">
        <f>IF(AND(ISNUMBER(F46),ISNUMBER(Inputs!E243)),F46-Inputs!E243,"n/a")</f>
        <v>4867</v>
      </c>
      <c r="G47" s="37">
        <f t="shared" si="1"/>
        <v>527.3517571004995</v>
      </c>
      <c r="H47" s="2"/>
    </row>
    <row r="48" ht="15" customHeight="1">
      <c r="A48" s="23" t="s">
        <v>65</v>
      </c>
      <c r="B48" s="24">
        <f>IF(AND(ISNUMBER(B46),ISNUMBER(Inputs!E243)),B46-Inputs!E243,"n/a")</f>
        <v>4423</v>
      </c>
      <c r="C48" s="36">
        <f t="shared" si="0"/>
        <v>-3149</v>
      </c>
      <c r="D48" s="36"/>
      <c r="E48" s="36">
        <f t="shared" si="2"/>
        <v>-2225</v>
      </c>
      <c r="F48" s="36">
        <f t="shared" si="0"/>
        <v>5818</v>
      </c>
      <c r="G48" s="37">
        <f t="shared" si="0"/>
        <v>83.35175710049953</v>
      </c>
      <c r="H48" s="2"/>
    </row>
    <row r="49" ht="15" customHeight="1">
      <c r="A49" s="3" t="s">
        <v>201</v>
      </c>
      <c r="B49" s="34">
        <f t="shared" si="6" ref="B49:G49">B27-B46</f>
        <v>5054</v>
      </c>
      <c r="C49" s="34">
        <f t="shared" si="6"/>
        <v>5009</v>
      </c>
      <c r="D49" s="34">
        <f t="shared" si="6"/>
        <v>17094</v>
      </c>
      <c r="E49" s="34">
        <f t="shared" si="6"/>
        <v>4720</v>
      </c>
      <c r="F49" s="34">
        <f t="shared" si="6"/>
        <v>4751</v>
      </c>
      <c r="G49" s="35">
        <f t="shared" si="6"/>
        <v>5015.1855619495</v>
      </c>
      <c r="H49" s="2"/>
    </row>
    <row r="50" ht="15" customHeight="1">
      <c r="A50" s="23" t="s">
        <v>60</v>
      </c>
      <c r="B50" s="32">
        <f>IF(AND(ISNUMBER(B49),ISNUMBER(Inputs!B244)),IF(Inputs!B244&gt;0,B49/Inputs!B244-1,"n/m"),"n/a")</f>
        <v>0.011406844106463865</v>
      </c>
      <c r="C50" s="32">
        <f>IF(AND(ISNUMBER(C49),ISNUMBER(Inputs!C244)),IF(Inputs!C244&gt;0,C49/Inputs!C244-1,"n/m"),"n/a")</f>
        <v>0.19861210815984687</v>
      </c>
      <c r="D50" s="32">
        <f>IF(AND(ISNUMBER(D49),ISNUMBER(Inputs!F244)),IF(Inputs!F244&gt;0,D49/Inputs!F244-1,"n/m"),"n/a")</f>
        <v>-0.020401146131805104</v>
      </c>
      <c r="E50" s="32">
        <f>IF(AND(ISNUMBER(E49),ISNUMBER(Inputs!D244)),IF(Inputs!D244&gt;0,E49/Inputs!D244-1,"n/m"),"n/a")</f>
        <v>0.4969869965112592</v>
      </c>
      <c r="F50" s="32">
        <f>IF(AND(ISNUMBER(F49),ISNUMBER(Inputs!E244)),IF(Inputs!E244&gt;0,F49/Inputs!E244-1,"n/m"),"n/a")</f>
        <v>0.22511603919546164</v>
      </c>
      <c r="G50" s="33">
        <f t="shared" si="7"/>
        <v>-0.007679944212603873</v>
      </c>
      <c r="H50" s="2"/>
    </row>
    <row r="51" ht="15" customHeight="1">
      <c r="A51" s="23" t="s">
        <v>65</v>
      </c>
      <c r="B51" s="24">
        <f>IF(AND(ISNUMBER(B49),ISNUMBER(Inputs!E244)),B49-Inputs!E244,"n/a")</f>
        <v>1176</v>
      </c>
      <c r="C51" s="36">
        <f t="shared" si="0"/>
        <v>-45</v>
      </c>
      <c r="D51" s="36"/>
      <c r="E51" s="36">
        <f t="shared" si="2"/>
        <v>-289</v>
      </c>
      <c r="F51" s="36">
        <f t="shared" si="0"/>
        <v>31</v>
      </c>
      <c r="G51" s="37">
        <f t="shared" si="0"/>
        <v>264.18556194949997</v>
      </c>
      <c r="H51" s="2"/>
    </row>
    <row r="52" ht="15" customHeight="1">
      <c r="A52" s="23" t="s">
        <v>202</v>
      </c>
      <c r="B52" s="15">
        <f t="shared" si="8" ref="B52:G52">B49/B27</f>
        <v>0.1798896600818651</v>
      </c>
      <c r="C52" s="15">
        <f t="shared" si="8"/>
        <v>0.20115658005702583</v>
      </c>
      <c r="D52" s="15">
        <f t="shared" si="8"/>
        <v>0.18026511436616155</v>
      </c>
      <c r="E52" s="15">
        <f t="shared" si="8"/>
        <v>0.21083664626792334</v>
      </c>
      <c r="F52" s="15">
        <f t="shared" si="8"/>
        <v>0.16826037682391273</v>
      </c>
      <c r="G52" s="33">
        <f t="shared" si="8"/>
        <v>0.17545713485248174</v>
      </c>
      <c r="H52" s="2"/>
    </row>
    <row r="53" ht="15" customHeight="1">
      <c r="A53" s="31" t="s">
        <v>68</v>
      </c>
      <c r="B53" s="48">
        <f>IF(AND(ISNUMBER(B52),ISNUMBER(Inputs!B245)),(B52-Inputs!B245)*10000,"n/a")</f>
        <v>-185.45730276327248</v>
      </c>
      <c r="C53" s="48">
        <f>IF(AND(ISNUMBER(C52),ISNUMBER(Inputs!C245)),(C52-Inputs!C245)*10000,"n/a")</f>
        <v>385.93853951295887</v>
      </c>
      <c r="D53" s="48">
        <f>IF(AND(ISNUMBER(D52),ISNUMBER(Inputs!F245)),(D52-Inputs!F245)*10000,"n/a")</f>
        <v>16.388476039545797</v>
      </c>
      <c r="E53" s="48">
        <f>IF(AND(ISNUMBER(E52),ISNUMBER(Inputs!D245)),(E52-Inputs!D245)*10000,"n/a")</f>
        <v>477.6449731524685</v>
      </c>
      <c r="F53" s="48">
        <f>IF(AND(ISNUMBER(F52),ISNUMBER(Inputs!E245)),(F52-Inputs!E245)*10000,"n/a")</f>
        <v>-41.25825167552416</v>
      </c>
      <c r="G53" s="39">
        <f t="shared" si="11" ref="G53:G223">IF(AND(ISNUMBER(G52),ISNUMBER(B52)),(G52-B52)*10000,"n/a")</f>
        <v>-44.325252293833664</v>
      </c>
      <c r="H53" s="2"/>
    </row>
    <row r="54" ht="15" customHeight="1">
      <c r="A54" s="31" t="s">
        <v>69</v>
      </c>
      <c r="B54" s="48">
        <f>IF(AND(ISNUMBER(B52),ISNUMBER(Inputs!E245)),(B52-Inputs!E245)*10000,"n/a")</f>
        <v>75.03458090399955</v>
      </c>
      <c r="C54" s="38">
        <f t="shared" si="9" ref="C54:G224">IF(AND(ISNUMBER(C52),ISNUMBER(B52)),(C52-B52)*10000,"n/a")</f>
        <v>212.66919975160727</v>
      </c>
      <c r="D54" s="38"/>
      <c r="E54" s="38">
        <f t="shared" si="12" ref="E54:E224">IF(AND(ISNUMBER(E52),ISNUMBER(C52)),(E52-C52)*10000,"n/a")</f>
        <v>96.80066210897509</v>
      </c>
      <c r="F54" s="38">
        <f t="shared" si="9"/>
        <v>-425.7626944401061</v>
      </c>
      <c r="G54" s="39">
        <f t="shared" si="9"/>
        <v>71.96758028569006</v>
      </c>
      <c r="H54" s="2"/>
    </row>
    <row r="55" ht="15" customHeight="1">
      <c r="A55" s="3" t="s">
        <v>203</v>
      </c>
      <c r="B55" s="2"/>
      <c r="C55" s="2"/>
      <c r="D55" s="2"/>
      <c r="E55" s="2"/>
      <c r="F55" s="2"/>
      <c r="G55" s="28"/>
      <c r="H55" s="2"/>
    </row>
    <row r="56" ht="15" customHeight="1">
      <c r="A56" s="29" t="s">
        <v>204</v>
      </c>
      <c r="B56" s="40">
        <v>1630</v>
      </c>
      <c r="C56" s="40">
        <v>1783</v>
      </c>
      <c r="D56" s="13">
        <f>Inputs!D246+Inputs!E246+B56+C56</f>
        <v>6411</v>
      </c>
      <c r="E56" s="40">
        <v>1946</v>
      </c>
      <c r="F56" s="40">
        <v>2371</v>
      </c>
      <c r="G56" s="41">
        <v>2520</v>
      </c>
      <c r="H56" s="2" t="s">
        <v>205</v>
      </c>
    </row>
    <row r="57" ht="15" customHeight="1">
      <c r="A57" s="31" t="s">
        <v>60</v>
      </c>
      <c r="B57" s="32">
        <f>IF(AND(ISNUMBER(B56),ISNUMBER(Inputs!B246)),IF(Inputs!B246&gt;0,B56/Inputs!B246-1,"n/m"),"n/a")</f>
        <v>0.5688161693936478</v>
      </c>
      <c r="C57" s="32">
        <f>IF(AND(ISNUMBER(C56),ISNUMBER(Inputs!C246)),IF(Inputs!C246&gt;0,C56/Inputs!C246-1,"n/m"),"n/a")</f>
        <v>0.39733542319749215</v>
      </c>
      <c r="D57" s="32">
        <f>IF(AND(ISNUMBER(D56),ISNUMBER(Inputs!F246)),IF(Inputs!F246&gt;0,D56/Inputs!F246-1,"n/m"),"n/a")</f>
        <v>0.412114537444934</v>
      </c>
      <c r="E57" s="32">
        <f>IF(AND(ISNUMBER(E56),ISNUMBER(Inputs!D246)),IF(Inputs!D246&gt;0,E56/Inputs!D246-1,"n/m"),"n/a")</f>
        <v>0.3811213626685592</v>
      </c>
      <c r="F57" s="32">
        <f>IF(AND(ISNUMBER(F56),ISNUMBER(Inputs!E246)),IF(Inputs!E246&gt;0,F56/Inputs!E246-1,"n/m"),"n/a")</f>
        <v>0.4921334172435494</v>
      </c>
      <c r="G57" s="33">
        <f t="shared" si="7"/>
        <v>0.5460122699386503</v>
      </c>
      <c r="H57" s="2"/>
    </row>
    <row r="58" ht="15" customHeight="1">
      <c r="A58" s="31" t="s">
        <v>65</v>
      </c>
      <c r="B58" s="24">
        <f>IF(AND(ISNUMBER(B56),ISNUMBER(Inputs!E246)),B56-Inputs!E246,"n/a")</f>
        <v>41</v>
      </c>
      <c r="C58" s="36">
        <f t="shared" si="0"/>
        <v>153</v>
      </c>
      <c r="D58" s="36"/>
      <c r="E58" s="36">
        <f t="shared" si="2"/>
        <v>163</v>
      </c>
      <c r="F58" s="36">
        <f t="shared" si="0"/>
        <v>425</v>
      </c>
      <c r="G58" s="37">
        <f t="shared" si="0"/>
        <v>149</v>
      </c>
      <c r="H58" s="2"/>
    </row>
    <row r="59" ht="15" customHeight="1">
      <c r="A59" s="31" t="s">
        <v>206</v>
      </c>
      <c r="B59" s="15">
        <f t="shared" si="10" ref="B59:G59">B56/B27</f>
        <v>0.05801744082576971</v>
      </c>
      <c r="C59" s="15">
        <f t="shared" si="10"/>
        <v>0.07160355005823059</v>
      </c>
      <c r="D59" s="15">
        <f t="shared" si="10"/>
        <v>0.06760732702711253</v>
      </c>
      <c r="E59" s="15">
        <f t="shared" si="10"/>
        <v>0.08692544780452942</v>
      </c>
      <c r="F59" s="15">
        <f t="shared" si="10"/>
        <v>0.08397081739623176</v>
      </c>
      <c r="G59" s="33">
        <f t="shared" si="10"/>
        <v>0.08816263613113069</v>
      </c>
      <c r="H59" s="2"/>
    </row>
    <row r="60" ht="15" customHeight="1">
      <c r="A60" s="67" t="s">
        <v>68</v>
      </c>
      <c r="B60" s="48">
        <f>IF(AND(ISNUMBER(B59),ISNUMBER(Inputs!B247)),(B59-Inputs!B247)*10000,"n/a")</f>
        <v>167.57810931400718</v>
      </c>
      <c r="C60" s="48">
        <f>IF(AND(ISNUMBER(C59),ISNUMBER(Inputs!C247)),(C59-Inputs!C247)*10000,"n/a")</f>
        <v>219.67264221688015</v>
      </c>
      <c r="D60" s="48">
        <f>IF(AND(ISNUMBER(D59),ISNUMBER(Inputs!F247)),(D59-Inputs!F247)*10000,"n/a")</f>
        <v>211.33788282102807</v>
      </c>
      <c r="E60" s="48">
        <f>IF(AND(ISNUMBER(E59),ISNUMBER(Inputs!D247)),(E59-Inputs!D247)*10000,"n/a")</f>
        <v>140.52419617304176</v>
      </c>
      <c r="F60" s="48">
        <f>IF(AND(ISNUMBER(F59),ISNUMBER(Inputs!E247)),(F59-Inputs!E247)*10000,"n/a")</f>
        <v>133.36037879873294</v>
      </c>
      <c r="G60" s="39">
        <f t="shared" si="11"/>
        <v>301.45195305360977</v>
      </c>
      <c r="H60" s="2"/>
    </row>
    <row r="61" ht="15" customHeight="1">
      <c r="A61" s="67" t="s">
        <v>69</v>
      </c>
      <c r="B61" s="48">
        <f>IF(AND(ISNUMBER(B59),ISNUMBER(Inputs!E247)),(B59-Inputs!E247)*10000,"n/a")</f>
        <v>-126.17338690588751</v>
      </c>
      <c r="C61" s="38">
        <f t="shared" si="9"/>
        <v>135.86109232460876</v>
      </c>
      <c r="D61" s="38"/>
      <c r="E61" s="38">
        <f t="shared" si="12"/>
        <v>153.2189774629883</v>
      </c>
      <c r="F61" s="38">
        <f t="shared" si="9"/>
        <v>-29.546304082976594</v>
      </c>
      <c r="G61" s="39">
        <f t="shared" si="9"/>
        <v>41.918187348989335</v>
      </c>
      <c r="H61" s="2"/>
    </row>
    <row r="62" ht="15" customHeight="1">
      <c r="A62" s="29" t="s">
        <v>207</v>
      </c>
      <c r="B62" s="40">
        <v>1562</v>
      </c>
      <c r="C62" s="40">
        <v>1655</v>
      </c>
      <c r="D62" s="13">
        <f>Inputs!D248+Inputs!E248+B62+C62</f>
        <v>5834</v>
      </c>
      <c r="E62" s="40">
        <v>1833</v>
      </c>
      <c r="F62" s="40">
        <v>1982</v>
      </c>
      <c r="G62" s="41">
        <v>1930</v>
      </c>
      <c r="H62" s="2" t="s">
        <v>208</v>
      </c>
    </row>
    <row r="63" ht="15" customHeight="1">
      <c r="A63" s="31" t="s">
        <v>60</v>
      </c>
      <c r="B63" s="32">
        <f>IF(AND(ISNUMBER(B62),ISNUMBER(Inputs!B248)),IF(Inputs!B248&gt;0,B62/Inputs!B248-1,"n/m"),"n/a")</f>
        <v>0.31703204047217537</v>
      </c>
      <c r="C63" s="32">
        <f>IF(AND(ISNUMBER(C62),ISNUMBER(Inputs!C248)),IF(Inputs!C248&gt;0,C62/Inputs!C248-1,"n/m"),"n/a")</f>
        <v>0.26047220106626057</v>
      </c>
      <c r="D63" s="32">
        <f>IF(AND(ISNUMBER(D62),ISNUMBER(Inputs!F248)),IF(Inputs!F248&gt;0,D62/Inputs!F248-1,"n/m"),"n/a")</f>
        <v>0.13281553398058255</v>
      </c>
      <c r="E63" s="32">
        <f>IF(AND(ISNUMBER(E62),ISNUMBER(Inputs!D248)),IF(Inputs!D248&gt;0,E62/Inputs!D248-1,"n/m"),"n/a")</f>
        <v>0.46522781774580335</v>
      </c>
      <c r="F63" s="32">
        <f>IF(AND(ISNUMBER(F62),ISNUMBER(Inputs!E248)),IF(Inputs!E248&gt;0,F62/Inputs!E248-1,"n/m"),"n/a")</f>
        <v>0.45095168374816974</v>
      </c>
      <c r="G63" s="33">
        <f t="shared" si="7"/>
        <v>0.23559539052496792</v>
      </c>
      <c r="H63" s="2"/>
    </row>
    <row r="64" ht="15" customHeight="1">
      <c r="A64" s="31" t="s">
        <v>65</v>
      </c>
      <c r="B64" s="24">
        <f>IF(AND(ISNUMBER(B62),ISNUMBER(Inputs!E248)),B62-Inputs!E248,"n/a")</f>
        <v>196</v>
      </c>
      <c r="C64" s="36">
        <f t="shared" si="0"/>
        <v>93</v>
      </c>
      <c r="D64" s="36"/>
      <c r="E64" s="36">
        <f t="shared" si="2"/>
        <v>178</v>
      </c>
      <c r="F64" s="36">
        <f t="shared" si="0"/>
        <v>149</v>
      </c>
      <c r="G64" s="37">
        <f t="shared" si="0"/>
        <v>-52</v>
      </c>
      <c r="H64" s="2"/>
    </row>
    <row r="65" ht="15" customHeight="1">
      <c r="A65" s="31" t="s">
        <v>209</v>
      </c>
      <c r="B65" s="15">
        <f t="shared" si="13" ref="B65:G65">B62/B27</f>
        <v>0.05559708133119772</v>
      </c>
      <c r="C65" s="15">
        <f t="shared" si="13"/>
        <v>0.06646319424922693</v>
      </c>
      <c r="D65" s="15">
        <f t="shared" si="13"/>
        <v>0.061522562139475045</v>
      </c>
      <c r="E65" s="15">
        <f t="shared" si="13"/>
        <v>0.08187787555277616</v>
      </c>
      <c r="F65" s="15">
        <f t="shared" si="13"/>
        <v>0.0701940784813713</v>
      </c>
      <c r="G65" s="33">
        <f t="shared" si="13"/>
        <v>0.06752138402106438</v>
      </c>
      <c r="H65" s="2"/>
    </row>
    <row r="66" ht="15" customHeight="1">
      <c r="A66" s="67" t="s">
        <v>68</v>
      </c>
      <c r="B66" s="48">
        <f>IF(AND(ISNUMBER(B65),ISNUMBER(Inputs!B249)),(B65-Inputs!B249)*10000,"n/a")</f>
        <v>84.99948458510882</v>
      </c>
      <c r="C66" s="48">
        <f>IF(AND(ISNUMBER(C65),ISNUMBER(Inputs!C249)),(C65-Inputs!C249)*10000,"n/a")</f>
        <v>153.8761172306674</v>
      </c>
      <c r="D66" s="48">
        <f>IF(AND(ISNUMBER(D65),ISNUMBER(Inputs!F249)),(D65-Inputs!F249)*10000,"n/a")</f>
        <v>88.04781404497052</v>
      </c>
      <c r="E66" s="48">
        <f>IF(AND(ISNUMBER(E65),ISNUMBER(Inputs!D249)),(E65-Inputs!D249)*10000,"n/a")</f>
        <v>171.7655670095304</v>
      </c>
      <c r="F66" s="48">
        <f>IF(AND(ISNUMBER(F65),ISNUMBER(Inputs!E249)),(F65-Inputs!E249)*10000,"n/a")</f>
        <v>94.72172364728338</v>
      </c>
      <c r="G66" s="39">
        <f t="shared" si="11"/>
        <v>119.24302689866654</v>
      </c>
      <c r="H66" s="2"/>
    </row>
    <row r="67" ht="15" customHeight="1">
      <c r="A67" s="67" t="s">
        <v>69</v>
      </c>
      <c r="B67" s="48">
        <f>IF(AND(ISNUMBER(B65),ISNUMBER(Inputs!E249)),(B65-Inputs!E249)*10000,"n/a")</f>
        <v>-51.248247854452366</v>
      </c>
      <c r="C67" s="38">
        <f t="shared" si="9"/>
        <v>108.66112918029212</v>
      </c>
      <c r="D67" s="38"/>
      <c r="E67" s="38">
        <f t="shared" si="12"/>
        <v>154.14681303549227</v>
      </c>
      <c r="F67" s="38">
        <f t="shared" si="9"/>
        <v>-116.83797071404864</v>
      </c>
      <c r="G67" s="39">
        <f t="shared" si="9"/>
        <v>-26.726944603069207</v>
      </c>
      <c r="H67" s="2"/>
    </row>
    <row r="68" ht="15" customHeight="1">
      <c r="A68" s="29" t="s">
        <v>210</v>
      </c>
      <c r="B68" s="40">
        <v>238</v>
      </c>
      <c r="C68" s="40">
        <v>162</v>
      </c>
      <c r="D68" s="13">
        <f>Inputs!D250+Inputs!E250+B68+C68</f>
        <v>494</v>
      </c>
      <c r="E68" s="40">
        <v>0</v>
      </c>
      <c r="F68" s="40">
        <v>0</v>
      </c>
      <c r="G68" s="41">
        <v>0</v>
      </c>
      <c r="H68" s="2" t="s">
        <v>211</v>
      </c>
    </row>
    <row r="69" ht="15" customHeight="1">
      <c r="A69" s="31" t="s">
        <v>72</v>
      </c>
      <c r="B69" s="24">
        <f>IF(AND(ISNUMBER(B68),ISNUMBER(Inputs!B250)),B68-Inputs!B250,"n/a")</f>
        <v>183</v>
      </c>
      <c r="C69" s="24">
        <f>IF(AND(ISNUMBER(C68),ISNUMBER(Inputs!C250)),C68-Inputs!C250,"n/a")</f>
        <v>155</v>
      </c>
      <c r="D69" s="24">
        <f>IF(AND(ISNUMBER(D68),ISNUMBER(Inputs!F250)),D68-Inputs!F250,"n/a")</f>
        <v>-190</v>
      </c>
      <c r="E69" s="24">
        <f>IF(AND(ISNUMBER(E68),ISNUMBER(Inputs!D250)),E68-Inputs!D250,"n/a")</f>
        <v>-94</v>
      </c>
      <c r="F69" s="24">
        <f>IF(AND(ISNUMBER(F68),ISNUMBER(Inputs!E250)),F68-Inputs!E250,"n/a")</f>
        <v>0</v>
      </c>
      <c r="G69" s="37">
        <f t="shared" si="1"/>
        <v>-238</v>
      </c>
      <c r="H69" s="2"/>
    </row>
    <row r="70" ht="15" customHeight="1">
      <c r="A70" s="31" t="s">
        <v>65</v>
      </c>
      <c r="B70" s="24">
        <f>IF(AND(ISNUMBER(B68),ISNUMBER(Inputs!E250)),B68-Inputs!E250,"n/a")</f>
        <v>238</v>
      </c>
      <c r="C70" s="36">
        <f t="shared" si="0"/>
        <v>-76</v>
      </c>
      <c r="D70" s="36"/>
      <c r="E70" s="36">
        <f t="shared" si="2"/>
        <v>-162</v>
      </c>
      <c r="F70" s="36">
        <f t="shared" si="0"/>
        <v>0</v>
      </c>
      <c r="G70" s="37">
        <f t="shared" si="0"/>
        <v>0</v>
      </c>
      <c r="H70" s="2"/>
    </row>
    <row r="71" ht="15" customHeight="1">
      <c r="A71" s="3" t="s">
        <v>212</v>
      </c>
      <c r="B71" s="34">
        <f t="shared" si="14" ref="B71:G71">B56+B62+B68</f>
        <v>3430</v>
      </c>
      <c r="C71" s="34">
        <f t="shared" si="14"/>
        <v>3600</v>
      </c>
      <c r="D71" s="34">
        <f t="shared" si="14"/>
        <v>12739</v>
      </c>
      <c r="E71" s="34">
        <f t="shared" si="14"/>
        <v>3779</v>
      </c>
      <c r="F71" s="34">
        <f t="shared" si="14"/>
        <v>4353</v>
      </c>
      <c r="G71" s="35">
        <f t="shared" si="14"/>
        <v>4450</v>
      </c>
      <c r="H71" s="2"/>
    </row>
    <row r="72" ht="15" customHeight="1">
      <c r="A72" s="23" t="s">
        <v>60</v>
      </c>
      <c r="B72" s="32">
        <f>IF(AND(ISNUMBER(B71),ISNUMBER(Inputs!B251)),IF(Inputs!B251&gt;0,B71/Inputs!B251-1,"n/m"),"n/a")</f>
        <v>0.5043859649122806</v>
      </c>
      <c r="C72" s="32">
        <f>IF(AND(ISNUMBER(C71),ISNUMBER(Inputs!C251)),IF(Inputs!C251&gt;0,C71/Inputs!C251-1,"n/m"),"n/a")</f>
        <v>0.386748844375963</v>
      </c>
      <c r="D72" s="32">
        <f>IF(AND(ISNUMBER(D71),ISNUMBER(Inputs!F251)),IF(Inputs!F251&gt;0,D71/Inputs!F251-1,"n/m"),"n/a")</f>
        <v>0.22797378060535944</v>
      </c>
      <c r="E72" s="32">
        <f>IF(AND(ISNUMBER(E71),ISNUMBER(Inputs!D251)),IF(Inputs!D251&gt;0,E71/Inputs!D251-1,"n/m"),"n/a")</f>
        <v>0.37218591140159774</v>
      </c>
      <c r="F72" s="32">
        <f>IF(AND(ISNUMBER(F71),ISNUMBER(Inputs!E251)),IF(Inputs!E251&gt;0,F71/Inputs!E251-1,"n/m"),"n/a")</f>
        <v>0.47309644670050766</v>
      </c>
      <c r="G72" s="33">
        <f t="shared" si="7"/>
        <v>0.2973760932944607</v>
      </c>
      <c r="H72" s="2"/>
    </row>
    <row r="73" ht="15" customHeight="1">
      <c r="A73" s="23" t="s">
        <v>65</v>
      </c>
      <c r="B73" s="24">
        <f>IF(AND(ISNUMBER(B71),ISNUMBER(Inputs!E251)),B71-Inputs!E251,"n/a")</f>
        <v>475</v>
      </c>
      <c r="C73" s="36">
        <f t="shared" si="0"/>
        <v>170</v>
      </c>
      <c r="D73" s="36"/>
      <c r="E73" s="36">
        <f t="shared" si="2"/>
        <v>179</v>
      </c>
      <c r="F73" s="36">
        <f t="shared" si="0"/>
        <v>574</v>
      </c>
      <c r="G73" s="37">
        <f t="shared" si="0"/>
        <v>97</v>
      </c>
      <c r="H73" s="2"/>
    </row>
    <row r="74" ht="15" customHeight="1">
      <c r="A74" s="3" t="s">
        <v>213</v>
      </c>
      <c r="B74" s="34">
        <f t="shared" si="15" ref="B74:G74">B49-B71</f>
        <v>1624</v>
      </c>
      <c r="C74" s="34">
        <f t="shared" si="15"/>
        <v>1409</v>
      </c>
      <c r="D74" s="34">
        <f t="shared" si="15"/>
        <v>4355</v>
      </c>
      <c r="E74" s="34">
        <f t="shared" si="15"/>
        <v>941</v>
      </c>
      <c r="F74" s="34">
        <f t="shared" si="15"/>
        <v>398</v>
      </c>
      <c r="G74" s="35">
        <f t="shared" si="15"/>
        <v>565.1855619495</v>
      </c>
      <c r="H74" s="2"/>
    </row>
    <row r="75" ht="15" customHeight="1">
      <c r="A75" s="23" t="s">
        <v>60</v>
      </c>
      <c r="B75" s="32">
        <f>IF(AND(ISNUMBER(B74),ISNUMBER(Inputs!B252)),IF(Inputs!B252&gt;0,B74/Inputs!B252-1,"n/m"),"n/a")</f>
        <v>-0.40228192859771805</v>
      </c>
      <c r="C75" s="32">
        <f>IF(AND(ISNUMBER(C74),ISNUMBER(Inputs!C252)),IF(Inputs!C252&gt;0,C74/Inputs!C252-1,"n/m"),"n/a")</f>
        <v>-0.10991787744788373</v>
      </c>
      <c r="D75" s="32">
        <f>IF(AND(ISNUMBER(D74),ISNUMBER(Inputs!F252)),IF(Inputs!F252&gt;0,D74/Inputs!F252-1,"n/m"),"n/a")</f>
        <v>-0.3845392877331826</v>
      </c>
      <c r="E75" s="32">
        <f>IF(AND(ISNUMBER(E74),ISNUMBER(Inputs!D252)),IF(Inputs!D252&gt;0,E74/Inputs!D252-1,"n/m"),"n/a")</f>
        <v>1.3583959899749374</v>
      </c>
      <c r="F75" s="32">
        <f>IF(AND(ISNUMBER(F74),ISNUMBER(Inputs!E252)),IF(Inputs!E252&gt;0,F74/Inputs!E252-1,"n/m"),"n/a")</f>
        <v>-0.5687973997833153</v>
      </c>
      <c r="G75" s="33">
        <f t="shared" si="7"/>
        <v>-0.6519793337749384</v>
      </c>
      <c r="H75" s="2"/>
    </row>
    <row r="76" ht="15" customHeight="1">
      <c r="A76" s="23" t="s">
        <v>65</v>
      </c>
      <c r="B76" s="24">
        <f>IF(AND(ISNUMBER(B74),ISNUMBER(Inputs!E252)),B74-Inputs!E252,"n/a")</f>
        <v>701</v>
      </c>
      <c r="C76" s="36">
        <f t="shared" si="0"/>
        <v>-215</v>
      </c>
      <c r="D76" s="36"/>
      <c r="E76" s="36">
        <f t="shared" si="2"/>
        <v>-468</v>
      </c>
      <c r="F76" s="36">
        <f t="shared" si="0"/>
        <v>-543</v>
      </c>
      <c r="G76" s="37">
        <f t="shared" si="0"/>
        <v>167.18556194949997</v>
      </c>
      <c r="H76" s="2"/>
    </row>
    <row r="77" ht="15" customHeight="1">
      <c r="A77" s="23" t="s">
        <v>214</v>
      </c>
      <c r="B77" s="15">
        <f t="shared" si="16" ref="B77:G77">B74/B27</f>
        <v>0.057803879693895714</v>
      </c>
      <c r="C77" s="15">
        <f t="shared" si="16"/>
        <v>0.05658407292879804</v>
      </c>
      <c r="D77" s="15">
        <f t="shared" si="16"/>
        <v>0.04592573845001951</v>
      </c>
      <c r="E77" s="15">
        <f t="shared" si="16"/>
        <v>0.04203332291061777</v>
      </c>
      <c r="F77" s="15">
        <f t="shared" si="16"/>
        <v>0.014095480946309675</v>
      </c>
      <c r="G77" s="33">
        <f t="shared" si="16"/>
        <v>0.019773114700286663</v>
      </c>
      <c r="H77" s="2"/>
    </row>
    <row r="78" ht="15" customHeight="1">
      <c r="A78" s="31" t="s">
        <v>68</v>
      </c>
      <c r="B78" s="48">
        <f>IF(AND(ISNUMBER(B77),ISNUMBER(Inputs!B253)),(B77-Inputs!B253)*10000,"n/a")</f>
        <v>-500.90648143448414</v>
      </c>
      <c r="C78" s="48">
        <f>IF(AND(ISNUMBER(C77),ISNUMBER(Inputs!C253)),(C77-Inputs!C253)*10000,"n/a")</f>
        <v>-49.944854405177125</v>
      </c>
      <c r="D78" s="48">
        <f>IF(AND(ISNUMBER(D77),ISNUMBER(Inputs!F253)),(D77-Inputs!F253)*10000,"n/a")</f>
        <v>-265.0746863361238</v>
      </c>
      <c r="E78" s="48">
        <f>IF(AND(ISNUMBER(E77),ISNUMBER(Inputs!D253)),(E77-Inputs!D253)*10000,"n/a")</f>
        <v>213.97170854760512</v>
      </c>
      <c r="F78" s="48">
        <f>IF(AND(ISNUMBER(F77),ISNUMBER(Inputs!E253)),(F77-Inputs!E253)*10000,"n/a")</f>
        <v>-269.3403541215405</v>
      </c>
      <c r="G78" s="39">
        <f t="shared" si="11"/>
        <v>-380.3076499360905</v>
      </c>
      <c r="H78" s="2"/>
    </row>
    <row r="79" ht="15" customHeight="1">
      <c r="A79" s="31" t="s">
        <v>69</v>
      </c>
      <c r="B79" s="48">
        <f>IF(AND(ISNUMBER(B77),ISNUMBER(Inputs!E253)),(B77-Inputs!E253)*10000,"n/a")</f>
        <v>167.74363335431988</v>
      </c>
      <c r="C79" s="38">
        <f t="shared" si="9"/>
        <v>-12.198067650976766</v>
      </c>
      <c r="D79" s="38"/>
      <c r="E79" s="38">
        <f t="shared" si="12"/>
        <v>-145.5075001818027</v>
      </c>
      <c r="F79" s="38">
        <f t="shared" si="9"/>
        <v>-279.3784196430809</v>
      </c>
      <c r="G79" s="39">
        <f t="shared" si="9"/>
        <v>56.776337539769884</v>
      </c>
      <c r="H79" s="2"/>
    </row>
    <row r="80" ht="15" customHeight="1">
      <c r="A80" s="3" t="s">
        <v>215</v>
      </c>
      <c r="B80" s="2"/>
      <c r="C80" s="2"/>
      <c r="D80" s="2"/>
      <c r="E80" s="2"/>
      <c r="F80" s="2"/>
      <c r="G80" s="28"/>
      <c r="H80" s="2"/>
    </row>
    <row r="81" ht="15" customHeight="1">
      <c r="A81" s="29" t="s">
        <v>216</v>
      </c>
      <c r="B81" s="40">
        <v>439</v>
      </c>
      <c r="C81" s="40">
        <v>449</v>
      </c>
      <c r="D81" s="13">
        <f>Inputs!D254+Inputs!E254+B81+C81</f>
        <v>1680</v>
      </c>
      <c r="E81" s="40">
        <v>434</v>
      </c>
      <c r="F81" s="40">
        <v>422</v>
      </c>
      <c r="G81" s="41">
        <v>410</v>
      </c>
      <c r="H81" s="2" t="s">
        <v>217</v>
      </c>
    </row>
    <row r="82" ht="15" customHeight="1">
      <c r="A82" s="31" t="s">
        <v>60</v>
      </c>
      <c r="B82" s="32">
        <f>IF(AND(ISNUMBER(B81),ISNUMBER(Inputs!B254)),IF(Inputs!B254&gt;0,B81/Inputs!B254-1,"n/m"),"n/a")</f>
        <v>0.02331002331002341</v>
      </c>
      <c r="C82" s="32">
        <f>IF(AND(ISNUMBER(C81),ISNUMBER(Inputs!C254)),IF(Inputs!C254&gt;0,C81/Inputs!C254-1,"n/m"),"n/a")</f>
        <v>0.015837104072398134</v>
      </c>
      <c r="D82" s="32">
        <f>IF(AND(ISNUMBER(D81),ISNUMBER(Inputs!F254)),IF(Inputs!F254&gt;0,D81/Inputs!F254-1,"n/m"),"n/a")</f>
        <v>0.07074569789674956</v>
      </c>
      <c r="E82" s="32">
        <f>IF(AND(ISNUMBER(E81),ISNUMBER(Inputs!D254)),IF(Inputs!D254&gt;0,E81/Inputs!D254-1,"n/m"),"n/a")</f>
        <v>0.08499999999999996</v>
      </c>
      <c r="F82" s="32">
        <f>IF(AND(ISNUMBER(F81),ISNUMBER(Inputs!E254)),IF(Inputs!E254&gt;0,F81/Inputs!E254-1,"n/m"),"n/a")</f>
        <v>0.07653061224489788</v>
      </c>
      <c r="G82" s="33">
        <f t="shared" si="7"/>
        <v>-0.06605922551252852</v>
      </c>
      <c r="H82" s="2"/>
    </row>
    <row r="83" ht="15" customHeight="1">
      <c r="A83" s="31" t="s">
        <v>65</v>
      </c>
      <c r="B83" s="24">
        <f>IF(AND(ISNUMBER(B81),ISNUMBER(Inputs!E254)),B81-Inputs!E254,"n/a")</f>
        <v>47</v>
      </c>
      <c r="C83" s="36">
        <f t="shared" si="0"/>
        <v>10</v>
      </c>
      <c r="D83" s="36"/>
      <c r="E83" s="36">
        <f t="shared" si="2"/>
        <v>-15</v>
      </c>
      <c r="F83" s="36">
        <f t="shared" si="0"/>
        <v>-12</v>
      </c>
      <c r="G83" s="37">
        <f t="shared" si="0"/>
        <v>-12</v>
      </c>
      <c r="H83" s="2"/>
    </row>
    <row r="84" ht="15" customHeight="1">
      <c r="A84" s="29" t="s">
        <v>218</v>
      </c>
      <c r="B84" s="40">
        <v>-76</v>
      </c>
      <c r="C84" s="40">
        <v>-85</v>
      </c>
      <c r="D84" s="13">
        <f>Inputs!D255+Inputs!E255+B84+C84</f>
        <v>-338</v>
      </c>
      <c r="E84" s="40">
        <v>-92</v>
      </c>
      <c r="F84" s="40">
        <v>-81</v>
      </c>
      <c r="G84" s="41">
        <v>-90</v>
      </c>
      <c r="H84" s="2" t="s">
        <v>219</v>
      </c>
    </row>
    <row r="85" ht="15" customHeight="1">
      <c r="A85" s="31" t="s">
        <v>72</v>
      </c>
      <c r="B85" s="24">
        <f>IF(AND(ISNUMBER(B84),ISNUMBER(Inputs!B255)),B84-Inputs!B255,"n/a")</f>
        <v>16</v>
      </c>
      <c r="C85" s="24">
        <f>IF(AND(ISNUMBER(C84),ISNUMBER(Inputs!C255)),C84-Inputs!C255,"n/a")</f>
        <v>11</v>
      </c>
      <c r="D85" s="24">
        <f>IF(AND(ISNUMBER(D84),ISNUMBER(Inputs!F255)),D84-Inputs!F255,"n/a")</f>
        <v>12</v>
      </c>
      <c r="E85" s="24">
        <f>IF(AND(ISNUMBER(E84),ISNUMBER(Inputs!D255)),E84-Inputs!D255,"n/a")</f>
        <v>-1</v>
      </c>
      <c r="F85" s="24">
        <f>IF(AND(ISNUMBER(F84),ISNUMBER(Inputs!E255)),F84-Inputs!E255,"n/a")</f>
        <v>5</v>
      </c>
      <c r="G85" s="37">
        <f t="shared" si="1"/>
        <v>-14</v>
      </c>
      <c r="H85" s="2"/>
    </row>
    <row r="86" ht="15" customHeight="1">
      <c r="A86" s="31" t="s">
        <v>65</v>
      </c>
      <c r="B86" s="24">
        <f>IF(AND(ISNUMBER(B84),ISNUMBER(Inputs!E255)),B84-Inputs!E255,"n/a")</f>
        <v>10</v>
      </c>
      <c r="C86" s="36">
        <f t="shared" si="0"/>
        <v>-9</v>
      </c>
      <c r="D86" s="36"/>
      <c r="E86" s="36">
        <f t="shared" si="2"/>
        <v>-7</v>
      </c>
      <c r="F86" s="36">
        <f t="shared" si="0"/>
        <v>11</v>
      </c>
      <c r="G86" s="37">
        <f t="shared" si="0"/>
        <v>-9</v>
      </c>
      <c r="H86" s="2"/>
    </row>
    <row r="87" ht="15" customHeight="1">
      <c r="A87" s="29" t="s">
        <v>220</v>
      </c>
      <c r="B87" s="40">
        <v>-28</v>
      </c>
      <c r="C87" s="40">
        <v>-592</v>
      </c>
      <c r="D87" s="13">
        <f>Inputs!D256+Inputs!E256+B87+C87</f>
        <v>-419</v>
      </c>
      <c r="E87" s="40">
        <v>-535</v>
      </c>
      <c r="F87" s="40">
        <v>590</v>
      </c>
      <c r="G87" s="65">
        <f>-G90-G93+G96+G99</f>
        <v>-324.03887819548476</v>
      </c>
      <c r="H87" s="2"/>
    </row>
    <row r="88" ht="15" customHeight="1">
      <c r="A88" s="31" t="s">
        <v>72</v>
      </c>
      <c r="B88" s="24">
        <f>IF(AND(ISNUMBER(B87),ISNUMBER(Inputs!B256)),B87-Inputs!B256,"n/a")</f>
        <v>235</v>
      </c>
      <c r="C88" s="24">
        <f>IF(AND(ISNUMBER(C87),ISNUMBER(Inputs!C256)),C87-Inputs!C256,"n/a")</f>
        <v>-1187</v>
      </c>
      <c r="D88" s="24">
        <f>IF(AND(ISNUMBER(D87),ISNUMBER(Inputs!F256)),D87-Inputs!F256,"n/a")</f>
        <v>-1114</v>
      </c>
      <c r="E88" s="24">
        <f>IF(AND(ISNUMBER(E87),ISNUMBER(Inputs!D256)),E87-Inputs!D256,"n/a")</f>
        <v>-416</v>
      </c>
      <c r="F88" s="24">
        <f>IF(AND(ISNUMBER(F87),ISNUMBER(Inputs!E256)),F87-Inputs!E256,"n/a")</f>
        <v>270</v>
      </c>
      <c r="G88" s="37">
        <f t="shared" si="1"/>
        <v>-296.03887819548476</v>
      </c>
      <c r="H88" s="2"/>
    </row>
    <row r="89" ht="15" customHeight="1">
      <c r="A89" s="31" t="s">
        <v>65</v>
      </c>
      <c r="B89" s="24">
        <f>IF(AND(ISNUMBER(B87),ISNUMBER(Inputs!E256)),B87-Inputs!E256,"n/a")</f>
        <v>-348</v>
      </c>
      <c r="C89" s="36">
        <f t="shared" si="0"/>
        <v>-564</v>
      </c>
      <c r="D89" s="36"/>
      <c r="E89" s="36">
        <f t="shared" si="2"/>
        <v>57</v>
      </c>
      <c r="F89" s="36">
        <f t="shared" si="0"/>
        <v>1125</v>
      </c>
      <c r="G89" s="37">
        <f t="shared" si="0"/>
        <v>-914.0388781954848</v>
      </c>
      <c r="H89" s="2"/>
    </row>
    <row r="90" ht="15" customHeight="1">
      <c r="A90" s="68" t="s">
        <v>221</v>
      </c>
      <c r="B90" s="40">
        <v>106</v>
      </c>
      <c r="C90" s="40">
        <v>292</v>
      </c>
      <c r="D90" s="13">
        <f>Inputs!D257+Inputs!E257+B90+C90</f>
        <v>452</v>
      </c>
      <c r="E90" s="40">
        <v>287</v>
      </c>
      <c r="F90" s="40">
        <v>312</v>
      </c>
      <c r="G90" s="65">
        <f>G222*100*G225</f>
        <v>259.74180625443626</v>
      </c>
      <c r="H90" s="2" t="s">
        <v>222</v>
      </c>
    </row>
    <row r="91" ht="15" customHeight="1">
      <c r="A91" s="67" t="s">
        <v>72</v>
      </c>
      <c r="B91" s="24" t="str">
        <f>IF(AND(ISNUMBER(B90),ISNUMBER(Inputs!B257)),B90-Inputs!B257,"n/a")</f>
        <v>n/a</v>
      </c>
      <c r="C91" s="24" t="str">
        <f>IF(AND(ISNUMBER(C90),ISNUMBER(Inputs!C257)),C90-Inputs!C257,"n/a")</f>
        <v>n/a</v>
      </c>
      <c r="D91" s="24">
        <f>IF(AND(ISNUMBER(D90),ISNUMBER(Inputs!F257)),D90-Inputs!F257,"n/a")</f>
        <v>525</v>
      </c>
      <c r="E91" s="24">
        <f>IF(AND(ISNUMBER(E90),ISNUMBER(Inputs!D257)),E90-Inputs!D257,"n/a")</f>
        <v>257</v>
      </c>
      <c r="F91" s="24">
        <f>IF(AND(ISNUMBER(F90),ISNUMBER(Inputs!E257)),F90-Inputs!E257,"n/a")</f>
        <v>288</v>
      </c>
      <c r="G91" s="37">
        <f t="shared" si="1"/>
        <v>153.74180625443626</v>
      </c>
      <c r="H91" s="2"/>
    </row>
    <row r="92" ht="15" customHeight="1">
      <c r="A92" s="67" t="s">
        <v>65</v>
      </c>
      <c r="B92" s="24">
        <f>IF(AND(ISNUMBER(B90),ISNUMBER(Inputs!E257)),B90-Inputs!E257,"n/a")</f>
        <v>82</v>
      </c>
      <c r="C92" s="36">
        <f t="shared" si="0"/>
        <v>186</v>
      </c>
      <c r="D92" s="36"/>
      <c r="E92" s="36">
        <f t="shared" si="2"/>
        <v>-5</v>
      </c>
      <c r="F92" s="36">
        <f t="shared" si="0"/>
        <v>25</v>
      </c>
      <c r="G92" s="37">
        <f t="shared" si="0"/>
        <v>-52.258193745563744</v>
      </c>
      <c r="H92" s="2"/>
    </row>
    <row r="93" ht="15" customHeight="1">
      <c r="A93" s="68" t="s">
        <v>223</v>
      </c>
      <c r="B93" s="40">
        <v>-80</v>
      </c>
      <c r="C93" s="40">
        <v>307</v>
      </c>
      <c r="D93" s="13">
        <f>Inputs!D258+Inputs!E258+B93+C93</f>
        <v>68</v>
      </c>
      <c r="E93" s="40">
        <v>222</v>
      </c>
      <c r="F93" s="40">
        <v>112</v>
      </c>
      <c r="G93" s="65">
        <f>-G237</f>
        <v>-287.68700859272195</v>
      </c>
      <c r="H93" s="2"/>
    </row>
    <row r="94" ht="15" customHeight="1">
      <c r="A94" s="67" t="s">
        <v>72</v>
      </c>
      <c r="B94" s="24">
        <f>IF(AND(ISNUMBER(B93),ISNUMBER(Inputs!B258)),B93-Inputs!B258,"n/a")</f>
        <v>-73</v>
      </c>
      <c r="C94" s="24">
        <f>IF(AND(ISNUMBER(C93),ISNUMBER(Inputs!C258)),C93-Inputs!C258,"n/a")</f>
        <v>654</v>
      </c>
      <c r="D94" s="24">
        <f>IF(AND(ISNUMBER(D93),ISNUMBER(Inputs!F258)),D93-Inputs!F258,"n/a")</f>
        <v>657</v>
      </c>
      <c r="E94" s="24">
        <f>IF(AND(ISNUMBER(E93),ISNUMBER(Inputs!D258)),E93-Inputs!D258,"n/a")</f>
        <v>97</v>
      </c>
      <c r="F94" s="24">
        <f>IF(AND(ISNUMBER(F93),ISNUMBER(Inputs!E258)),F93-Inputs!E258,"n/a")</f>
        <v>396</v>
      </c>
      <c r="G94" s="37">
        <f t="shared" si="1"/>
        <v>-207.68700859272195</v>
      </c>
      <c r="H94" s="2"/>
    </row>
    <row r="95" ht="15" customHeight="1">
      <c r="A95" s="67" t="s">
        <v>65</v>
      </c>
      <c r="B95" s="24">
        <f>IF(AND(ISNUMBER(B93),ISNUMBER(Inputs!E258)),B93-Inputs!E258,"n/a")</f>
        <v>204</v>
      </c>
      <c r="C95" s="36">
        <f t="shared" si="0"/>
        <v>387</v>
      </c>
      <c r="D95" s="36"/>
      <c r="E95" s="36">
        <f t="shared" si="2"/>
        <v>-85</v>
      </c>
      <c r="F95" s="36">
        <f t="shared" si="0"/>
        <v>-110</v>
      </c>
      <c r="G95" s="37">
        <f t="shared" si="0"/>
        <v>-399.68700859272195</v>
      </c>
      <c r="H95" s="2"/>
    </row>
    <row r="96" ht="15" customHeight="1">
      <c r="A96" s="68" t="s">
        <v>224</v>
      </c>
      <c r="B96" s="40">
        <v>0</v>
      </c>
      <c r="C96" s="40">
        <v>0</v>
      </c>
      <c r="D96" s="13">
        <f>Inputs!D259+Inputs!E259+B96+C96</f>
        <v>0</v>
      </c>
      <c r="E96" s="40">
        <v>0</v>
      </c>
      <c r="F96" s="40">
        <v>1005</v>
      </c>
      <c r="G96" s="65">
        <f>G240*(G246/G243-1)</f>
        <v>-351.98408053377045</v>
      </c>
      <c r="H96" s="2" t="s">
        <v>225</v>
      </c>
    </row>
    <row r="97" ht="15" customHeight="1">
      <c r="A97" s="67" t="s">
        <v>72</v>
      </c>
      <c r="B97" s="24">
        <f>IF(AND(ISNUMBER(B96),ISNUMBER(Inputs!B259)),B96-Inputs!B259,"n/a")</f>
        <v>0</v>
      </c>
      <c r="C97" s="24">
        <f>IF(AND(ISNUMBER(C96),ISNUMBER(Inputs!C259)),C96-Inputs!C259,"n/a")</f>
        <v>0</v>
      </c>
      <c r="D97" s="24">
        <f>IF(AND(ISNUMBER(D96),ISNUMBER(Inputs!F259)),D96-Inputs!F259,"n/a")</f>
        <v>0</v>
      </c>
      <c r="E97" s="24">
        <f>IF(AND(ISNUMBER(E96),ISNUMBER(Inputs!D259)),E96-Inputs!D259,"n/a")</f>
        <v>0</v>
      </c>
      <c r="F97" s="24">
        <f>IF(AND(ISNUMBER(F96),ISNUMBER(Inputs!E259)),F96-Inputs!E259,"n/a")</f>
        <v>1005</v>
      </c>
      <c r="G97" s="37">
        <f t="shared" si="1"/>
        <v>-351.98408053377045</v>
      </c>
      <c r="H97" s="2"/>
    </row>
    <row r="98" ht="15" customHeight="1">
      <c r="A98" s="67" t="s">
        <v>65</v>
      </c>
      <c r="B98" s="24">
        <f>IF(AND(ISNUMBER(B96),ISNUMBER(Inputs!E259)),B96-Inputs!E259,"n/a")</f>
        <v>0</v>
      </c>
      <c r="C98" s="36">
        <f t="shared" si="0"/>
        <v>0</v>
      </c>
      <c r="D98" s="36"/>
      <c r="E98" s="36">
        <f t="shared" si="2"/>
        <v>0</v>
      </c>
      <c r="F98" s="36">
        <f t="shared" si="0"/>
        <v>1005</v>
      </c>
      <c r="G98" s="37">
        <f t="shared" si="0"/>
        <v>-1356.9840805337703</v>
      </c>
      <c r="H98" s="2"/>
    </row>
    <row r="99" ht="15" customHeight="1">
      <c r="A99" s="68" t="s">
        <v>226</v>
      </c>
      <c r="B99" s="14">
        <f t="shared" si="17" ref="B99:F99">B87+B90+B93-B96</f>
        <v>-2</v>
      </c>
      <c r="C99" s="14">
        <f t="shared" si="17"/>
        <v>7</v>
      </c>
      <c r="D99" s="14">
        <f t="shared" si="17"/>
        <v>101</v>
      </c>
      <c r="E99" s="14">
        <f t="shared" si="17"/>
        <v>-26</v>
      </c>
      <c r="F99" s="14">
        <f t="shared" si="17"/>
        <v>9</v>
      </c>
      <c r="G99" s="41">
        <v>0</v>
      </c>
      <c r="H99" s="2" t="s">
        <v>227</v>
      </c>
    </row>
    <row r="100" ht="15" customHeight="1">
      <c r="A100" s="67" t="s">
        <v>72</v>
      </c>
      <c r="B100" s="24" t="str">
        <f>IF(AND(ISNUMBER(B99),ISNUMBER(Inputs!B260)),B99-Inputs!B260,"n/a")</f>
        <v>n/a</v>
      </c>
      <c r="C100" s="24" t="str">
        <f>IF(AND(ISNUMBER(C99),ISNUMBER(Inputs!C260)),C99-Inputs!C260,"n/a")</f>
        <v>n/a</v>
      </c>
      <c r="D100" s="24">
        <f>IF(AND(ISNUMBER(D99),ISNUMBER(Inputs!F260)),D99-Inputs!F260,"n/a")</f>
        <v>68</v>
      </c>
      <c r="E100" s="24">
        <f>IF(AND(ISNUMBER(E99),ISNUMBER(Inputs!D260)),E99-Inputs!D260,"n/a")</f>
        <v>-62</v>
      </c>
      <c r="F100" s="24">
        <f>IF(AND(ISNUMBER(F99),ISNUMBER(Inputs!E260)),F99-Inputs!E260,"n/a")</f>
        <v>-51</v>
      </c>
      <c r="G100" s="37">
        <f t="shared" si="1"/>
        <v>2</v>
      </c>
      <c r="H100" s="2"/>
    </row>
    <row r="101" ht="15" customHeight="1">
      <c r="A101" s="67" t="s">
        <v>65</v>
      </c>
      <c r="B101" s="24">
        <f>IF(AND(ISNUMBER(B99),ISNUMBER(Inputs!E260)),B99-Inputs!E260,"n/a")</f>
        <v>-62</v>
      </c>
      <c r="C101" s="36">
        <f t="shared" si="0"/>
        <v>9</v>
      </c>
      <c r="D101" s="36"/>
      <c r="E101" s="36">
        <f t="shared" si="2"/>
        <v>-33</v>
      </c>
      <c r="F101" s="36">
        <f t="shared" si="0"/>
        <v>35</v>
      </c>
      <c r="G101" s="37">
        <f t="shared" si="0"/>
        <v>-9</v>
      </c>
      <c r="H101" s="2"/>
    </row>
    <row r="102" ht="15" customHeight="1">
      <c r="A102" s="3" t="s">
        <v>228</v>
      </c>
      <c r="B102" s="34">
        <f t="shared" si="18" ref="B102:G102">B74+B81+B84+B87</f>
        <v>1959</v>
      </c>
      <c r="C102" s="34">
        <f t="shared" si="18"/>
        <v>1181</v>
      </c>
      <c r="D102" s="34">
        <f t="shared" si="18"/>
        <v>5278</v>
      </c>
      <c r="E102" s="34">
        <f t="shared" si="18"/>
        <v>748</v>
      </c>
      <c r="F102" s="34">
        <f t="shared" si="18"/>
        <v>1329</v>
      </c>
      <c r="G102" s="35">
        <f t="shared" si="18"/>
        <v>561.1466837540152</v>
      </c>
      <c r="H102" s="2"/>
    </row>
    <row r="103" ht="15" customHeight="1">
      <c r="A103" s="23" t="s">
        <v>60</v>
      </c>
      <c r="B103" s="32">
        <f>IF(AND(ISNUMBER(B102),ISNUMBER(Inputs!B261)),IF(Inputs!B261&gt;0,B102/Inputs!B261-1,"n/m"),"n/a")</f>
        <v>-0.29810103905410246</v>
      </c>
      <c r="C103" s="32">
        <f>IF(AND(ISNUMBER(C102),ISNUMBER(Inputs!C261)),IF(Inputs!C261&gt;0,C102/Inputs!C261-1,"n/m"),"n/a")</f>
        <v>-0.5320919175911252</v>
      </c>
      <c r="D103" s="32">
        <f>IF(AND(ISNUMBER(D102),ISNUMBER(Inputs!F261)),IF(Inputs!F261&gt;0,D102/Inputs!F261-1,"n/m"),"n/a")</f>
        <v>-0.41290322580645167</v>
      </c>
      <c r="E103" s="32">
        <f>IF(AND(ISNUMBER(E102),ISNUMBER(Inputs!D261)),IF(Inputs!D261&gt;0,E102/Inputs!D261-1,"n/m"),"n/a")</f>
        <v>0.2699490662139219</v>
      </c>
      <c r="F103" s="32">
        <f>IF(AND(ISNUMBER(F102),ISNUMBER(Inputs!E261)),IF(Inputs!E261&gt;0,F102/Inputs!E261-1,"n/m"),"n/a")</f>
        <v>-0.14202711426726922</v>
      </c>
      <c r="G103" s="33">
        <f t="shared" si="7"/>
        <v>-0.7135545259040249</v>
      </c>
      <c r="H103" s="2"/>
    </row>
    <row r="104" ht="15" customHeight="1">
      <c r="A104" s="23" t="s">
        <v>65</v>
      </c>
      <c r="B104" s="24">
        <f>IF(AND(ISNUMBER(B102),ISNUMBER(Inputs!E261)),B102-Inputs!E261,"n/a")</f>
        <v>410</v>
      </c>
      <c r="C104" s="36">
        <f t="shared" si="0"/>
        <v>-778</v>
      </c>
      <c r="D104" s="36"/>
      <c r="E104" s="36">
        <f t="shared" si="2"/>
        <v>-433</v>
      </c>
      <c r="F104" s="36">
        <f t="shared" si="0"/>
        <v>581</v>
      </c>
      <c r="G104" s="37">
        <f t="shared" si="0"/>
        <v>-767.8533162459848</v>
      </c>
      <c r="H104" s="2"/>
    </row>
    <row r="105" ht="15" customHeight="1">
      <c r="A105" s="29" t="s">
        <v>229</v>
      </c>
      <c r="B105" s="40">
        <v>570</v>
      </c>
      <c r="C105" s="40">
        <v>325</v>
      </c>
      <c r="D105" s="13">
        <f>Inputs!D262+Inputs!E262+B105+C105</f>
        <v>1423</v>
      </c>
      <c r="E105" s="40">
        <v>257</v>
      </c>
      <c r="F105" s="40">
        <v>201</v>
      </c>
      <c r="G105" s="65">
        <f>G196-G181*G184-G93*G187+G96*G190</f>
        <v>297.05755782148583</v>
      </c>
      <c r="H105" s="2" t="s">
        <v>230</v>
      </c>
    </row>
    <row r="106" ht="15" customHeight="1">
      <c r="A106" s="31" t="s">
        <v>60</v>
      </c>
      <c r="B106" s="32">
        <f>IF(AND(ISNUMBER(B105),ISNUMBER(Inputs!B262)),IF(Inputs!B262&gt;0,B105/Inputs!B262-1,"n/m"),"n/a")</f>
        <v>-0.05315614617940201</v>
      </c>
      <c r="C106" s="32">
        <f>IF(AND(ISNUMBER(C105),ISNUMBER(Inputs!C262)),IF(Inputs!C262&gt;0,C105/Inputs!C262-1,"n/m"),"n/a")</f>
        <v>-0.14698162729658792</v>
      </c>
      <c r="D106" s="32">
        <f>IF(AND(ISNUMBER(D105),ISNUMBER(Inputs!F262)),IF(Inputs!F262&gt;0,D105/Inputs!F262-1,"n/m"),"n/a")</f>
        <v>-0.2253674469243332</v>
      </c>
      <c r="E106" s="32">
        <f>IF(AND(ISNUMBER(E105),ISNUMBER(Inputs!D262)),IF(Inputs!D262&gt;0,E105/Inputs!D262-1,"n/m"),"n/a")</f>
        <v>0.5207100591715976</v>
      </c>
      <c r="F106" s="32">
        <f>IF(AND(ISNUMBER(F105),ISNUMBER(Inputs!E262)),IF(Inputs!E262&gt;0,F105/Inputs!E262-1,"n/m"),"n/a")</f>
        <v>-0.4401114206128134</v>
      </c>
      <c r="G106" s="33">
        <f t="shared" si="7"/>
        <v>-0.478846389786867</v>
      </c>
      <c r="H106" s="2"/>
    </row>
    <row r="107" ht="15" customHeight="1">
      <c r="A107" s="31" t="s">
        <v>65</v>
      </c>
      <c r="B107" s="24">
        <f>IF(AND(ISNUMBER(B105),ISNUMBER(Inputs!E262)),B105-Inputs!E262,"n/a")</f>
        <v>211</v>
      </c>
      <c r="C107" s="36">
        <f t="shared" si="0"/>
        <v>-245</v>
      </c>
      <c r="D107" s="36"/>
      <c r="E107" s="36">
        <f t="shared" si="2"/>
        <v>-68</v>
      </c>
      <c r="F107" s="36">
        <f t="shared" si="0"/>
        <v>-56</v>
      </c>
      <c r="G107" s="37">
        <f t="shared" si="0"/>
        <v>96.05755782148583</v>
      </c>
      <c r="H107" s="2"/>
    </row>
    <row r="108" ht="15" customHeight="1">
      <c r="A108" s="31" t="s">
        <v>231</v>
      </c>
      <c r="B108" s="15">
        <f t="shared" si="19" ref="B108:G199">B105/B102</f>
        <v>0.29096477794793263</v>
      </c>
      <c r="C108" s="15">
        <f t="shared" si="19"/>
        <v>0.275190516511431</v>
      </c>
      <c r="D108" s="15">
        <f t="shared" si="19"/>
        <v>0.2696097006441834</v>
      </c>
      <c r="E108" s="15">
        <f t="shared" si="19"/>
        <v>0.34358288770053474</v>
      </c>
      <c r="F108" s="15">
        <f t="shared" si="19"/>
        <v>0.15124153498871332</v>
      </c>
      <c r="G108" s="33">
        <f t="shared" si="19"/>
        <v>0.5293759482533168</v>
      </c>
      <c r="H108" s="2"/>
    </row>
    <row r="109" ht="15" customHeight="1">
      <c r="A109" s="67" t="s">
        <v>68</v>
      </c>
      <c r="B109" s="48">
        <f>IF(AND(ISNUMBER(B108),ISNUMBER(Inputs!B263)),(B108-Inputs!B263)*10000,"n/a")</f>
        <v>752.7147805542097</v>
      </c>
      <c r="C109" s="48">
        <f>IF(AND(ISNUMBER(C108),ISNUMBER(Inputs!C263)),(C108-Inputs!C263)*10000,"n/a")</f>
        <v>1242.3964487910137</v>
      </c>
      <c r="D109" s="48">
        <f>IF(AND(ISNUMBER(D108),ISNUMBER(Inputs!F263)),(D108-Inputs!F263)*10000,"n/a")</f>
        <v>652.7154714029016</v>
      </c>
      <c r="E109" s="48">
        <f>IF(AND(ISNUMBER(E108),ISNUMBER(Inputs!D263)),(E108-Inputs!D263)*10000,"n/a")</f>
        <v>566.5589279391337</v>
      </c>
      <c r="F109" s="48">
        <f>IF(AND(ISNUMBER(F108),ISNUMBER(Inputs!E263)),(F108-Inputs!E263)*10000,"n/a")</f>
        <v>-805.2089238378506</v>
      </c>
      <c r="G109" s="39">
        <f t="shared" si="11"/>
        <v>2384.1117030538417</v>
      </c>
      <c r="H109" s="2"/>
    </row>
    <row r="110" ht="15" customHeight="1">
      <c r="A110" s="67" t="s">
        <v>69</v>
      </c>
      <c r="B110" s="48">
        <f>IF(AND(ISNUMBER(B108),ISNUMBER(Inputs!E263)),(B108-Inputs!E263)*10000,"n/a")</f>
        <v>592.0235057543424</v>
      </c>
      <c r="C110" s="38">
        <f t="shared" si="9"/>
        <v>-157.74261436501624</v>
      </c>
      <c r="D110" s="38"/>
      <c r="E110" s="38">
        <f t="shared" si="12"/>
        <v>683.9237118910374</v>
      </c>
      <c r="F110" s="38">
        <f t="shared" si="9"/>
        <v>-1923.4135271182142</v>
      </c>
      <c r="G110" s="39">
        <f t="shared" si="9"/>
        <v>3781.344132646035</v>
      </c>
      <c r="H110" s="2"/>
    </row>
    <row r="111" ht="15" customHeight="1">
      <c r="A111" s="3" t="s">
        <v>232</v>
      </c>
      <c r="B111" s="34">
        <f t="shared" si="20" ref="B111:G111">B102-B105</f>
        <v>1389</v>
      </c>
      <c r="C111" s="34">
        <f t="shared" si="20"/>
        <v>856</v>
      </c>
      <c r="D111" s="34">
        <f t="shared" si="20"/>
        <v>3855</v>
      </c>
      <c r="E111" s="34">
        <f t="shared" si="20"/>
        <v>491</v>
      </c>
      <c r="F111" s="34">
        <f t="shared" si="20"/>
        <v>1128</v>
      </c>
      <c r="G111" s="35">
        <f t="shared" si="20"/>
        <v>264.0891259325293</v>
      </c>
      <c r="H111" s="2"/>
    </row>
    <row r="112" ht="15" customHeight="1">
      <c r="A112" s="23" t="s">
        <v>72</v>
      </c>
      <c r="B112" s="24">
        <f>IF(AND(ISNUMBER(B111),ISNUMBER(Inputs!B264)),B111-Inputs!B264,"n/a")</f>
        <v>-800</v>
      </c>
      <c r="C112" s="24">
        <f>IF(AND(ISNUMBER(C111),ISNUMBER(Inputs!C264)),C111-Inputs!C264,"n/a")</f>
        <v>-1287</v>
      </c>
      <c r="D112" s="24">
        <f>IF(AND(ISNUMBER(D111),ISNUMBER(Inputs!F264)),D111-Inputs!F264,"n/a")</f>
        <v>-3298</v>
      </c>
      <c r="E112" s="24">
        <f>IF(AND(ISNUMBER(E111),ISNUMBER(Inputs!D264)),E111-Inputs!D264,"n/a")</f>
        <v>71</v>
      </c>
      <c r="F112" s="24">
        <f>IF(AND(ISNUMBER(F111),ISNUMBER(Inputs!E264)),F111-Inputs!E264,"n/a")</f>
        <v>-62</v>
      </c>
      <c r="G112" s="37">
        <f t="shared" si="1"/>
        <v>-1124.9108740674706</v>
      </c>
      <c r="H112" s="2"/>
    </row>
    <row r="113" ht="15" customHeight="1">
      <c r="A113" s="23" t="s">
        <v>65</v>
      </c>
      <c r="B113" s="24">
        <f>IF(AND(ISNUMBER(B111),ISNUMBER(Inputs!E264)),B111-Inputs!E264,"n/a")</f>
        <v>199</v>
      </c>
      <c r="C113" s="36">
        <f t="shared" si="0"/>
        <v>-533</v>
      </c>
      <c r="D113" s="36"/>
      <c r="E113" s="36">
        <f t="shared" si="2"/>
        <v>-365</v>
      </c>
      <c r="F113" s="36">
        <f t="shared" si="0"/>
        <v>637</v>
      </c>
      <c r="G113" s="37">
        <f t="shared" si="0"/>
        <v>-863.9108740674707</v>
      </c>
      <c r="H113" s="2"/>
    </row>
    <row r="114" ht="15" customHeight="1">
      <c r="A114" s="29" t="s">
        <v>233</v>
      </c>
      <c r="B114" s="40">
        <v>16</v>
      </c>
      <c r="C114" s="40">
        <v>16</v>
      </c>
      <c r="D114" s="13">
        <f>Inputs!D265+Inputs!E265+B114+C114</f>
        <v>61</v>
      </c>
      <c r="E114" s="40">
        <v>14</v>
      </c>
      <c r="F114" s="40">
        <v>14</v>
      </c>
      <c r="G114" s="41">
        <v>14</v>
      </c>
      <c r="H114" s="2" t="s">
        <v>234</v>
      </c>
    </row>
    <row r="115" ht="15" customHeight="1">
      <c r="A115" s="31" t="s">
        <v>72</v>
      </c>
      <c r="B115" s="24">
        <f>IF(AND(ISNUMBER(B114),ISNUMBER(Inputs!B265)),B114-Inputs!B265,"n/a")</f>
        <v>0</v>
      </c>
      <c r="C115" s="24">
        <f>IF(AND(ISNUMBER(C114),ISNUMBER(Inputs!C265)),C114-Inputs!C265,"n/a")</f>
        <v>1</v>
      </c>
      <c r="D115" s="24">
        <f>IF(AND(ISNUMBER(D114),ISNUMBER(Inputs!F265)),D114-Inputs!F265,"n/a")</f>
        <v>-1</v>
      </c>
      <c r="E115" s="24">
        <f>IF(AND(ISNUMBER(E114),ISNUMBER(Inputs!D265)),E114-Inputs!D265,"n/a")</f>
        <v>3</v>
      </c>
      <c r="F115" s="24">
        <f>IF(AND(ISNUMBER(F114),ISNUMBER(Inputs!E265)),F114-Inputs!E265,"n/a")</f>
        <v>-4</v>
      </c>
      <c r="G115" s="37">
        <f t="shared" si="1"/>
        <v>-2</v>
      </c>
      <c r="H115" s="2"/>
    </row>
    <row r="116" ht="15" customHeight="1">
      <c r="A116" s="31" t="s">
        <v>65</v>
      </c>
      <c r="B116" s="24">
        <f>IF(AND(ISNUMBER(B114),ISNUMBER(Inputs!E265)),B114-Inputs!E265,"n/a")</f>
        <v>-2</v>
      </c>
      <c r="C116" s="36">
        <f t="shared" si="0"/>
        <v>0</v>
      </c>
      <c r="D116" s="36"/>
      <c r="E116" s="36">
        <f t="shared" si="2"/>
        <v>-2</v>
      </c>
      <c r="F116" s="36">
        <f t="shared" si="0"/>
        <v>0</v>
      </c>
      <c r="G116" s="37">
        <f t="shared" si="0"/>
        <v>0</v>
      </c>
      <c r="H116" s="2"/>
    </row>
    <row r="117" ht="15" customHeight="1">
      <c r="A117" s="3" t="s">
        <v>235</v>
      </c>
      <c r="B117" s="34">
        <f t="shared" si="21" ref="B117:G117">B111-B114</f>
        <v>1373</v>
      </c>
      <c r="C117" s="34">
        <f t="shared" si="21"/>
        <v>840</v>
      </c>
      <c r="D117" s="34">
        <f t="shared" si="21"/>
        <v>3794</v>
      </c>
      <c r="E117" s="34">
        <f t="shared" si="21"/>
        <v>477</v>
      </c>
      <c r="F117" s="34">
        <f t="shared" si="21"/>
        <v>1114</v>
      </c>
      <c r="G117" s="35">
        <f t="shared" si="21"/>
        <v>250.08912593252933</v>
      </c>
      <c r="H117" s="2"/>
    </row>
    <row r="118" ht="15" customHeight="1">
      <c r="A118" s="23" t="s">
        <v>60</v>
      </c>
      <c r="B118" s="32">
        <f>IF(AND(ISNUMBER(B117),ISNUMBER(Inputs!B266)),IF(Inputs!B266&gt;0,B117/Inputs!B266-1,"n/m"),"n/a")</f>
        <v>-0.36815462494247586</v>
      </c>
      <c r="C118" s="32">
        <f>IF(AND(ISNUMBER(C117),ISNUMBER(Inputs!C266)),IF(Inputs!C266&gt;0,C117/Inputs!C266-1,"n/m"),"n/a")</f>
        <v>-0.6052631578947368</v>
      </c>
      <c r="D118" s="32">
        <f>IF(AND(ISNUMBER(D117),ISNUMBER(Inputs!F266)),IF(Inputs!F266&gt;0,D117/Inputs!F266-1,"n/m"),"n/a")</f>
        <v>-0.4649555774925962</v>
      </c>
      <c r="E118" s="32">
        <f>IF(AND(ISNUMBER(E117),ISNUMBER(Inputs!D266)),IF(Inputs!D266&gt;0,E117/Inputs!D266-1,"n/m"),"n/a")</f>
        <v>0.16625916870415658</v>
      </c>
      <c r="F118" s="32">
        <f>IF(AND(ISNUMBER(F117),ISNUMBER(Inputs!E266)),IF(Inputs!E266&gt;0,F117/Inputs!E266-1,"n/m"),"n/a")</f>
        <v>-0.04948805460750849</v>
      </c>
      <c r="G118" s="33">
        <f t="shared" si="7"/>
        <v>-0.8178520568590464</v>
      </c>
      <c r="H118" s="2"/>
    </row>
    <row r="119" ht="15" customHeight="1">
      <c r="A119" s="23" t="s">
        <v>65</v>
      </c>
      <c r="B119" s="24">
        <f>IF(AND(ISNUMBER(B117),ISNUMBER(Inputs!E266)),B117-Inputs!E266,"n/a")</f>
        <v>201</v>
      </c>
      <c r="C119" s="36">
        <f t="shared" si="0"/>
        <v>-533</v>
      </c>
      <c r="D119" s="36"/>
      <c r="E119" s="36">
        <f t="shared" si="2"/>
        <v>-363</v>
      </c>
      <c r="F119" s="36">
        <f t="shared" si="0"/>
        <v>637</v>
      </c>
      <c r="G119" s="37">
        <f t="shared" si="0"/>
        <v>-863.9108740674707</v>
      </c>
      <c r="H119" s="2"/>
    </row>
    <row r="120" ht="15" customHeight="1">
      <c r="A120" s="29" t="s">
        <v>236</v>
      </c>
      <c r="B120" s="40">
        <v>1373</v>
      </c>
      <c r="C120" s="40">
        <v>840</v>
      </c>
      <c r="D120" s="40">
        <v>3794</v>
      </c>
      <c r="E120" s="40">
        <v>477</v>
      </c>
      <c r="F120" s="40">
        <v>1114</v>
      </c>
      <c r="G120" s="65" t="s">
        <v>31</v>
      </c>
      <c r="H120" s="2"/>
    </row>
    <row r="121" ht="15" customHeight="1">
      <c r="A121" s="23" t="s">
        <v>237</v>
      </c>
      <c r="B121" s="36">
        <f t="shared" si="22" ref="B121:F170">B117-B120</f>
        <v>0</v>
      </c>
      <c r="C121" s="36">
        <f t="shared" si="22"/>
        <v>0</v>
      </c>
      <c r="D121" s="36">
        <f t="shared" si="22"/>
        <v>0</v>
      </c>
      <c r="E121" s="36">
        <f t="shared" si="22"/>
        <v>0</v>
      </c>
      <c r="F121" s="36">
        <f t="shared" si="22"/>
        <v>0</v>
      </c>
      <c r="G121" s="37" t="s">
        <v>31</v>
      </c>
      <c r="H121" s="2"/>
    </row>
    <row r="122" ht="15" customHeight="1">
      <c r="A122" s="29" t="s">
        <v>238</v>
      </c>
      <c r="B122" s="40">
        <v>0</v>
      </c>
      <c r="C122" s="40">
        <v>0</v>
      </c>
      <c r="D122" s="13">
        <f>Inputs!D268+Inputs!E268+B122+C122</f>
        <v>0</v>
      </c>
      <c r="E122" s="40">
        <v>0</v>
      </c>
      <c r="F122" s="40">
        <v>2</v>
      </c>
      <c r="G122" s="41">
        <v>0</v>
      </c>
      <c r="H122" s="2" t="s">
        <v>239</v>
      </c>
    </row>
    <row r="123" ht="15" customHeight="1">
      <c r="A123" s="31" t="s">
        <v>72</v>
      </c>
      <c r="B123" s="24">
        <f>IF(AND(ISNUMBER(B122),ISNUMBER(Inputs!B268)),B122-Inputs!B268,"n/a")</f>
        <v>0</v>
      </c>
      <c r="C123" s="24">
        <f>IF(AND(ISNUMBER(C122),ISNUMBER(Inputs!C268)),C122-Inputs!C268,"n/a")</f>
        <v>3</v>
      </c>
      <c r="D123" s="24">
        <f>IF(AND(ISNUMBER(D122),ISNUMBER(Inputs!F268)),D122-Inputs!F268,"n/a")</f>
        <v>-39</v>
      </c>
      <c r="E123" s="24">
        <f>IF(AND(ISNUMBER(E122),ISNUMBER(Inputs!D268)),E122-Inputs!D268,"n/a")</f>
        <v>0</v>
      </c>
      <c r="F123" s="24">
        <f>IF(AND(ISNUMBER(F122),ISNUMBER(Inputs!E268)),F122-Inputs!E268,"n/a")</f>
        <v>2</v>
      </c>
      <c r="G123" s="37">
        <f t="shared" si="1"/>
        <v>0</v>
      </c>
      <c r="H123" s="2"/>
    </row>
    <row r="124" ht="15" customHeight="1">
      <c r="A124" s="31" t="s">
        <v>65</v>
      </c>
      <c r="B124" s="24">
        <f>IF(AND(ISNUMBER(B122),ISNUMBER(Inputs!E268)),B122-Inputs!E268,"n/a")</f>
        <v>0</v>
      </c>
      <c r="C124" s="36">
        <f t="shared" si="0"/>
        <v>0</v>
      </c>
      <c r="D124" s="36"/>
      <c r="E124" s="36">
        <f t="shared" si="2"/>
        <v>0</v>
      </c>
      <c r="F124" s="36">
        <f t="shared" si="0"/>
        <v>2</v>
      </c>
      <c r="G124" s="37">
        <f t="shared" si="0"/>
        <v>-2</v>
      </c>
      <c r="H124" s="2"/>
    </row>
    <row r="125" ht="15" customHeight="1">
      <c r="A125" s="3" t="s">
        <v>240</v>
      </c>
      <c r="B125" s="34">
        <f t="shared" si="23" ref="B125:G125">B117+B122</f>
        <v>1373</v>
      </c>
      <c r="C125" s="34">
        <f t="shared" si="23"/>
        <v>840</v>
      </c>
      <c r="D125" s="34">
        <f t="shared" si="23"/>
        <v>3794</v>
      </c>
      <c r="E125" s="34">
        <f t="shared" si="23"/>
        <v>477</v>
      </c>
      <c r="F125" s="34">
        <f t="shared" si="23"/>
        <v>1116</v>
      </c>
      <c r="G125" s="35">
        <f t="shared" si="23"/>
        <v>250.08912593252933</v>
      </c>
      <c r="H125" s="2"/>
    </row>
    <row r="126" ht="15" customHeight="1">
      <c r="A126" s="23" t="s">
        <v>72</v>
      </c>
      <c r="B126" s="24">
        <f>IF(AND(ISNUMBER(B125),ISNUMBER(Inputs!B269)),B125-Inputs!B269,"n/a")</f>
        <v>-800</v>
      </c>
      <c r="C126" s="24">
        <f>IF(AND(ISNUMBER(C125),ISNUMBER(Inputs!C269)),C125-Inputs!C269,"n/a")</f>
        <v>-1285</v>
      </c>
      <c r="D126" s="24">
        <f>IF(AND(ISNUMBER(D125),ISNUMBER(Inputs!F269)),D125-Inputs!F269,"n/a")</f>
        <v>-3336</v>
      </c>
      <c r="E126" s="24">
        <f>IF(AND(ISNUMBER(E125),ISNUMBER(Inputs!D269)),E125-Inputs!D269,"n/a")</f>
        <v>68</v>
      </c>
      <c r="F126" s="24">
        <f>IF(AND(ISNUMBER(F125),ISNUMBER(Inputs!E269)),F125-Inputs!E269,"n/a")</f>
        <v>-56</v>
      </c>
      <c r="G126" s="37">
        <f t="shared" si="1"/>
        <v>-1122.9108740674706</v>
      </c>
      <c r="H126" s="2"/>
    </row>
    <row r="127" ht="15" customHeight="1">
      <c r="A127" s="23" t="s">
        <v>65</v>
      </c>
      <c r="B127" s="24">
        <f>IF(AND(ISNUMBER(B125),ISNUMBER(Inputs!E269)),B125-Inputs!E269,"n/a")</f>
        <v>201</v>
      </c>
      <c r="C127" s="36">
        <f t="shared" si="0"/>
        <v>-533</v>
      </c>
      <c r="D127" s="36"/>
      <c r="E127" s="36">
        <f t="shared" si="2"/>
        <v>-363</v>
      </c>
      <c r="F127" s="36">
        <f t="shared" si="0"/>
        <v>639</v>
      </c>
      <c r="G127" s="37">
        <f t="shared" si="0"/>
        <v>-865.9108740674707</v>
      </c>
      <c r="H127" s="2"/>
    </row>
    <row r="128" ht="15" customHeight="1">
      <c r="A128" s="29" t="s">
        <v>241</v>
      </c>
      <c r="B128" s="13">
        <f>'Share Count'!B12</f>
        <v>3227</v>
      </c>
      <c r="C128" s="13">
        <f>'Share Count'!C12</f>
        <v>3231</v>
      </c>
      <c r="D128" s="13">
        <f>'Share Count'!D12</f>
        <v>3225</v>
      </c>
      <c r="E128" s="13">
        <f>'Share Count'!E12</f>
        <v>3234</v>
      </c>
      <c r="F128" s="13">
        <f>'Share Count'!F12</f>
        <v>3237</v>
      </c>
      <c r="G128" s="30">
        <f>'Share Count'!G12</f>
        <v>3240</v>
      </c>
      <c r="H128" s="2"/>
    </row>
    <row r="129" ht="15" customHeight="1">
      <c r="A129" s="31" t="s">
        <v>72</v>
      </c>
      <c r="B129" s="24">
        <f>IF(AND(ISNUMBER(B128),ISNUMBER(Inputs!B270)),B128-Inputs!B270,"n/a")</f>
        <v>29</v>
      </c>
      <c r="C129" s="24">
        <f>IF(AND(ISNUMBER(C128),ISNUMBER(Inputs!C270)),C128-Inputs!C270,"n/a")</f>
        <v>18</v>
      </c>
      <c r="D129" s="24">
        <f>IF(AND(ISNUMBER(D128),ISNUMBER(Inputs!F270)),D128-Inputs!F270,"n/a")</f>
        <v>28</v>
      </c>
      <c r="E129" s="24">
        <f>IF(AND(ISNUMBER(E128),ISNUMBER(Inputs!D270)),E128-Inputs!D270,"n/a")</f>
        <v>16</v>
      </c>
      <c r="F129" s="24">
        <f>IF(AND(ISNUMBER(F128),ISNUMBER(Inputs!E270)),F128-Inputs!E270,"n/a")</f>
        <v>14</v>
      </c>
      <c r="G129" s="37">
        <f t="shared" si="1"/>
        <v>13</v>
      </c>
      <c r="H129" s="2"/>
    </row>
    <row r="130" ht="15" customHeight="1">
      <c r="A130" s="31" t="s">
        <v>65</v>
      </c>
      <c r="B130" s="24">
        <f>IF(AND(ISNUMBER(B128),ISNUMBER(Inputs!E270)),B128-Inputs!E270,"n/a")</f>
        <v>4</v>
      </c>
      <c r="C130" s="36">
        <f t="shared" si="0"/>
        <v>4</v>
      </c>
      <c r="D130" s="36"/>
      <c r="E130" s="36">
        <f t="shared" si="2"/>
        <v>3</v>
      </c>
      <c r="F130" s="36">
        <f t="shared" si="0"/>
        <v>3</v>
      </c>
      <c r="G130" s="37">
        <f t="shared" si="0"/>
        <v>3</v>
      </c>
      <c r="H130" s="2"/>
    </row>
    <row r="131" ht="15" customHeight="1">
      <c r="A131" s="29" t="s">
        <v>242</v>
      </c>
      <c r="B131" s="13">
        <f>'Share Count'!B18</f>
        <v>3526</v>
      </c>
      <c r="C131" s="13">
        <f>'Share Count'!C18</f>
        <v>3539</v>
      </c>
      <c r="D131" s="13">
        <f>'Share Count'!D18</f>
        <v>3528</v>
      </c>
      <c r="E131" s="13">
        <f>'Share Count'!E18</f>
        <v>3538</v>
      </c>
      <c r="F131" s="13">
        <f>'Share Count'!F18</f>
        <v>3540</v>
      </c>
      <c r="G131" s="30">
        <f>'Share Count'!G18</f>
        <v>3544</v>
      </c>
      <c r="H131" s="2"/>
    </row>
    <row r="132" ht="15" customHeight="1">
      <c r="A132" s="31" t="s">
        <v>72</v>
      </c>
      <c r="B132" s="24">
        <f>IF(AND(ISNUMBER(B131),ISNUMBER(Inputs!B271)),B131-Inputs!B271,"n/a")</f>
        <v>29</v>
      </c>
      <c r="C132" s="24">
        <f>IF(AND(ISNUMBER(C131),ISNUMBER(Inputs!C271)),C131-Inputs!C271,"n/a")</f>
        <v>22</v>
      </c>
      <c r="D132" s="24">
        <f>IF(AND(ISNUMBER(D131),ISNUMBER(Inputs!F271)),D131-Inputs!F271,"n/a")</f>
        <v>30</v>
      </c>
      <c r="E132" s="24">
        <f>IF(AND(ISNUMBER(E131),ISNUMBER(Inputs!D271)),E131-Inputs!D271,"n/a")</f>
        <v>17</v>
      </c>
      <c r="F132" s="24">
        <f>IF(AND(ISNUMBER(F131),ISNUMBER(Inputs!E271)),F131-Inputs!E271,"n/a")</f>
        <v>21</v>
      </c>
      <c r="G132" s="37">
        <f t="shared" si="1"/>
        <v>18</v>
      </c>
      <c r="H132" s="2"/>
    </row>
    <row r="133" ht="15" customHeight="1">
      <c r="A133" s="31" t="s">
        <v>65</v>
      </c>
      <c r="B133" s="24">
        <f>IF(AND(ISNUMBER(B131),ISNUMBER(Inputs!E271)),B131-Inputs!E271,"n/a")</f>
        <v>7</v>
      </c>
      <c r="C133" s="36">
        <f t="shared" si="0"/>
        <v>13</v>
      </c>
      <c r="D133" s="36"/>
      <c r="E133" s="36">
        <f t="shared" si="2"/>
        <v>-1</v>
      </c>
      <c r="F133" s="36">
        <f t="shared" si="0"/>
        <v>2</v>
      </c>
      <c r="G133" s="37">
        <f t="shared" si="0"/>
        <v>4</v>
      </c>
      <c r="H133" s="2"/>
    </row>
    <row r="134" ht="15" customHeight="1">
      <c r="A134" s="29" t="s">
        <v>243</v>
      </c>
      <c r="B134" s="18">
        <f t="shared" si="24" ref="B134:G134">B125/B128</f>
        <v>0.42547257514719555</v>
      </c>
      <c r="C134" s="18">
        <f t="shared" si="24"/>
        <v>0.25998142989786444</v>
      </c>
      <c r="D134" s="18">
        <f t="shared" si="24"/>
        <v>1.1764341085271317</v>
      </c>
      <c r="E134" s="18">
        <f t="shared" si="24"/>
        <v>0.14749536178107606</v>
      </c>
      <c r="F134" s="18">
        <f t="shared" si="24"/>
        <v>0.3447636700648749</v>
      </c>
      <c r="G134" s="69">
        <f t="shared" si="24"/>
        <v>0.07718800183102757</v>
      </c>
      <c r="H134" s="2"/>
    </row>
    <row r="135" ht="15" customHeight="1">
      <c r="A135" s="31" t="s">
        <v>72</v>
      </c>
      <c r="B135" s="25">
        <f>IF(AND(ISNUMBER(B134),ISNUMBER(Inputs!B272)),B134-Inputs!B272,"n/a")</f>
        <v>-0.25401460433998396</v>
      </c>
      <c r="C135" s="25">
        <f>IF(AND(ISNUMBER(C134),ISNUMBER(Inputs!C272)),C134-Inputs!C272,"n/a")</f>
        <v>-0.40139423147779696</v>
      </c>
      <c r="D135" s="25">
        <f>IF(AND(ISNUMBER(D134),ISNUMBER(Inputs!F272)),D134-Inputs!F272,"n/a")</f>
        <v>-1.0537817188109977</v>
      </c>
      <c r="E135" s="25">
        <f>IF(AND(ISNUMBER(E134),ISNUMBER(Inputs!D272)),E134-Inputs!D272,"n/a")</f>
        <v>0.020397785646831174</v>
      </c>
      <c r="F135" s="25">
        <f>IF(AND(ISNUMBER(F134),ISNUMBER(Inputs!E272)),F134-Inputs!E272,"n/a")</f>
        <v>-0.01887269357148874</v>
      </c>
      <c r="G135" s="70">
        <f t="shared" si="1"/>
        <v>-0.34828457331616797</v>
      </c>
      <c r="H135" s="2"/>
    </row>
    <row r="136" ht="15" customHeight="1">
      <c r="A136" s="31" t="s">
        <v>65</v>
      </c>
      <c r="B136" s="25">
        <f>IF(AND(ISNUMBER(B134),ISNUMBER(Inputs!E272)),B134-Inputs!E272,"n/a")</f>
        <v>0.06183621151083191</v>
      </c>
      <c r="C136" s="71">
        <f t="shared" si="0"/>
        <v>-0.16549114524933112</v>
      </c>
      <c r="D136" s="71"/>
      <c r="E136" s="71">
        <f t="shared" si="2"/>
        <v>-0.11248606811678838</v>
      </c>
      <c r="F136" s="71">
        <f t="shared" si="0"/>
        <v>0.19726830828379885</v>
      </c>
      <c r="G136" s="70">
        <f t="shared" si="0"/>
        <v>-0.2675756682338473</v>
      </c>
      <c r="H136" s="2"/>
    </row>
    <row r="137" ht="15" customHeight="1">
      <c r="A137" s="3" t="s">
        <v>244</v>
      </c>
      <c r="B137" s="72">
        <f t="shared" si="25" ref="B137:G137">B125/B131</f>
        <v>0.3893930799773114</v>
      </c>
      <c r="C137" s="72">
        <f t="shared" si="25"/>
        <v>0.23735518508053122</v>
      </c>
      <c r="D137" s="72">
        <f t="shared" si="25"/>
        <v>1.0753968253968254</v>
      </c>
      <c r="E137" s="72">
        <f t="shared" si="25"/>
        <v>0.13482193329564726</v>
      </c>
      <c r="F137" s="72">
        <f t="shared" si="25"/>
        <v>0.3152542372881356</v>
      </c>
      <c r="G137" s="73">
        <f t="shared" si="25"/>
        <v>0.07056690912317419</v>
      </c>
      <c r="H137" s="2"/>
    </row>
    <row r="138" ht="15" customHeight="1">
      <c r="A138" s="23" t="s">
        <v>60</v>
      </c>
      <c r="B138" s="32">
        <f>IF(AND(ISNUMBER(B137),ISNUMBER(Inputs!B273)),IF(Inputs!B273&gt;0,B137/Inputs!B273-1,"n/m"),"n/a")</f>
        <v>-0.3733513112376171</v>
      </c>
      <c r="C138" s="32">
        <f>IF(AND(ISNUMBER(C137),ISNUMBER(Inputs!C273)),IF(Inputs!C273&gt;0,C137/Inputs!C273-1,"n/m"),"n/a")</f>
        <v>-0.6071632066220103</v>
      </c>
      <c r="D138" s="32">
        <f>IF(AND(ISNUMBER(D137),ISNUMBER(Inputs!F273)),IF(Inputs!F273&gt;0,D137/Inputs!F273-1,"n/m"),"n/a")</f>
        <v>-0.47240699926534424</v>
      </c>
      <c r="E138" s="32">
        <f>IF(AND(ISNUMBER(E137),ISNUMBER(Inputs!D273)),IF(Inputs!D273&gt;0,E137/Inputs!D273-1,"n/m"),"n/a")</f>
        <v>0.1606553230659511</v>
      </c>
      <c r="F138" s="32">
        <f>IF(AND(ISNUMBER(F137),ISNUMBER(Inputs!E273)),IF(Inputs!E273&gt;0,F137/Inputs!E273-1,"n/m"),"n/a")</f>
        <v>-0.05343032336437781</v>
      </c>
      <c r="G138" s="33">
        <f t="shared" si="7"/>
        <v>-0.8187771874957668</v>
      </c>
      <c r="H138" s="2"/>
    </row>
    <row r="139" ht="15" customHeight="1">
      <c r="A139" s="23" t="s">
        <v>72</v>
      </c>
      <c r="B139" s="25">
        <f>IF(AND(ISNUMBER(B137),ISNUMBER(Inputs!B273)),B137-Inputs!B273,"n/a")</f>
        <v>-0.23199668267639179</v>
      </c>
      <c r="C139" s="25">
        <f>IF(AND(ISNUMBER(C137),ISNUMBER(Inputs!C273)),C137-Inputs!C273,"n/a")</f>
        <v>-0.3668529468500915</v>
      </c>
      <c r="D139" s="25">
        <f>IF(AND(ISNUMBER(D137),ISNUMBER(Inputs!F273)),D137-Inputs!F273,"n/a")</f>
        <v>-0.9629107789485147</v>
      </c>
      <c r="E139" s="25">
        <f>IF(AND(ISNUMBER(E137),ISNUMBER(Inputs!D273)),E137-Inputs!D273,"n/a")</f>
        <v>0.018661751529103668</v>
      </c>
      <c r="F139" s="25">
        <f>IF(AND(ISNUMBER(F137),ISNUMBER(Inputs!E273)),F137-Inputs!E273,"n/a")</f>
        <v>-0.01779492440552738</v>
      </c>
      <c r="G139" s="70">
        <f t="shared" si="35" ref="G139:G176">IF(AND(ISNUMBER(G137),ISNUMBER(B137)),G137-B137,"n/a")</f>
        <v>-0.31882617085413717</v>
      </c>
      <c r="H139" s="2"/>
    </row>
    <row r="140" ht="15" customHeight="1">
      <c r="A140" s="23" t="s">
        <v>65</v>
      </c>
      <c r="B140" s="25">
        <f>IF(AND(ISNUMBER(B137),ISNUMBER(Inputs!E273)),B137-Inputs!E273,"n/a")</f>
        <v>0.056343918283648375</v>
      </c>
      <c r="C140" s="71">
        <f t="shared" si="26" ref="C140:G177">IF(AND(ISNUMBER(C137),ISNUMBER(B137)),C137-B137,"n/a")</f>
        <v>-0.15203789489678016</v>
      </c>
      <c r="D140" s="71"/>
      <c r="E140" s="71">
        <f t="shared" si="36" ref="E140:E177">IF(AND(ISNUMBER(E137),ISNUMBER(C137)),E137-C137,"n/a")</f>
        <v>-0.10253325178488396</v>
      </c>
      <c r="F140" s="71">
        <f t="shared" si="26"/>
        <v>0.18043230399248836</v>
      </c>
      <c r="G140" s="70">
        <f t="shared" si="26"/>
        <v>-0.24468732816496142</v>
      </c>
      <c r="H140" s="2"/>
    </row>
    <row r="141" ht="15" customHeight="1">
      <c r="A141" s="29" t="s">
        <v>245</v>
      </c>
      <c r="B141" s="74">
        <v>0.39</v>
      </c>
      <c r="C141" s="74">
        <v>0.24</v>
      </c>
      <c r="D141" s="74">
        <v>1.08</v>
      </c>
      <c r="E141" s="74">
        <v>0.13</v>
      </c>
      <c r="F141" s="74">
        <v>0.32</v>
      </c>
      <c r="G141" s="69" t="s">
        <v>31</v>
      </c>
      <c r="H141" s="2"/>
    </row>
    <row r="142" ht="15" customHeight="1">
      <c r="A142" s="23" t="s">
        <v>246</v>
      </c>
      <c r="B142" s="71">
        <f t="shared" si="27" ref="B142:F179">ROUND(B137,2)-B141</f>
        <v>0</v>
      </c>
      <c r="C142" s="71">
        <f t="shared" si="27"/>
        <v>0</v>
      </c>
      <c r="D142" s="71">
        <f t="shared" si="27"/>
        <v>0</v>
      </c>
      <c r="E142" s="71">
        <f t="shared" si="27"/>
        <v>0</v>
      </c>
      <c r="F142" s="71">
        <f t="shared" si="27"/>
        <v>0</v>
      </c>
      <c r="G142" s="70">
        <f>G137*G131-G125</f>
        <v>0</v>
      </c>
      <c r="H142" s="2" t="s">
        <v>247</v>
      </c>
    </row>
    <row r="143" ht="15" customHeight="1">
      <c r="A143" s="3" t="s">
        <v>248</v>
      </c>
      <c r="B143" s="2"/>
      <c r="C143" s="2"/>
      <c r="D143" s="2"/>
      <c r="E143" s="2"/>
      <c r="F143" s="2"/>
      <c r="G143" s="28"/>
      <c r="H143" s="2"/>
    </row>
    <row r="144" ht="15" customHeight="1">
      <c r="A144" s="23" t="s">
        <v>249</v>
      </c>
      <c r="B144" s="15">
        <f t="shared" si="28" ref="B144:G144">B102/B27</f>
        <v>0.06972770955686065</v>
      </c>
      <c r="C144" s="15">
        <f t="shared" si="28"/>
        <v>0.04742781414401028</v>
      </c>
      <c r="D144" s="15">
        <f t="shared" si="28"/>
        <v>0.0556592531662923</v>
      </c>
      <c r="E144" s="15">
        <f t="shared" si="28"/>
        <v>0.033412248179747174</v>
      </c>
      <c r="F144" s="15">
        <f t="shared" si="28"/>
        <v>0.047067573310667236</v>
      </c>
      <c r="G144" s="33">
        <f t="shared" si="28"/>
        <v>0.019631813847617422</v>
      </c>
      <c r="H144" s="2"/>
    </row>
    <row r="145" ht="15" customHeight="1">
      <c r="A145" s="31" t="s">
        <v>68</v>
      </c>
      <c r="B145" s="48">
        <f>IF(AND(ISNUMBER(B144),ISNUMBER(Inputs!B275)),(B144-Inputs!B275)*10000,"n/a")</f>
        <v>-411.0542522194961</v>
      </c>
      <c r="C145" s="48">
        <f>IF(AND(ISNUMBER(C144),ISNUMBER(Inputs!C275)),(C144-Inputs!C275)*10000,"n/a")</f>
        <v>-507.55560034229103</v>
      </c>
      <c r="D145" s="48">
        <f>IF(AND(ISNUMBER(D144),ISNUMBER(Inputs!F275)),(D144-Inputs!F275)*10000,"n/a")</f>
        <v>-363.66542718649873</v>
      </c>
      <c r="E145" s="48">
        <f>IF(AND(ISNUMBER(E144),ISNUMBER(Inputs!D275)),(E144-Inputs!D275)*10000,"n/a")</f>
        <v>29.49357049672179</v>
      </c>
      <c r="F145" s="48">
        <f>IF(AND(ISNUMBER(F144),ISNUMBER(Inputs!E275)),(F144-Inputs!E275)*10000,"n/a")</f>
        <v>-217.8911232233418</v>
      </c>
      <c r="G145" s="39">
        <f t="shared" si="11"/>
        <v>-500.95895709243234</v>
      </c>
      <c r="H145" s="2"/>
    </row>
    <row r="146" ht="15" customHeight="1">
      <c r="A146" s="31" t="s">
        <v>69</v>
      </c>
      <c r="B146" s="48">
        <f>IF(AND(ISNUMBER(B144),ISNUMBER(Inputs!E275)),(B144-Inputs!E275)*10000,"n/a")</f>
        <v>8.710239238592376</v>
      </c>
      <c r="C146" s="38">
        <f t="shared" si="9"/>
        <v>-222.99895412850373</v>
      </c>
      <c r="D146" s="38"/>
      <c r="E146" s="38">
        <f t="shared" si="12"/>
        <v>-140.15565964263106</v>
      </c>
      <c r="F146" s="38">
        <f t="shared" si="9"/>
        <v>136.55325130920062</v>
      </c>
      <c r="G146" s="39">
        <f t="shared" si="9"/>
        <v>-274.35759463049817</v>
      </c>
      <c r="H146" s="2"/>
    </row>
    <row r="147" ht="15" customHeight="1">
      <c r="A147" s="23" t="s">
        <v>250</v>
      </c>
      <c r="B147" s="15">
        <f t="shared" si="29" ref="B147:G147">B117/B27</f>
        <v>0.04886990567716676</v>
      </c>
      <c r="C147" s="15">
        <f t="shared" si="29"/>
        <v>0.033733584996586484</v>
      </c>
      <c r="D147" s="15">
        <f t="shared" si="29"/>
        <v>0.04000970187815706</v>
      </c>
      <c r="E147" s="15">
        <f t="shared" si="29"/>
        <v>0.02130700853173717</v>
      </c>
      <c r="F147" s="15">
        <f t="shared" si="29"/>
        <v>0.039453180337158236</v>
      </c>
      <c r="G147" s="33">
        <f t="shared" si="29"/>
        <v>0.008749411353151628</v>
      </c>
      <c r="H147" s="2"/>
    </row>
    <row r="148" ht="15" customHeight="1">
      <c r="A148" s="31" t="s">
        <v>68</v>
      </c>
      <c r="B148" s="48">
        <f>IF(AND(ISNUMBER(B147),ISNUMBER(Inputs!B276)),(B147-Inputs!B276)*10000,"n/a")</f>
        <v>-374.218900499399</v>
      </c>
      <c r="C148" s="48">
        <f>IF(AND(ISNUMBER(C147),ISNUMBER(Inputs!C276)),(C147-Inputs!C276)*10000,"n/a")</f>
        <v>-490.4542461169142</v>
      </c>
      <c r="D148" s="48">
        <f>IF(AND(ISNUMBER(D147),ISNUMBER(Inputs!F276)),(D147-Inputs!F276)*10000,"n/a")</f>
        <v>-325.77052139654387</v>
      </c>
      <c r="E148" s="48">
        <f>IF(AND(ISNUMBER(E147),ISNUMBER(Inputs!D276)),(E147-Inputs!D276)*10000,"n/a")</f>
        <v>1.5365968250003608</v>
      </c>
      <c r="F148" s="48">
        <f>IF(AND(ISNUMBER(F147),ISNUMBER(Inputs!E276)),(F147-Inputs!E276)*10000,"n/a")</f>
        <v>-126.44970445203074</v>
      </c>
      <c r="G148" s="39">
        <f t="shared" si="11"/>
        <v>-401.2049432401513</v>
      </c>
      <c r="H148" s="2"/>
    </row>
    <row r="149" ht="15" customHeight="1">
      <c r="A149" s="31" t="s">
        <v>69</v>
      </c>
      <c r="B149" s="48">
        <f>IF(AND(ISNUMBER(B147),ISNUMBER(Inputs!E276)),(B147-Inputs!E276)*10000,"n/a")</f>
        <v>-32.28245105194552</v>
      </c>
      <c r="C149" s="38">
        <f t="shared" si="9"/>
        <v>-151.36320680580275</v>
      </c>
      <c r="D149" s="38"/>
      <c r="E149" s="38">
        <f t="shared" si="12"/>
        <v>-124.26576464849313</v>
      </c>
      <c r="F149" s="38">
        <f t="shared" si="9"/>
        <v>181.46171805421065</v>
      </c>
      <c r="G149" s="39">
        <f t="shared" si="9"/>
        <v>-307.0376898400661</v>
      </c>
      <c r="H149" s="2"/>
    </row>
    <row r="150" ht="15" customHeight="1">
      <c r="A150" s="3" t="s">
        <v>251</v>
      </c>
      <c r="B150" s="2"/>
      <c r="C150" s="2"/>
      <c r="D150" s="2"/>
      <c r="E150" s="2"/>
      <c r="F150" s="2"/>
      <c r="G150" s="28"/>
      <c r="H150" s="2"/>
    </row>
    <row r="151" ht="15" customHeight="1">
      <c r="A151" s="29" t="s">
        <v>235</v>
      </c>
      <c r="B151" s="14">
        <f t="shared" si="30" ref="B151:G151">B117</f>
        <v>1373</v>
      </c>
      <c r="C151" s="14">
        <f t="shared" si="30"/>
        <v>840</v>
      </c>
      <c r="D151" s="14">
        <f t="shared" si="30"/>
        <v>3794</v>
      </c>
      <c r="E151" s="14">
        <f t="shared" si="30"/>
        <v>477</v>
      </c>
      <c r="F151" s="14">
        <f t="shared" si="30"/>
        <v>1114</v>
      </c>
      <c r="G151" s="65">
        <f t="shared" si="30"/>
        <v>250.08912593252933</v>
      </c>
      <c r="H151" s="2"/>
    </row>
    <row r="152" ht="15" customHeight="1">
      <c r="A152" s="31" t="s">
        <v>72</v>
      </c>
      <c r="B152" s="24">
        <f>IF(AND(ISNUMBER(B151),ISNUMBER(Inputs!B277)),B151-Inputs!B277,"n/a")</f>
        <v>-800</v>
      </c>
      <c r="C152" s="24">
        <f>IF(AND(ISNUMBER(C151),ISNUMBER(Inputs!C277)),C151-Inputs!C277,"n/a")</f>
        <v>-1288</v>
      </c>
      <c r="D152" s="24">
        <f>IF(AND(ISNUMBER(D151),ISNUMBER(Inputs!F277)),D151-Inputs!F277,"n/a")</f>
        <v>-3297</v>
      </c>
      <c r="E152" s="24">
        <f>IF(AND(ISNUMBER(E151),ISNUMBER(Inputs!D277)),E151-Inputs!D277,"n/a")</f>
        <v>68</v>
      </c>
      <c r="F152" s="24">
        <f>IF(AND(ISNUMBER(F151),ISNUMBER(Inputs!E277)),F151-Inputs!E277,"n/a")</f>
        <v>-58</v>
      </c>
      <c r="G152" s="37">
        <f t="shared" si="1"/>
        <v>-1122.9108740674706</v>
      </c>
      <c r="H152" s="2"/>
    </row>
    <row r="153" ht="15" customHeight="1">
      <c r="A153" s="31" t="s">
        <v>65</v>
      </c>
      <c r="B153" s="24">
        <f>IF(AND(ISNUMBER(B151),ISNUMBER(Inputs!E277)),B151-Inputs!E277,"n/a")</f>
        <v>201</v>
      </c>
      <c r="C153" s="36">
        <f t="shared" si="0"/>
        <v>-533</v>
      </c>
      <c r="D153" s="36"/>
      <c r="E153" s="36">
        <f t="shared" si="2"/>
        <v>-363</v>
      </c>
      <c r="F153" s="36">
        <f t="shared" si="0"/>
        <v>637</v>
      </c>
      <c r="G153" s="37">
        <f t="shared" si="0"/>
        <v>-863.9108740674707</v>
      </c>
      <c r="H153" s="2"/>
    </row>
    <row r="154" ht="15" customHeight="1">
      <c r="A154" s="29" t="s">
        <v>252</v>
      </c>
      <c r="B154" s="40">
        <v>459</v>
      </c>
      <c r="C154" s="40">
        <v>682</v>
      </c>
      <c r="D154" s="13">
        <f>Inputs!D278+Inputs!E278+B154+C154</f>
        <v>2012</v>
      </c>
      <c r="E154" s="40">
        <v>803</v>
      </c>
      <c r="F154" s="40">
        <v>989</v>
      </c>
      <c r="G154" s="65">
        <f>G181*(1-G184)</f>
        <v>1049.2</v>
      </c>
      <c r="H154" s="2"/>
    </row>
    <row r="155" ht="15" customHeight="1">
      <c r="A155" s="31" t="s">
        <v>72</v>
      </c>
      <c r="B155" s="24">
        <f>IF(AND(ISNUMBER(B154),ISNUMBER(Inputs!B278)),B154-Inputs!B278,"n/a")</f>
        <v>121</v>
      </c>
      <c r="C155" s="24">
        <f>IF(AND(ISNUMBER(C154),ISNUMBER(Inputs!C278)),C154-Inputs!C278,"n/a")</f>
        <v>433</v>
      </c>
      <c r="D155" s="24">
        <f>IF(AND(ISNUMBER(D154),ISNUMBER(Inputs!F278)),D154-Inputs!F278,"n/a")</f>
        <v>684</v>
      </c>
      <c r="E155" s="24">
        <f>IF(AND(ISNUMBER(E154),ISNUMBER(Inputs!D278)),E154-Inputs!D278,"n/a")</f>
        <v>375</v>
      </c>
      <c r="F155" s="24">
        <f>IF(AND(ISNUMBER(F154),ISNUMBER(Inputs!E278)),F154-Inputs!E278,"n/a")</f>
        <v>546</v>
      </c>
      <c r="G155" s="37">
        <f t="shared" si="1"/>
        <v>590.2</v>
      </c>
      <c r="H155" s="2"/>
    </row>
    <row r="156" ht="15" customHeight="1">
      <c r="A156" s="31" t="s">
        <v>65</v>
      </c>
      <c r="B156" s="24">
        <f>IF(AND(ISNUMBER(B154),ISNUMBER(Inputs!E278)),B154-Inputs!E278,"n/a")</f>
        <v>16</v>
      </c>
      <c r="C156" s="36">
        <f t="shared" si="0"/>
        <v>223</v>
      </c>
      <c r="D156" s="36"/>
      <c r="E156" s="36">
        <f t="shared" si="2"/>
        <v>121</v>
      </c>
      <c r="F156" s="36">
        <f t="shared" si="0"/>
        <v>186</v>
      </c>
      <c r="G156" s="37">
        <f t="shared" si="0"/>
        <v>60.200000000000045</v>
      </c>
      <c r="H156" s="2"/>
    </row>
    <row r="157" ht="15" customHeight="1">
      <c r="A157" s="29" t="s">
        <v>253</v>
      </c>
      <c r="B157" s="40">
        <v>-62</v>
      </c>
      <c r="C157" s="40">
        <v>239</v>
      </c>
      <c r="D157" s="13">
        <f>Inputs!D279+Inputs!E279+B157+C157</f>
        <v>52</v>
      </c>
      <c r="E157" s="40">
        <v>173</v>
      </c>
      <c r="F157" s="40">
        <v>87</v>
      </c>
      <c r="G157" s="65">
        <f t="shared" si="31" ref="G157:G160">G93*(1-G187)</f>
        <v>-224.39586670232313</v>
      </c>
      <c r="H157" s="2"/>
    </row>
    <row r="158" ht="15" customHeight="1">
      <c r="A158" s="31" t="s">
        <v>72</v>
      </c>
      <c r="B158" s="24">
        <f>IF(AND(ISNUMBER(B157),ISNUMBER(Inputs!B279)),B157-Inputs!B279,"n/a")</f>
        <v>-56</v>
      </c>
      <c r="C158" s="24">
        <f>IF(AND(ISNUMBER(C157),ISNUMBER(Inputs!C279)),C157-Inputs!C279,"n/a")</f>
        <v>509</v>
      </c>
      <c r="D158" s="24">
        <f>IF(AND(ISNUMBER(D157),ISNUMBER(Inputs!F279)),D157-Inputs!F279,"n/a")</f>
        <v>511</v>
      </c>
      <c r="E158" s="24">
        <f>IF(AND(ISNUMBER(E157),ISNUMBER(Inputs!D279)),E157-Inputs!D279,"n/a")</f>
        <v>76</v>
      </c>
      <c r="F158" s="24">
        <f>IF(AND(ISNUMBER(F157),ISNUMBER(Inputs!E279)),F157-Inputs!E279,"n/a")</f>
        <v>309</v>
      </c>
      <c r="G158" s="37">
        <f t="shared" si="1"/>
        <v>-162.39586670232313</v>
      </c>
      <c r="H158" s="2"/>
    </row>
    <row r="159" ht="15" customHeight="1">
      <c r="A159" s="31" t="s">
        <v>65</v>
      </c>
      <c r="B159" s="24">
        <f>IF(AND(ISNUMBER(B157),ISNUMBER(Inputs!E279)),B157-Inputs!E279,"n/a")</f>
        <v>160</v>
      </c>
      <c r="C159" s="36">
        <f t="shared" si="0"/>
        <v>301</v>
      </c>
      <c r="D159" s="36"/>
      <c r="E159" s="36">
        <f t="shared" si="2"/>
        <v>-66</v>
      </c>
      <c r="F159" s="36">
        <f t="shared" si="0"/>
        <v>-86</v>
      </c>
      <c r="G159" s="37">
        <f t="shared" si="0"/>
        <v>-311.39586670232313</v>
      </c>
      <c r="H159" s="2"/>
    </row>
    <row r="160" ht="15" customHeight="1">
      <c r="A160" s="29" t="s">
        <v>254</v>
      </c>
      <c r="B160" s="40">
        <v>0</v>
      </c>
      <c r="C160" s="40">
        <v>0</v>
      </c>
      <c r="D160" s="13">
        <f>Inputs!D280+Inputs!E280+B160+C160</f>
        <v>0</v>
      </c>
      <c r="E160" s="40">
        <v>0</v>
      </c>
      <c r="F160" s="40">
        <v>763</v>
      </c>
      <c r="G160" s="65">
        <f t="shared" si="31"/>
        <v>-267.5079012056655</v>
      </c>
      <c r="H160" s="2"/>
    </row>
    <row r="161" ht="15" customHeight="1">
      <c r="A161" s="31" t="s">
        <v>72</v>
      </c>
      <c r="B161" s="24">
        <f>IF(AND(ISNUMBER(B160),ISNUMBER(Inputs!B280)),B160-Inputs!B280,"n/a")</f>
        <v>0</v>
      </c>
      <c r="C161" s="24">
        <f>IF(AND(ISNUMBER(C160),ISNUMBER(Inputs!C280)),C160-Inputs!C280,"n/a")</f>
        <v>0</v>
      </c>
      <c r="D161" s="24">
        <f>IF(AND(ISNUMBER(D160),ISNUMBER(Inputs!F280)),D160-Inputs!F280,"n/a")</f>
        <v>0</v>
      </c>
      <c r="E161" s="24">
        <f>IF(AND(ISNUMBER(E160),ISNUMBER(Inputs!D280)),E160-Inputs!D280,"n/a")</f>
        <v>0</v>
      </c>
      <c r="F161" s="24">
        <f>IF(AND(ISNUMBER(F160),ISNUMBER(Inputs!E280)),F160-Inputs!E280,"n/a")</f>
        <v>763</v>
      </c>
      <c r="G161" s="37">
        <f t="shared" si="1"/>
        <v>-267.5079012056655</v>
      </c>
      <c r="H161" s="2"/>
    </row>
    <row r="162" ht="15" customHeight="1">
      <c r="A162" s="31" t="s">
        <v>65</v>
      </c>
      <c r="B162" s="24">
        <f>IF(AND(ISNUMBER(B160),ISNUMBER(Inputs!E280)),B160-Inputs!E280,"n/a")</f>
        <v>0</v>
      </c>
      <c r="C162" s="36">
        <f t="shared" si="0"/>
        <v>0</v>
      </c>
      <c r="D162" s="36"/>
      <c r="E162" s="36">
        <f t="shared" si="2"/>
        <v>0</v>
      </c>
      <c r="F162" s="36">
        <f t="shared" si="0"/>
        <v>763</v>
      </c>
      <c r="G162" s="37">
        <f t="shared" si="0"/>
        <v>-1030.5079012056656</v>
      </c>
      <c r="H162" s="2"/>
    </row>
    <row r="163" ht="15" customHeight="1">
      <c r="A163" s="29" t="s">
        <v>255</v>
      </c>
      <c r="B163" s="40">
        <v>0</v>
      </c>
      <c r="C163" s="40">
        <v>0</v>
      </c>
      <c r="D163" s="13">
        <f>Inputs!D281+Inputs!E281+B163+C163</f>
        <v>0</v>
      </c>
      <c r="E163" s="40">
        <v>0</v>
      </c>
      <c r="F163" s="40">
        <v>-274</v>
      </c>
      <c r="G163" s="41">
        <v>0</v>
      </c>
      <c r="H163" s="2" t="s">
        <v>239</v>
      </c>
    </row>
    <row r="164" ht="15" customHeight="1">
      <c r="A164" s="31" t="s">
        <v>72</v>
      </c>
      <c r="B164" s="24">
        <f>IF(AND(ISNUMBER(B163),ISNUMBER(Inputs!B281)),B163-Inputs!B281,"n/a")</f>
        <v>0</v>
      </c>
      <c r="C164" s="24">
        <f>IF(AND(ISNUMBER(C163),ISNUMBER(Inputs!C281)),C163-Inputs!C281,"n/a")</f>
        <v>0</v>
      </c>
      <c r="D164" s="24">
        <f>IF(AND(ISNUMBER(D163),ISNUMBER(Inputs!F281)),D163-Inputs!F281,"n/a")</f>
        <v>0</v>
      </c>
      <c r="E164" s="24">
        <f>IF(AND(ISNUMBER(E163),ISNUMBER(Inputs!D281)),E163-Inputs!D281,"n/a")</f>
        <v>0</v>
      </c>
      <c r="F164" s="24">
        <f>IF(AND(ISNUMBER(F163),ISNUMBER(Inputs!E281)),F163-Inputs!E281,"n/a")</f>
        <v>-274</v>
      </c>
      <c r="G164" s="37">
        <f t="shared" si="1"/>
        <v>0</v>
      </c>
      <c r="H164" s="2"/>
    </row>
    <row r="165" ht="15" customHeight="1">
      <c r="A165" s="31" t="s">
        <v>65</v>
      </c>
      <c r="B165" s="24">
        <f>IF(AND(ISNUMBER(B163),ISNUMBER(Inputs!E281)),B163-Inputs!E281,"n/a")</f>
        <v>0</v>
      </c>
      <c r="C165" s="36">
        <f t="shared" si="0"/>
        <v>0</v>
      </c>
      <c r="D165" s="36"/>
      <c r="E165" s="36">
        <f t="shared" si="2"/>
        <v>0</v>
      </c>
      <c r="F165" s="36">
        <f t="shared" si="0"/>
        <v>-274</v>
      </c>
      <c r="G165" s="37">
        <f t="shared" si="0"/>
        <v>274</v>
      </c>
      <c r="H165" s="2"/>
    </row>
    <row r="166" ht="15" customHeight="1">
      <c r="A166" s="3" t="s">
        <v>256</v>
      </c>
      <c r="B166" s="34">
        <f t="shared" si="32" ref="B166:G166">B151+B154+B157-B160+B163</f>
        <v>1770</v>
      </c>
      <c r="C166" s="34">
        <f t="shared" si="32"/>
        <v>1761</v>
      </c>
      <c r="D166" s="34">
        <f t="shared" si="32"/>
        <v>5858</v>
      </c>
      <c r="E166" s="34">
        <f t="shared" si="32"/>
        <v>1453</v>
      </c>
      <c r="F166" s="34">
        <f t="shared" si="32"/>
        <v>1153</v>
      </c>
      <c r="G166" s="35">
        <f t="shared" si="32"/>
        <v>1342.4011604358718</v>
      </c>
      <c r="H166" s="2"/>
    </row>
    <row r="167" ht="15" customHeight="1">
      <c r="A167" s="23" t="s">
        <v>60</v>
      </c>
      <c r="B167" s="32">
        <f>IF(AND(ISNUMBER(B166),ISNUMBER(Inputs!B282)),IF(Inputs!B282&gt;0,B166/Inputs!B282-1,"n/m"),"n/a")</f>
        <v>-0.2934131736526946</v>
      </c>
      <c r="C167" s="32">
        <f>IF(AND(ISNUMBER(C166),ISNUMBER(Inputs!C282)),IF(Inputs!C282&gt;0,C166/Inputs!C282-1,"n/m"),"n/a")</f>
        <v>-0.1642145230185097</v>
      </c>
      <c r="D167" s="32">
        <f>IF(AND(ISNUMBER(D166),ISNUMBER(Inputs!F282)),IF(Inputs!F282&gt;0,D166/Inputs!F282-1,"n/m"),"n/a")</f>
        <v>-0.264070351758794</v>
      </c>
      <c r="E167" s="32">
        <f>IF(AND(ISNUMBER(E166),ISNUMBER(Inputs!D282)),IF(Inputs!D282&gt;0,E166/Inputs!D282-1,"n/m"),"n/a")</f>
        <v>0.5556745182012848</v>
      </c>
      <c r="F167" s="32">
        <f>IF(AND(ISNUMBER(F166),ISNUMBER(Inputs!E282)),IF(Inputs!E282&gt;0,F166/Inputs!E282-1,"n/m"),"n/a")</f>
        <v>-0.17229002153625272</v>
      </c>
      <c r="G167" s="33">
        <f t="shared" si="7"/>
        <v>-0.24158126529046786</v>
      </c>
      <c r="H167" s="2"/>
    </row>
    <row r="168" ht="15" customHeight="1">
      <c r="A168" s="23" t="s">
        <v>65</v>
      </c>
      <c r="B168" s="24">
        <f>IF(AND(ISNUMBER(B166),ISNUMBER(Inputs!E282)),B166-Inputs!E282,"n/a")</f>
        <v>377</v>
      </c>
      <c r="C168" s="36">
        <f t="shared" si="0"/>
        <v>-9</v>
      </c>
      <c r="D168" s="36"/>
      <c r="E168" s="36">
        <f t="shared" si="2"/>
        <v>-308</v>
      </c>
      <c r="F168" s="36">
        <f t="shared" si="0"/>
        <v>-300</v>
      </c>
      <c r="G168" s="37">
        <f t="shared" si="0"/>
        <v>189.40116043587182</v>
      </c>
      <c r="H168" s="2"/>
    </row>
    <row r="169" ht="15" customHeight="1">
      <c r="A169" s="29" t="s">
        <v>257</v>
      </c>
      <c r="B169" s="40">
        <v>1770</v>
      </c>
      <c r="C169" s="40">
        <v>1761</v>
      </c>
      <c r="D169" s="40">
        <v>5858</v>
      </c>
      <c r="E169" s="40">
        <v>1453</v>
      </c>
      <c r="F169" s="40">
        <v>1153</v>
      </c>
      <c r="G169" s="65" t="s">
        <v>31</v>
      </c>
      <c r="H169" s="2"/>
    </row>
    <row r="170" ht="15" customHeight="1">
      <c r="A170" s="23" t="s">
        <v>258</v>
      </c>
      <c r="B170" s="36">
        <f t="shared" si="22"/>
        <v>0</v>
      </c>
      <c r="C170" s="36">
        <f t="shared" si="22"/>
        <v>0</v>
      </c>
      <c r="D170" s="36">
        <f t="shared" si="22"/>
        <v>0</v>
      </c>
      <c r="E170" s="36">
        <f t="shared" si="22"/>
        <v>0</v>
      </c>
      <c r="F170" s="36">
        <f t="shared" si="22"/>
        <v>0</v>
      </c>
      <c r="G170" s="37" t="s">
        <v>31</v>
      </c>
      <c r="H170" s="2"/>
    </row>
    <row r="171" ht="15" customHeight="1">
      <c r="A171" s="3" t="s">
        <v>259</v>
      </c>
      <c r="B171" s="34">
        <f t="shared" si="33" ref="B171:G171">B166+B122</f>
        <v>1770</v>
      </c>
      <c r="C171" s="34">
        <f t="shared" si="33"/>
        <v>1761</v>
      </c>
      <c r="D171" s="34">
        <f t="shared" si="33"/>
        <v>5858</v>
      </c>
      <c r="E171" s="34">
        <f t="shared" si="33"/>
        <v>1453</v>
      </c>
      <c r="F171" s="34">
        <f t="shared" si="33"/>
        <v>1155</v>
      </c>
      <c r="G171" s="35">
        <f t="shared" si="33"/>
        <v>1342.4011604358718</v>
      </c>
      <c r="H171" s="2"/>
    </row>
    <row r="172" ht="15" customHeight="1">
      <c r="A172" s="23" t="s">
        <v>72</v>
      </c>
      <c r="B172" s="24">
        <f>IF(AND(ISNUMBER(B171),ISNUMBER(Inputs!B284)),B171-Inputs!B284,"n/a")</f>
        <v>-735</v>
      </c>
      <c r="C172" s="24">
        <f>IF(AND(ISNUMBER(C171),ISNUMBER(Inputs!C284)),C171-Inputs!C284,"n/a")</f>
        <v>-343</v>
      </c>
      <c r="D172" s="24">
        <f>IF(AND(ISNUMBER(D171),ISNUMBER(Inputs!F284)),D171-Inputs!F284,"n/a")</f>
        <v>-2141</v>
      </c>
      <c r="E172" s="24">
        <f>IF(AND(ISNUMBER(E171),ISNUMBER(Inputs!D284)),E171-Inputs!D284,"n/a")</f>
        <v>519</v>
      </c>
      <c r="F172" s="24">
        <f>IF(AND(ISNUMBER(F171),ISNUMBER(Inputs!E284)),F171-Inputs!E284,"n/a")</f>
        <v>-238</v>
      </c>
      <c r="G172" s="37">
        <f t="shared" si="1"/>
        <v>-427.5988395641282</v>
      </c>
      <c r="H172" s="2"/>
    </row>
    <row r="173" ht="15" customHeight="1">
      <c r="A173" s="23" t="s">
        <v>65</v>
      </c>
      <c r="B173" s="24">
        <f>IF(AND(ISNUMBER(B171),ISNUMBER(Inputs!E284)),B171-Inputs!E284,"n/a")</f>
        <v>377</v>
      </c>
      <c r="C173" s="36">
        <f t="shared" si="0"/>
        <v>-9</v>
      </c>
      <c r="D173" s="36"/>
      <c r="E173" s="36">
        <f t="shared" si="2"/>
        <v>-308</v>
      </c>
      <c r="F173" s="36">
        <f t="shared" si="0"/>
        <v>-298</v>
      </c>
      <c r="G173" s="37">
        <f t="shared" si="0"/>
        <v>187.40116043587182</v>
      </c>
      <c r="H173" s="2"/>
    </row>
    <row r="174" ht="15" customHeight="1">
      <c r="A174" s="3" t="s">
        <v>260</v>
      </c>
      <c r="B174" s="72">
        <f t="shared" si="34" ref="B174:G174">B171/B131</f>
        <v>0.5019852524106636</v>
      </c>
      <c r="C174" s="72">
        <f t="shared" si="34"/>
        <v>0.49759819157954227</v>
      </c>
      <c r="D174" s="72">
        <f t="shared" si="34"/>
        <v>1.6604308390022675</v>
      </c>
      <c r="E174" s="72">
        <f t="shared" si="34"/>
        <v>0.4106840022611645</v>
      </c>
      <c r="F174" s="72">
        <f t="shared" si="34"/>
        <v>0.326271186440678</v>
      </c>
      <c r="G174" s="73">
        <f t="shared" si="34"/>
        <v>0.37878136581147626</v>
      </c>
      <c r="H174" s="2"/>
    </row>
    <row r="175" ht="15" customHeight="1">
      <c r="A175" s="23" t="s">
        <v>60</v>
      </c>
      <c r="B175" s="32">
        <f>IF(AND(ISNUMBER(B174),ISNUMBER(Inputs!B285)),IF(Inputs!B285&gt;0,B174/Inputs!B285-1,"n/m"),"n/a")</f>
        <v>-0.29922457976842687</v>
      </c>
      <c r="C175" s="32">
        <f>IF(AND(ISNUMBER(C174),ISNUMBER(Inputs!C285)),IF(Inputs!C285&gt;0,C174/Inputs!C285-1,"n/m"),"n/a")</f>
        <v>-0.1682258366039685</v>
      </c>
      <c r="D175" s="32">
        <f>IF(AND(ISNUMBER(D174),ISNUMBER(Inputs!F285)),IF(Inputs!F285&gt;0,D174/Inputs!F285-1,"n/m"),"n/a")</f>
        <v>-0.27388585137768073</v>
      </c>
      <c r="E175" s="32">
        <f>IF(AND(ISNUMBER(E174),ISNUMBER(Inputs!D285)),IF(Inputs!D285&gt;0,E174/Inputs!D285-1,"n/m"),"n/a")</f>
        <v>0.5481995417147327</v>
      </c>
      <c r="F175" s="32">
        <f>IF(AND(ISNUMBER(F174),ISNUMBER(Inputs!E285)),IF(Inputs!E285&gt;0,F174/Inputs!E285-1,"n/m"),"n/a")</f>
        <v>-0.17577293245890468</v>
      </c>
      <c r="G175" s="33">
        <f t="shared" si="7"/>
        <v>-0.24543327918007607</v>
      </c>
      <c r="H175" s="2"/>
    </row>
    <row r="176" ht="15" customHeight="1">
      <c r="A176" s="23" t="s">
        <v>72</v>
      </c>
      <c r="B176" s="25">
        <f>IF(AND(ISNUMBER(B174),ISNUMBER(Inputs!B285)),B174-Inputs!B285,"n/a")</f>
        <v>-0.21434302897337987</v>
      </c>
      <c r="C176" s="25">
        <f>IF(AND(ISNUMBER(C174),ISNUMBER(Inputs!C285)),C174-Inputs!C285,"n/a")</f>
        <v>-0.10063894234141307</v>
      </c>
      <c r="D176" s="25">
        <f>IF(AND(ISNUMBER(D174),ISNUMBER(Inputs!F285)),D174-Inputs!F285,"n/a")</f>
        <v>-0.6263044382990475</v>
      </c>
      <c r="E176" s="25">
        <f>IF(AND(ISNUMBER(E174),ISNUMBER(Inputs!D285)),E174-Inputs!D285,"n/a")</f>
        <v>0.14541845270138037</v>
      </c>
      <c r="F176" s="25">
        <f>IF(AND(ISNUMBER(F174),ISNUMBER(Inputs!E285)),F174-Inputs!E285,"n/a")</f>
        <v>-0.06957990762013477</v>
      </c>
      <c r="G176" s="70">
        <f t="shared" si="35"/>
        <v>-0.12320388659918735</v>
      </c>
      <c r="H176" s="2"/>
    </row>
    <row r="177" ht="15" customHeight="1">
      <c r="A177" s="23" t="s">
        <v>65</v>
      </c>
      <c r="B177" s="25">
        <f>IF(AND(ISNUMBER(B174),ISNUMBER(Inputs!E285)),B174-Inputs!E285,"n/a")</f>
        <v>0.10613415834985085</v>
      </c>
      <c r="C177" s="71">
        <f t="shared" si="26"/>
        <v>-0.004387060831121337</v>
      </c>
      <c r="D177" s="71"/>
      <c r="E177" s="71">
        <f t="shared" si="36"/>
        <v>-0.08691418931837774</v>
      </c>
      <c r="F177" s="71">
        <f t="shared" si="26"/>
        <v>-0.08441281582048654</v>
      </c>
      <c r="G177" s="70">
        <f t="shared" si="26"/>
        <v>0.05251017937079827</v>
      </c>
      <c r="H177" s="2"/>
    </row>
    <row r="178" ht="15" customHeight="1">
      <c r="A178" s="29" t="s">
        <v>261</v>
      </c>
      <c r="B178" s="74">
        <v>0.5</v>
      </c>
      <c r="C178" s="74">
        <v>0.5</v>
      </c>
      <c r="D178" s="74">
        <v>1.66</v>
      </c>
      <c r="E178" s="74">
        <v>0.41</v>
      </c>
      <c r="F178" s="74">
        <v>0.33</v>
      </c>
      <c r="G178" s="69" t="s">
        <v>31</v>
      </c>
      <c r="H178" s="2"/>
    </row>
    <row r="179" ht="15" customHeight="1">
      <c r="A179" s="23" t="s">
        <v>262</v>
      </c>
      <c r="B179" s="71">
        <f t="shared" si="27"/>
        <v>0</v>
      </c>
      <c r="C179" s="71">
        <f t="shared" si="27"/>
        <v>0</v>
      </c>
      <c r="D179" s="71">
        <f t="shared" si="27"/>
        <v>0</v>
      </c>
      <c r="E179" s="71">
        <f t="shared" si="27"/>
        <v>0</v>
      </c>
      <c r="F179" s="71">
        <f t="shared" si="27"/>
        <v>0</v>
      </c>
      <c r="G179" s="70" t="s">
        <v>31</v>
      </c>
      <c r="H179" s="2"/>
    </row>
    <row r="180" ht="15" customHeight="1">
      <c r="A180" s="3" t="s">
        <v>263</v>
      </c>
      <c r="B180" s="2"/>
      <c r="C180" s="2"/>
      <c r="D180" s="2"/>
      <c r="E180" s="2"/>
      <c r="F180" s="2"/>
      <c r="G180" s="28"/>
      <c r="H180" s="2"/>
    </row>
    <row r="181" ht="15" customHeight="1">
      <c r="A181" s="29" t="s">
        <v>264</v>
      </c>
      <c r="B181" s="40">
        <v>663</v>
      </c>
      <c r="C181" s="40">
        <v>954</v>
      </c>
      <c r="D181" s="13">
        <f>Inputs!D287+Inputs!E287+B181+C181</f>
        <v>2825</v>
      </c>
      <c r="E181" s="40">
        <v>1030</v>
      </c>
      <c r="F181" s="40">
        <v>1151</v>
      </c>
      <c r="G181" s="41">
        <v>1220</v>
      </c>
      <c r="H181" s="2" t="s">
        <v>265</v>
      </c>
    </row>
    <row r="182" ht="15" customHeight="1">
      <c r="A182" s="31" t="s">
        <v>60</v>
      </c>
      <c r="B182" s="32">
        <f>IF(AND(ISNUMBER(B181),ISNUMBER(Inputs!B287)),IF(Inputs!B287&gt;0,B181/Inputs!B287-1,"n/m"),"n/a")</f>
        <v>0.450765864332604</v>
      </c>
      <c r="C182" s="32">
        <f>IF(AND(ISNUMBER(C181),ISNUMBER(Inputs!C287)),IF(Inputs!C287&gt;0,C181/Inputs!C287-1,"n/m"),"n/a")</f>
        <v>0.6476683937823835</v>
      </c>
      <c r="D182" s="32">
        <f>IF(AND(ISNUMBER(D181),ISNUMBER(Inputs!F287)),IF(Inputs!F287&gt;0,D181/Inputs!F287-1,"n/m"),"n/a")</f>
        <v>0.4132066033016508</v>
      </c>
      <c r="E182" s="32">
        <f>IF(AND(ISNUMBER(E181),ISNUMBER(Inputs!D287)),IF(Inputs!D287&gt;0,E181/Inputs!D287-1,"n/m"),"n/a")</f>
        <v>0.7975567190226875</v>
      </c>
      <c r="F182" s="32">
        <f>IF(AND(ISNUMBER(F181),ISNUMBER(Inputs!E287)),IF(Inputs!E287&gt;0,F181/Inputs!E287-1,"n/m"),"n/a")</f>
        <v>0.8125984251968503</v>
      </c>
      <c r="G182" s="33">
        <f t="shared" si="7"/>
        <v>0.8401206636500753</v>
      </c>
      <c r="H182" s="2"/>
    </row>
    <row r="183" ht="15" customHeight="1">
      <c r="A183" s="31" t="s">
        <v>65</v>
      </c>
      <c r="B183" s="24">
        <f>IF(AND(ISNUMBER(B181),ISNUMBER(Inputs!E287)),B181-Inputs!E287,"n/a")</f>
        <v>28</v>
      </c>
      <c r="C183" s="36">
        <f t="shared" si="0"/>
        <v>291</v>
      </c>
      <c r="D183" s="36"/>
      <c r="E183" s="36">
        <f t="shared" si="2"/>
        <v>76</v>
      </c>
      <c r="F183" s="36">
        <f t="shared" si="0"/>
        <v>121</v>
      </c>
      <c r="G183" s="37">
        <f t="shared" si="0"/>
        <v>69</v>
      </c>
      <c r="H183" s="2"/>
    </row>
    <row r="184" ht="15" customHeight="1">
      <c r="A184" s="31" t="s">
        <v>266</v>
      </c>
      <c r="B184" s="15">
        <f t="shared" si="37" ref="B184:F184">IF(B181&lt;&gt;0,(B181-B154)/B181,"n/a")</f>
        <v>0.3076923076923077</v>
      </c>
      <c r="C184" s="15">
        <f t="shared" si="37"/>
        <v>0.2851153039832285</v>
      </c>
      <c r="D184" s="15">
        <f t="shared" si="37"/>
        <v>0.287787610619469</v>
      </c>
      <c r="E184" s="15">
        <f t="shared" si="37"/>
        <v>0.2203883495145631</v>
      </c>
      <c r="F184" s="15">
        <f t="shared" si="37"/>
        <v>0.14074717636837533</v>
      </c>
      <c r="G184" s="43">
        <v>0.14</v>
      </c>
      <c r="H184" s="2" t="s">
        <v>267</v>
      </c>
    </row>
    <row r="185" ht="15" customHeight="1">
      <c r="A185" s="67" t="s">
        <v>68</v>
      </c>
      <c r="B185" s="38" t="s">
        <v>31</v>
      </c>
      <c r="C185" s="38" t="s">
        <v>31</v>
      </c>
      <c r="D185" s="38" t="s">
        <v>31</v>
      </c>
      <c r="E185" s="38" t="s">
        <v>31</v>
      </c>
      <c r="F185" s="38" t="s">
        <v>31</v>
      </c>
      <c r="G185" s="39">
        <f t="shared" si="11"/>
        <v>-1676.923076923077</v>
      </c>
      <c r="H185" s="2" t="s">
        <v>268</v>
      </c>
    </row>
    <row r="186" ht="15" customHeight="1">
      <c r="A186" s="67" t="s">
        <v>69</v>
      </c>
      <c r="B186" s="38" t="s">
        <v>31</v>
      </c>
      <c r="C186" s="38">
        <f t="shared" si="9"/>
        <v>-225.77003709079224</v>
      </c>
      <c r="D186" s="38"/>
      <c r="E186" s="38">
        <f t="shared" si="12"/>
        <v>-647.2695446866538</v>
      </c>
      <c r="F186" s="38">
        <f t="shared" si="9"/>
        <v>-796.4117314618777</v>
      </c>
      <c r="G186" s="39">
        <f t="shared" si="9"/>
        <v>-7.471763683753185</v>
      </c>
      <c r="H186" s="2"/>
    </row>
    <row r="187" ht="15" customHeight="1">
      <c r="A187" s="31" t="s">
        <v>269</v>
      </c>
      <c r="B187" s="15">
        <f t="shared" si="38" ref="B187:F190">IF(B93&lt;&gt;0,(B93-B157)/B93,"n/a")</f>
        <v>0.225</v>
      </c>
      <c r="C187" s="15">
        <f t="shared" si="38"/>
        <v>0.22149837133550487</v>
      </c>
      <c r="D187" s="15">
        <f t="shared" si="38"/>
        <v>0.23529411764705882</v>
      </c>
      <c r="E187" s="15">
        <f t="shared" si="38"/>
        <v>0.22072072072072071</v>
      </c>
      <c r="F187" s="15">
        <f t="shared" si="38"/>
        <v>0.22321428571428573</v>
      </c>
      <c r="G187" s="43">
        <v>0.22</v>
      </c>
      <c r="H187" s="2" t="s">
        <v>270</v>
      </c>
    </row>
    <row r="188" ht="15" customHeight="1">
      <c r="A188" s="67" t="s">
        <v>68</v>
      </c>
      <c r="B188" s="38" t="s">
        <v>31</v>
      </c>
      <c r="C188" s="38" t="s">
        <v>31</v>
      </c>
      <c r="D188" s="38" t="s">
        <v>31</v>
      </c>
      <c r="E188" s="38" t="s">
        <v>31</v>
      </c>
      <c r="F188" s="38" t="s">
        <v>31</v>
      </c>
      <c r="G188" s="39">
        <f t="shared" si="11"/>
        <v>-50.00000000000004</v>
      </c>
      <c r="H188" s="2" t="s">
        <v>271</v>
      </c>
    </row>
    <row r="189" ht="15" customHeight="1">
      <c r="A189" s="67" t="s">
        <v>69</v>
      </c>
      <c r="B189" s="38" t="s">
        <v>31</v>
      </c>
      <c r="C189" s="38">
        <f t="shared" si="9"/>
        <v>-35.01628664495132</v>
      </c>
      <c r="D189" s="38"/>
      <c r="E189" s="38">
        <f t="shared" si="12"/>
        <v>-7.776506147841589</v>
      </c>
      <c r="F189" s="38">
        <f t="shared" si="9"/>
        <v>24.93564993565012</v>
      </c>
      <c r="G189" s="39">
        <f t="shared" si="9"/>
        <v>-32.14285714285725</v>
      </c>
      <c r="H189" s="2"/>
    </row>
    <row r="190" ht="15" customHeight="1">
      <c r="A190" s="31" t="s">
        <v>272</v>
      </c>
      <c r="B190" s="15" t="str">
        <f t="shared" si="38"/>
        <v>n/a</v>
      </c>
      <c r="C190" s="15" t="str">
        <f t="shared" si="38"/>
        <v>n/a</v>
      </c>
      <c r="D190" s="15" t="str">
        <f t="shared" si="38"/>
        <v>n/a</v>
      </c>
      <c r="E190" s="15" t="str">
        <f t="shared" si="38"/>
        <v>n/a</v>
      </c>
      <c r="F190" s="15">
        <f t="shared" si="38"/>
        <v>0.2407960199004975</v>
      </c>
      <c r="G190" s="43">
        <v>0.24</v>
      </c>
      <c r="H190" s="2" t="s">
        <v>273</v>
      </c>
    </row>
    <row r="191" ht="15" customHeight="1">
      <c r="A191" s="67" t="s">
        <v>68</v>
      </c>
      <c r="B191" s="38" t="s">
        <v>31</v>
      </c>
      <c r="C191" s="38" t="s">
        <v>31</v>
      </c>
      <c r="D191" s="38" t="s">
        <v>31</v>
      </c>
      <c r="E191" s="38" t="s">
        <v>31</v>
      </c>
      <c r="F191" s="38" t="s">
        <v>31</v>
      </c>
      <c r="G191" s="39" t="str">
        <f t="shared" si="11"/>
        <v>n/a</v>
      </c>
      <c r="H191" s="2"/>
    </row>
    <row r="192" ht="15" customHeight="1">
      <c r="A192" s="67" t="s">
        <v>69</v>
      </c>
      <c r="B192" s="38" t="s">
        <v>31</v>
      </c>
      <c r="C192" s="38" t="str">
        <f t="shared" si="9"/>
        <v>n/a</v>
      </c>
      <c r="D192" s="38"/>
      <c r="E192" s="38" t="str">
        <f t="shared" si="12"/>
        <v>n/a</v>
      </c>
      <c r="F192" s="38" t="str">
        <f t="shared" si="9"/>
        <v>n/a</v>
      </c>
      <c r="G192" s="39">
        <f t="shared" si="9"/>
        <v>-7.960199004975188</v>
      </c>
      <c r="H192" s="2"/>
    </row>
    <row r="193" ht="15" customHeight="1">
      <c r="A193" s="3" t="s">
        <v>274</v>
      </c>
      <c r="B193" s="34">
        <f t="shared" si="39" ref="B193:G193">B102+B181+B93-B96</f>
        <v>2542</v>
      </c>
      <c r="C193" s="34">
        <f t="shared" si="39"/>
        <v>2442</v>
      </c>
      <c r="D193" s="34">
        <f t="shared" si="39"/>
        <v>8171</v>
      </c>
      <c r="E193" s="34">
        <f t="shared" si="39"/>
        <v>2000</v>
      </c>
      <c r="F193" s="34">
        <f t="shared" si="39"/>
        <v>1587</v>
      </c>
      <c r="G193" s="35">
        <f t="shared" si="39"/>
        <v>1845.4437556950638</v>
      </c>
      <c r="H193" s="2"/>
    </row>
    <row r="194" ht="15" customHeight="1">
      <c r="A194" s="23" t="s">
        <v>60</v>
      </c>
      <c r="B194" s="32">
        <f>IF(AND(ISNUMBER(B193),ISNUMBER(Inputs!B288)),IF(Inputs!B288&gt;0,B193/Inputs!B288-1,"n/m"),"n/a")</f>
        <v>-0.21567417463745753</v>
      </c>
      <c r="C194" s="32">
        <f>IF(AND(ISNUMBER(C193),ISNUMBER(Inputs!C288)),IF(Inputs!C288&gt;0,C193/Inputs!C288-1,"n/m"),"n/a")</f>
        <v>-0.11393323657474597</v>
      </c>
      <c r="D194" s="32">
        <f>IF(AND(ISNUMBER(D193),ISNUMBER(Inputs!F288)),IF(Inputs!F288&gt;0,D193/Inputs!F288-1,"n/m"),"n/a")</f>
        <v>-0.21432692307692303</v>
      </c>
      <c r="E194" s="32">
        <f>IF(AND(ISNUMBER(E193),ISNUMBER(Inputs!D288)),IF(Inputs!D288&gt;0,E193/Inputs!D288-1,"n/m"),"n/a")</f>
        <v>0.5540015540015539</v>
      </c>
      <c r="F194" s="32">
        <f>IF(AND(ISNUMBER(F193),ISNUMBER(Inputs!E288)),IF(Inputs!E288&gt;0,F193/Inputs!E288-1,"n/m"),"n/a")</f>
        <v>-0.16473684210526318</v>
      </c>
      <c r="G194" s="33">
        <f t="shared" si="7"/>
        <v>-0.27401897887684346</v>
      </c>
      <c r="H194" s="2"/>
    </row>
    <row r="195" ht="15" customHeight="1">
      <c r="A195" s="23" t="s">
        <v>65</v>
      </c>
      <c r="B195" s="24">
        <f>IF(AND(ISNUMBER(B193),ISNUMBER(Inputs!E288)),B193-Inputs!E288,"n/a")</f>
        <v>642</v>
      </c>
      <c r="C195" s="36">
        <f t="shared" si="0"/>
        <v>-100</v>
      </c>
      <c r="D195" s="36"/>
      <c r="E195" s="36">
        <f t="shared" si="2"/>
        <v>-442</v>
      </c>
      <c r="F195" s="36">
        <f t="shared" si="0"/>
        <v>-413</v>
      </c>
      <c r="G195" s="37">
        <f t="shared" si="0"/>
        <v>258.4437556950638</v>
      </c>
      <c r="H195" s="2"/>
    </row>
    <row r="196" ht="15" customHeight="1">
      <c r="A196" s="29" t="s">
        <v>275</v>
      </c>
      <c r="B196" s="14">
        <f t="shared" si="40" ref="B196:F196">B193-B166-B114</f>
        <v>756</v>
      </c>
      <c r="C196" s="14">
        <f t="shared" si="40"/>
        <v>665</v>
      </c>
      <c r="D196" s="14">
        <f t="shared" si="40"/>
        <v>2252</v>
      </c>
      <c r="E196" s="14">
        <f t="shared" si="40"/>
        <v>533</v>
      </c>
      <c r="F196" s="14">
        <f t="shared" si="40"/>
        <v>420</v>
      </c>
      <c r="G196" s="65">
        <f>G193*G199</f>
        <v>489.04259525919196</v>
      </c>
      <c r="H196" s="2"/>
    </row>
    <row r="197" ht="15" customHeight="1">
      <c r="A197" s="31" t="s">
        <v>72</v>
      </c>
      <c r="B197" s="24">
        <f>IF(AND(ISNUMBER(B196),ISNUMBER(Inputs!B289)),B196-Inputs!B289,"n/a")</f>
        <v>36</v>
      </c>
      <c r="C197" s="24">
        <f>IF(AND(ISNUMBER(C196),ISNUMBER(Inputs!C289)),C196-Inputs!C289,"n/a")</f>
        <v>31</v>
      </c>
      <c r="D197" s="24">
        <f>IF(AND(ISNUMBER(D196),ISNUMBER(Inputs!F289)),D196-Inputs!F289,"n/a")</f>
        <v>-126</v>
      </c>
      <c r="E197" s="24">
        <f>IF(AND(ISNUMBER(E196),ISNUMBER(Inputs!D289)),E196-Inputs!D289,"n/a")</f>
        <v>191</v>
      </c>
      <c r="F197" s="24">
        <f>IF(AND(ISNUMBER(F196),ISNUMBER(Inputs!E289)),F196-Inputs!E289,"n/a")</f>
        <v>-69</v>
      </c>
      <c r="G197" s="37">
        <f t="shared" si="1"/>
        <v>-266.95740474080804</v>
      </c>
      <c r="H197" s="2"/>
    </row>
    <row r="198" ht="15" customHeight="1">
      <c r="A198" s="31" t="s">
        <v>65</v>
      </c>
      <c r="B198" s="24">
        <f>IF(AND(ISNUMBER(B196),ISNUMBER(Inputs!E289)),B196-Inputs!E289,"n/a")</f>
        <v>267</v>
      </c>
      <c r="C198" s="36">
        <f t="shared" si="0"/>
        <v>-91</v>
      </c>
      <c r="D198" s="36"/>
      <c r="E198" s="36">
        <f t="shared" si="2"/>
        <v>-132</v>
      </c>
      <c r="F198" s="36">
        <f t="shared" si="0"/>
        <v>-113</v>
      </c>
      <c r="G198" s="37">
        <f t="shared" si="0"/>
        <v>69.04259525919196</v>
      </c>
      <c r="H198" s="2"/>
    </row>
    <row r="199" ht="15" customHeight="1">
      <c r="A199" s="31" t="s">
        <v>276</v>
      </c>
      <c r="B199" s="15">
        <f t="shared" si="19"/>
        <v>0.2974036191974823</v>
      </c>
      <c r="C199" s="15">
        <f t="shared" si="19"/>
        <v>0.2723177723177723</v>
      </c>
      <c r="D199" s="15">
        <f t="shared" si="19"/>
        <v>0.2756088606045772</v>
      </c>
      <c r="E199" s="15">
        <f t="shared" si="19"/>
        <v>0.2665</v>
      </c>
      <c r="F199" s="15">
        <f t="shared" si="19"/>
        <v>0.2646502835538752</v>
      </c>
      <c r="G199" s="43">
        <v>0.265</v>
      </c>
      <c r="H199" s="2" t="s">
        <v>277</v>
      </c>
    </row>
    <row r="200" ht="15" customHeight="1">
      <c r="A200" s="67" t="s">
        <v>68</v>
      </c>
      <c r="B200" s="48">
        <f>IF(AND(ISNUMBER(B199),ISNUMBER(Inputs!B290)),(B199-Inputs!B290)*10000,"n/a")</f>
        <v>752.4996291855607</v>
      </c>
      <c r="C200" s="48">
        <f>IF(AND(ISNUMBER(C199),ISNUMBER(Inputs!C290)),(C199-Inputs!C290)*10000,"n/a")</f>
        <v>422.7423095347624</v>
      </c>
      <c r="D200" s="48">
        <f>IF(AND(ISNUMBER(D199),ISNUMBER(Inputs!F290)),(D199-Inputs!F290)*10000,"n/a")</f>
        <v>469.5501445073103</v>
      </c>
      <c r="E200" s="48">
        <f>IF(AND(ISNUMBER(E199),ISNUMBER(Inputs!D290)),(E199-Inputs!D290)*10000,"n/a")</f>
        <v>7.657342657342858</v>
      </c>
      <c r="F200" s="48">
        <f>IF(AND(ISNUMBER(F199),ISNUMBER(Inputs!E290)),(F199-Inputs!E290)*10000,"n/a")</f>
        <v>72.8186250124363</v>
      </c>
      <c r="G200" s="39">
        <f t="shared" si="11"/>
        <v>-324.03619197482305</v>
      </c>
      <c r="H200" s="2"/>
    </row>
    <row r="201" ht="15" customHeight="1">
      <c r="A201" s="67" t="s">
        <v>69</v>
      </c>
      <c r="B201" s="48">
        <f>IF(AND(ISNUMBER(B199),ISNUMBER(Inputs!E290)),(B199-Inputs!E290)*10000,"n/a")</f>
        <v>400.3519814485074</v>
      </c>
      <c r="C201" s="38">
        <f t="shared" si="9"/>
        <v>-250.85846879709993</v>
      </c>
      <c r="D201" s="38"/>
      <c r="E201" s="38">
        <f t="shared" si="12"/>
        <v>-58.177723177723074</v>
      </c>
      <c r="F201" s="38">
        <f t="shared" si="9"/>
        <v>-18.49716446124805</v>
      </c>
      <c r="G201" s="39">
        <f t="shared" si="9"/>
        <v>3.497164461248037</v>
      </c>
      <c r="H201" s="2"/>
    </row>
    <row r="202" ht="15" customHeight="1">
      <c r="A202" s="23" t="s">
        <v>278</v>
      </c>
      <c r="B202" s="36">
        <f t="shared" si="41" ref="B202:G202">B166-(B193-B196-B114)</f>
        <v>0</v>
      </c>
      <c r="C202" s="36">
        <f t="shared" si="41"/>
        <v>0</v>
      </c>
      <c r="D202" s="36">
        <f t="shared" si="41"/>
        <v>0</v>
      </c>
      <c r="E202" s="36">
        <f t="shared" si="41"/>
        <v>0</v>
      </c>
      <c r="F202" s="36">
        <f t="shared" si="41"/>
        <v>0</v>
      </c>
      <c r="G202" s="37">
        <f t="shared" si="41"/>
        <v>0</v>
      </c>
      <c r="H202" s="2"/>
    </row>
    <row r="203" ht="15" customHeight="1">
      <c r="A203" s="3" t="s">
        <v>279</v>
      </c>
      <c r="B203" s="2"/>
      <c r="C203" s="2"/>
      <c r="D203" s="2"/>
      <c r="E203" s="2"/>
      <c r="F203" s="2"/>
      <c r="G203" s="28"/>
      <c r="H203" s="2"/>
    </row>
    <row r="204" ht="15" customHeight="1">
      <c r="A204" s="29" t="s">
        <v>280</v>
      </c>
      <c r="B204" s="13">
        <f>'Cash Flow Statement'!B12</f>
        <v>1625</v>
      </c>
      <c r="C204" s="13">
        <f>'Cash Flow Statement'!C12</f>
        <v>1643</v>
      </c>
      <c r="D204" s="13">
        <f>'Cash Flow Statement'!D12</f>
        <v>6148</v>
      </c>
      <c r="E204" s="13">
        <f>'Cash Flow Statement'!E12</f>
        <v>1590</v>
      </c>
      <c r="F204" s="13">
        <f>'Cash Flow Statement'!F12</f>
        <v>1619</v>
      </c>
      <c r="G204" s="30">
        <f>'Cash Flow Statement'!G12</f>
        <v>1700</v>
      </c>
      <c r="H204" s="2"/>
    </row>
    <row r="205" ht="15" customHeight="1">
      <c r="A205" s="31" t="s">
        <v>72</v>
      </c>
      <c r="B205" s="24">
        <f>IF(AND(ISNUMBER(B204),ISNUMBER(Inputs!B291)),B204-Inputs!B291,"n/a")</f>
        <v>277</v>
      </c>
      <c r="C205" s="24">
        <f>IF(AND(ISNUMBER(C204),ISNUMBER(Inputs!C291)),C204-Inputs!C291,"n/a")</f>
        <v>147</v>
      </c>
      <c r="D205" s="24">
        <f>IF(AND(ISNUMBER(D204),ISNUMBER(Inputs!F291)),D204-Inputs!F291,"n/a")</f>
        <v>780</v>
      </c>
      <c r="E205" s="24">
        <f>IF(AND(ISNUMBER(E204),ISNUMBER(Inputs!D291)),E204-Inputs!D291,"n/a")</f>
        <v>143</v>
      </c>
      <c r="F205" s="24">
        <f>IF(AND(ISNUMBER(F204),ISNUMBER(Inputs!E291)),F204-Inputs!E291,"n/a")</f>
        <v>186</v>
      </c>
      <c r="G205" s="37">
        <f t="shared" si="1"/>
        <v>75</v>
      </c>
      <c r="H205" s="2"/>
    </row>
    <row r="206" ht="15" customHeight="1">
      <c r="A206" s="31" t="s">
        <v>65</v>
      </c>
      <c r="B206" s="24">
        <f>IF(AND(ISNUMBER(B204),ISNUMBER(Inputs!E291)),B204-Inputs!E291,"n/a")</f>
        <v>192</v>
      </c>
      <c r="C206" s="36">
        <f t="shared" si="0"/>
        <v>18</v>
      </c>
      <c r="D206" s="36"/>
      <c r="E206" s="36">
        <f t="shared" si="2"/>
        <v>-53</v>
      </c>
      <c r="F206" s="36">
        <f t="shared" si="0"/>
        <v>29</v>
      </c>
      <c r="G206" s="37">
        <f t="shared" si="0"/>
        <v>81</v>
      </c>
      <c r="H206" s="2"/>
    </row>
    <row r="207" ht="15" customHeight="1">
      <c r="A207" s="3" t="s">
        <v>281</v>
      </c>
      <c r="B207" s="34">
        <f t="shared" si="42" ref="B207:G207">B117-B84+B105+B204+B181+B93-B96</f>
        <v>4227</v>
      </c>
      <c r="C207" s="34">
        <f t="shared" si="42"/>
        <v>4154</v>
      </c>
      <c r="D207" s="34">
        <f t="shared" si="42"/>
        <v>14596</v>
      </c>
      <c r="E207" s="34">
        <f t="shared" si="42"/>
        <v>3668</v>
      </c>
      <c r="F207" s="34">
        <f t="shared" si="42"/>
        <v>3273</v>
      </c>
      <c r="G207" s="35">
        <f t="shared" si="42"/>
        <v>3621.4437556950634</v>
      </c>
      <c r="H207" s="2"/>
    </row>
    <row r="208" ht="15" customHeight="1">
      <c r="A208" s="23" t="s">
        <v>60</v>
      </c>
      <c r="B208" s="32">
        <f>IF(AND(ISNUMBER(B207),ISNUMBER(Inputs!B292)),IF(Inputs!B292&gt;0,B207/Inputs!B292-1,"n/m"),"n/a")</f>
        <v>-0.09389067524115757</v>
      </c>
      <c r="C208" s="32">
        <f>IF(AND(ISNUMBER(C207),ISNUMBER(Inputs!C292)),IF(Inputs!C292&gt;0,C207/Inputs!C292-1,"n/m"),"n/a")</f>
        <v>-0.04131087006692824</v>
      </c>
      <c r="D208" s="32">
        <f>IF(AND(ISNUMBER(D207),ISNUMBER(Inputs!F292)),IF(Inputs!F292&gt;0,D207/Inputs!F292-1,"n/m"),"n/a")</f>
        <v>-0.09093173891380169</v>
      </c>
      <c r="E208" s="32">
        <f>IF(AND(ISNUMBER(E207),ISNUMBER(Inputs!D292)),IF(Inputs!D292&gt;0,E207/Inputs!D292-1,"n/m"),"n/a")</f>
        <v>0.3034825870646767</v>
      </c>
      <c r="F208" s="32">
        <f>IF(AND(ISNUMBER(F207),ISNUMBER(Inputs!E292)),IF(Inputs!E292&gt;0,F207/Inputs!E292-1,"n/m"),"n/a")</f>
        <v>-0.037635989414878</v>
      </c>
      <c r="G208" s="33">
        <f t="shared" si="7"/>
        <v>-0.14325910676719578</v>
      </c>
      <c r="H208" s="2"/>
    </row>
    <row r="209" ht="15" customHeight="1">
      <c r="A209" s="23" t="s">
        <v>65</v>
      </c>
      <c r="B209" s="24">
        <f>IF(AND(ISNUMBER(B207),ISNUMBER(Inputs!E292)),B207-Inputs!E292,"n/a")</f>
        <v>826</v>
      </c>
      <c r="C209" s="36">
        <f t="shared" si="0"/>
        <v>-73</v>
      </c>
      <c r="D209" s="36"/>
      <c r="E209" s="36">
        <f t="shared" si="2"/>
        <v>-486</v>
      </c>
      <c r="F209" s="36">
        <f t="shared" si="0"/>
        <v>-395</v>
      </c>
      <c r="G209" s="37">
        <f t="shared" si="0"/>
        <v>348.4437556950634</v>
      </c>
      <c r="H209" s="2"/>
    </row>
    <row r="210" ht="15" customHeight="1">
      <c r="A210" s="23" t="s">
        <v>282</v>
      </c>
      <c r="B210" s="15">
        <f t="shared" si="43" ref="B210:G210">B207/B27</f>
        <v>0.15045381740523225</v>
      </c>
      <c r="C210" s="15">
        <f t="shared" si="43"/>
        <v>0.16682060961407172</v>
      </c>
      <c r="D210" s="15">
        <f t="shared" si="43"/>
        <v>0.15392240606578295</v>
      </c>
      <c r="E210" s="15">
        <f t="shared" si="43"/>
        <v>0.16384508866753025</v>
      </c>
      <c r="F210" s="15">
        <f t="shared" si="43"/>
        <v>0.11591585210369741</v>
      </c>
      <c r="G210" s="33">
        <f t="shared" si="43"/>
        <v>0.12669683654869016</v>
      </c>
      <c r="H210" s="2"/>
    </row>
    <row r="211" ht="15" customHeight="1">
      <c r="A211" s="31" t="s">
        <v>68</v>
      </c>
      <c r="B211" s="48">
        <f>IF(AND(ISNUMBER(B210),ISNUMBER(Inputs!B293)),(B210-Inputs!B293)*10000,"n/a")</f>
        <v>-347.97552620976944</v>
      </c>
      <c r="C211" s="48">
        <f>IF(AND(ISNUMBER(C210),ISNUMBER(Inputs!C293)),(C210-Inputs!C293)*10000,"n/a")</f>
        <v>-17.327027133099413</v>
      </c>
      <c r="D211" s="48">
        <f>IF(AND(ISNUMBER(D210),ISNUMBER(Inputs!F293)),(D210-Inputs!F293)*10000,"n/a")</f>
        <v>-104.34232280004757</v>
      </c>
      <c r="E211" s="48">
        <f>IF(AND(ISNUMBER(E210),ISNUMBER(Inputs!D293)),(E210-Inputs!D293)*10000,"n/a")</f>
        <v>183.0591101043172</v>
      </c>
      <c r="F211" s="48">
        <f>IF(AND(ISNUMBER(F210),ISNUMBER(Inputs!E293)),(F210-Inputs!E293)*10000,"n/a")</f>
        <v>-352.6658032873502</v>
      </c>
      <c r="G211" s="39">
        <f t="shared" si="11"/>
        <v>-237.56980856542097</v>
      </c>
      <c r="H211" s="2"/>
    </row>
    <row r="212" ht="15" customHeight="1">
      <c r="A212" s="31" t="s">
        <v>69</v>
      </c>
      <c r="B212" s="48">
        <f>IF(AND(ISNUMBER(B210),ISNUMBER(Inputs!E293)),(B210-Inputs!E293)*10000,"n/a")</f>
        <v>-7.286150272001746</v>
      </c>
      <c r="C212" s="38">
        <f t="shared" si="9"/>
        <v>163.66792208839465</v>
      </c>
      <c r="D212" s="38"/>
      <c r="E212" s="38">
        <f t="shared" si="12"/>
        <v>-29.755209465414655</v>
      </c>
      <c r="F212" s="38">
        <f t="shared" si="9"/>
        <v>-479.2923656383284</v>
      </c>
      <c r="G212" s="39">
        <f t="shared" si="9"/>
        <v>107.80984444992744</v>
      </c>
      <c r="H212" s="2"/>
    </row>
    <row r="213" ht="15" customHeight="1">
      <c r="A213" s="29" t="s">
        <v>283</v>
      </c>
      <c r="B213" s="40">
        <v>4227</v>
      </c>
      <c r="C213" s="40">
        <v>4154</v>
      </c>
      <c r="D213" s="40">
        <v>14596</v>
      </c>
      <c r="E213" s="40">
        <v>3668</v>
      </c>
      <c r="F213" s="40">
        <v>3273</v>
      </c>
      <c r="G213" s="65" t="s">
        <v>31</v>
      </c>
      <c r="H213" s="2"/>
    </row>
    <row r="214" ht="15" customHeight="1">
      <c r="A214" s="23" t="s">
        <v>284</v>
      </c>
      <c r="B214" s="36">
        <f t="shared" si="44" ref="B214:F214">B207-B213</f>
        <v>0</v>
      </c>
      <c r="C214" s="36">
        <f t="shared" si="44"/>
        <v>0</v>
      </c>
      <c r="D214" s="36">
        <f t="shared" si="44"/>
        <v>0</v>
      </c>
      <c r="E214" s="36">
        <f t="shared" si="44"/>
        <v>0</v>
      </c>
      <c r="F214" s="36">
        <f t="shared" si="44"/>
        <v>0</v>
      </c>
      <c r="G214" s="37" t="s">
        <v>31</v>
      </c>
      <c r="H214" s="2"/>
    </row>
    <row r="215" ht="15" customHeight="1">
      <c r="A215" s="3" t="s">
        <v>285</v>
      </c>
      <c r="B215" s="2"/>
      <c r="C215" s="2"/>
      <c r="D215" s="2"/>
      <c r="E215" s="2"/>
      <c r="F215" s="2"/>
      <c r="G215" s="28"/>
      <c r="H215" s="2"/>
    </row>
    <row r="216" ht="15" customHeight="1">
      <c r="A216" s="29" t="s">
        <v>286</v>
      </c>
      <c r="B216" s="75">
        <f>Inputs!B115</f>
        <v>7.1647</v>
      </c>
      <c r="C216" s="75">
        <f>Inputs!B116</f>
        <v>7.121</v>
      </c>
      <c r="D216" s="76" t="s">
        <v>31</v>
      </c>
      <c r="E216" s="75">
        <f>Inputs!B117</f>
        <v>6.9879</v>
      </c>
      <c r="F216" s="75">
        <f>Inputs!B118</f>
        <v>6.8881</v>
      </c>
      <c r="G216" s="77">
        <f>Inputs!B119</f>
        <v>6.788</v>
      </c>
      <c r="H216" s="2"/>
    </row>
    <row r="217" ht="15" customHeight="1">
      <c r="A217" s="31" t="s">
        <v>72</v>
      </c>
      <c r="B217" s="78" t="s">
        <v>31</v>
      </c>
      <c r="C217" s="78" t="s">
        <v>31</v>
      </c>
      <c r="D217" s="78" t="s">
        <v>31</v>
      </c>
      <c r="E217" s="78" t="s">
        <v>31</v>
      </c>
      <c r="F217" s="78" t="s">
        <v>31</v>
      </c>
      <c r="G217" s="79">
        <f t="shared" si="1"/>
        <v>-0.3766999999999996</v>
      </c>
      <c r="H217" s="2"/>
    </row>
    <row r="218" ht="15" customHeight="1">
      <c r="A218" s="31" t="s">
        <v>65</v>
      </c>
      <c r="B218" s="78" t="s">
        <v>31</v>
      </c>
      <c r="C218" s="78">
        <f t="shared" si="0"/>
        <v>-0.043699999999999406</v>
      </c>
      <c r="D218" s="78"/>
      <c r="E218" s="78">
        <f t="shared" si="2"/>
        <v>-0.13310000000000066</v>
      </c>
      <c r="F218" s="78">
        <f t="shared" si="0"/>
        <v>-0.09980000000000011</v>
      </c>
      <c r="G218" s="79">
        <f t="shared" si="0"/>
        <v>-0.10009999999999941</v>
      </c>
      <c r="H218" s="2"/>
    </row>
    <row r="219" ht="15" customHeight="1">
      <c r="A219" s="29" t="s">
        <v>287</v>
      </c>
      <c r="B219" s="75">
        <f>Inputs!B116</f>
        <v>7.121</v>
      </c>
      <c r="C219" s="75">
        <f>Inputs!B117</f>
        <v>6.9879</v>
      </c>
      <c r="D219" s="76" t="s">
        <v>31</v>
      </c>
      <c r="E219" s="75">
        <f>Inputs!B118</f>
        <v>6.8881</v>
      </c>
      <c r="F219" s="75">
        <f>Inputs!B119</f>
        <v>6.788</v>
      </c>
      <c r="G219" s="77">
        <f>Inputs!B120</f>
        <v>6.703</v>
      </c>
      <c r="H219" s="2"/>
    </row>
    <row r="220" ht="15" customHeight="1">
      <c r="A220" s="31" t="s">
        <v>72</v>
      </c>
      <c r="B220" s="78" t="s">
        <v>31</v>
      </c>
      <c r="C220" s="78" t="s">
        <v>31</v>
      </c>
      <c r="D220" s="78" t="s">
        <v>31</v>
      </c>
      <c r="E220" s="78" t="s">
        <v>31</v>
      </c>
      <c r="F220" s="78" t="s">
        <v>31</v>
      </c>
      <c r="G220" s="79">
        <f t="shared" si="1"/>
        <v>-0.41800000000000015</v>
      </c>
      <c r="H220" s="2"/>
    </row>
    <row r="221" ht="15" customHeight="1">
      <c r="A221" s="31" t="s">
        <v>65</v>
      </c>
      <c r="B221" s="78" t="s">
        <v>31</v>
      </c>
      <c r="C221" s="78">
        <f t="shared" si="0"/>
        <v>-0.13310000000000066</v>
      </c>
      <c r="D221" s="78"/>
      <c r="E221" s="78">
        <f t="shared" si="2"/>
        <v>-0.09980000000000011</v>
      </c>
      <c r="F221" s="78">
        <f t="shared" si="0"/>
        <v>-0.10009999999999941</v>
      </c>
      <c r="G221" s="79">
        <f t="shared" si="0"/>
        <v>-0.08499999999999996</v>
      </c>
      <c r="H221" s="2"/>
    </row>
    <row r="222" ht="15" customHeight="1">
      <c r="A222" s="23" t="s">
        <v>288</v>
      </c>
      <c r="B222" s="15">
        <f t="shared" si="45" ref="B222:G222">B216/B219-1</f>
        <v>0.006136778542339405</v>
      </c>
      <c r="C222" s="15">
        <f t="shared" si="45"/>
        <v>0.0190472101775927</v>
      </c>
      <c r="D222" s="15" t="s">
        <v>31</v>
      </c>
      <c r="E222" s="15">
        <f t="shared" si="45"/>
        <v>0.014488755970441858</v>
      </c>
      <c r="F222" s="15">
        <f t="shared" si="45"/>
        <v>0.01474661166764868</v>
      </c>
      <c r="G222" s="33">
        <f t="shared" si="45"/>
        <v>0.012680889154110142</v>
      </c>
      <c r="H222" s="2"/>
    </row>
    <row r="223" ht="15" customHeight="1">
      <c r="A223" s="31" t="s">
        <v>68</v>
      </c>
      <c r="B223" s="38" t="s">
        <v>31</v>
      </c>
      <c r="C223" s="38" t="s">
        <v>31</v>
      </c>
      <c r="D223" s="38" t="s">
        <v>31</v>
      </c>
      <c r="E223" s="38" t="s">
        <v>31</v>
      </c>
      <c r="F223" s="38" t="s">
        <v>31</v>
      </c>
      <c r="G223" s="39">
        <f t="shared" si="11"/>
        <v>65.44110611770736</v>
      </c>
      <c r="H223" s="2"/>
    </row>
    <row r="224" ht="15" customHeight="1">
      <c r="A224" s="31" t="s">
        <v>69</v>
      </c>
      <c r="B224" s="38" t="s">
        <v>31</v>
      </c>
      <c r="C224" s="38">
        <f t="shared" si="9"/>
        <v>129.10431635253295</v>
      </c>
      <c r="D224" s="38"/>
      <c r="E224" s="38">
        <f t="shared" si="12"/>
        <v>-45.584542071508416</v>
      </c>
      <c r="F224" s="38">
        <f t="shared" si="9"/>
        <v>2.5785569720682133</v>
      </c>
      <c r="G224" s="39">
        <f t="shared" si="9"/>
        <v>-20.65722513538537</v>
      </c>
      <c r="H224" s="2"/>
    </row>
    <row r="225" ht="15" customHeight="1">
      <c r="A225" s="29" t="s">
        <v>289</v>
      </c>
      <c r="B225" s="14">
        <f t="shared" si="46" ref="B225:F225">B90/(B222*100)</f>
        <v>172.72906178490135</v>
      </c>
      <c r="C225" s="14">
        <f t="shared" si="46"/>
        <v>153.30329075882793</v>
      </c>
      <c r="D225" s="14" t="s">
        <v>31</v>
      </c>
      <c r="E225" s="14">
        <f t="shared" si="46"/>
        <v>198.084639278556</v>
      </c>
      <c r="F225" s="14">
        <f t="shared" si="46"/>
        <v>211.5740259740276</v>
      </c>
      <c r="G225" s="65">
        <f>AVERAGE(E225,F225)</f>
        <v>204.8293326262918</v>
      </c>
      <c r="H225" s="2" t="s">
        <v>290</v>
      </c>
    </row>
    <row r="226" ht="15" customHeight="1">
      <c r="A226" s="31" t="s">
        <v>72</v>
      </c>
      <c r="B226" s="36" t="s">
        <v>31</v>
      </c>
      <c r="C226" s="36" t="s">
        <v>31</v>
      </c>
      <c r="D226" s="36" t="s">
        <v>31</v>
      </c>
      <c r="E226" s="36" t="s">
        <v>31</v>
      </c>
      <c r="F226" s="36" t="s">
        <v>31</v>
      </c>
      <c r="G226" s="37">
        <f t="shared" si="1"/>
        <v>32.100270841390454</v>
      </c>
      <c r="H226" s="2"/>
    </row>
    <row r="227" ht="15" customHeight="1">
      <c r="A227" s="31" t="s">
        <v>65</v>
      </c>
      <c r="B227" s="36" t="s">
        <v>31</v>
      </c>
      <c r="C227" s="36">
        <f t="shared" si="0"/>
        <v>-19.42577102607342</v>
      </c>
      <c r="D227" s="36"/>
      <c r="E227" s="36">
        <f t="shared" si="2"/>
        <v>44.781348519728084</v>
      </c>
      <c r="F227" s="36">
        <f t="shared" si="0"/>
        <v>13.48938669547158</v>
      </c>
      <c r="G227" s="37">
        <f t="shared" si="0"/>
        <v>-6.74469334773579</v>
      </c>
      <c r="H227" s="2"/>
    </row>
    <row r="228" ht="15" customHeight="1">
      <c r="A228" s="29" t="s">
        <v>291</v>
      </c>
      <c r="B228" s="51"/>
      <c r="C228" s="51"/>
      <c r="D228" s="51"/>
      <c r="E228" s="51"/>
      <c r="F228" s="51"/>
      <c r="G228" s="80">
        <f>Inputs!B121</f>
        <v>58558.86</v>
      </c>
      <c r="H228" s="2"/>
    </row>
    <row r="229" ht="15" customHeight="1">
      <c r="A229" s="31" t="s">
        <v>72</v>
      </c>
      <c r="B229" s="38" t="s">
        <v>31</v>
      </c>
      <c r="C229" s="38" t="s">
        <v>31</v>
      </c>
      <c r="D229" s="38" t="s">
        <v>31</v>
      </c>
      <c r="E229" s="38" t="s">
        <v>31</v>
      </c>
      <c r="F229" s="38" t="s">
        <v>31</v>
      </c>
      <c r="G229" s="39" t="str">
        <f t="shared" si="1"/>
        <v>n/a</v>
      </c>
      <c r="H229" s="2"/>
    </row>
    <row r="230" ht="15" customHeight="1">
      <c r="A230" s="31" t="s">
        <v>65</v>
      </c>
      <c r="B230" s="38" t="s">
        <v>31</v>
      </c>
      <c r="C230" s="38" t="str">
        <f t="shared" si="0"/>
        <v>n/a</v>
      </c>
      <c r="D230" s="38"/>
      <c r="E230" s="38" t="str">
        <f t="shared" si="2"/>
        <v>n/a</v>
      </c>
      <c r="F230" s="38" t="str">
        <f t="shared" si="0"/>
        <v>n/a</v>
      </c>
      <c r="G230" s="39" t="str">
        <f t="shared" si="0"/>
        <v>n/a</v>
      </c>
      <c r="H230" s="2"/>
    </row>
    <row r="231" ht="15" customHeight="1">
      <c r="A231" s="29" t="s">
        <v>292</v>
      </c>
      <c r="B231" s="51"/>
      <c r="C231" s="51"/>
      <c r="D231" s="51"/>
      <c r="E231" s="51"/>
      <c r="F231" s="51"/>
      <c r="G231" s="80">
        <f>Inputs!B122</f>
        <v>83553.85</v>
      </c>
      <c r="H231" s="2"/>
    </row>
    <row r="232" ht="15" customHeight="1">
      <c r="A232" s="31" t="s">
        <v>72</v>
      </c>
      <c r="B232" s="38" t="s">
        <v>31</v>
      </c>
      <c r="C232" s="38" t="s">
        <v>31</v>
      </c>
      <c r="D232" s="38" t="s">
        <v>31</v>
      </c>
      <c r="E232" s="38" t="s">
        <v>31</v>
      </c>
      <c r="F232" s="38" t="s">
        <v>31</v>
      </c>
      <c r="G232" s="39" t="str">
        <f t="shared" si="1"/>
        <v>n/a</v>
      </c>
      <c r="H232" s="2"/>
    </row>
    <row r="233" ht="15" customHeight="1">
      <c r="A233" s="31" t="s">
        <v>65</v>
      </c>
      <c r="B233" s="38" t="s">
        <v>31</v>
      </c>
      <c r="C233" s="38" t="str">
        <f t="shared" si="0"/>
        <v>n/a</v>
      </c>
      <c r="D233" s="38"/>
      <c r="E233" s="38" t="str">
        <f t="shared" si="2"/>
        <v>n/a</v>
      </c>
      <c r="F233" s="38" t="str">
        <f t="shared" si="0"/>
        <v>n/a</v>
      </c>
      <c r="G233" s="39" t="str">
        <f t="shared" si="0"/>
        <v>n/a</v>
      </c>
      <c r="H233" s="2"/>
    </row>
    <row r="234" ht="15" customHeight="1">
      <c r="A234" s="29" t="s">
        <v>293</v>
      </c>
      <c r="B234" s="51"/>
      <c r="C234" s="51"/>
      <c r="D234" s="51"/>
      <c r="E234" s="51"/>
      <c r="F234" s="51"/>
      <c r="G234" s="80">
        <f>'Balance Sheet'!F19*1000000/G228</f>
        <v>11509.78690500464</v>
      </c>
      <c r="H234" s="2"/>
    </row>
    <row r="235" ht="15" customHeight="1">
      <c r="A235" s="31" t="s">
        <v>72</v>
      </c>
      <c r="B235" s="38" t="s">
        <v>31</v>
      </c>
      <c r="C235" s="38" t="s">
        <v>31</v>
      </c>
      <c r="D235" s="38" t="s">
        <v>31</v>
      </c>
      <c r="E235" s="38" t="s">
        <v>31</v>
      </c>
      <c r="F235" s="38" t="s">
        <v>31</v>
      </c>
      <c r="G235" s="39" t="str">
        <f t="shared" si="1"/>
        <v>n/a</v>
      </c>
      <c r="H235" s="2"/>
    </row>
    <row r="236" ht="15" customHeight="1">
      <c r="A236" s="31" t="s">
        <v>65</v>
      </c>
      <c r="B236" s="38" t="s">
        <v>31</v>
      </c>
      <c r="C236" s="38" t="str">
        <f t="shared" si="0"/>
        <v>n/a</v>
      </c>
      <c r="D236" s="38"/>
      <c r="E236" s="38" t="str">
        <f t="shared" si="2"/>
        <v>n/a</v>
      </c>
      <c r="F236" s="38" t="str">
        <f t="shared" si="0"/>
        <v>n/a</v>
      </c>
      <c r="G236" s="39" t="str">
        <f t="shared" si="0"/>
        <v>n/a</v>
      </c>
      <c r="H236" s="2"/>
    </row>
    <row r="237" ht="15" customHeight="1">
      <c r="A237" s="29" t="s">
        <v>294</v>
      </c>
      <c r="B237" s="14"/>
      <c r="C237" s="14"/>
      <c r="D237" s="14"/>
      <c r="E237" s="14"/>
      <c r="F237" s="14"/>
      <c r="G237" s="65">
        <f>G234*(G231-G228)/1000000</f>
        <v>287.68700859272195</v>
      </c>
      <c r="H237" s="2"/>
    </row>
    <row r="238" ht="15" customHeight="1">
      <c r="A238" s="31" t="s">
        <v>72</v>
      </c>
      <c r="B238" s="36" t="s">
        <v>31</v>
      </c>
      <c r="C238" s="36" t="s">
        <v>31</v>
      </c>
      <c r="D238" s="36" t="s">
        <v>31</v>
      </c>
      <c r="E238" s="36" t="s">
        <v>31</v>
      </c>
      <c r="F238" s="36" t="s">
        <v>31</v>
      </c>
      <c r="G238" s="37" t="str">
        <f t="shared" si="1"/>
        <v>n/a</v>
      </c>
      <c r="H238" s="2"/>
    </row>
    <row r="239" ht="15" customHeight="1">
      <c r="A239" s="31" t="s">
        <v>65</v>
      </c>
      <c r="B239" s="36" t="s">
        <v>31</v>
      </c>
      <c r="C239" s="36" t="str">
        <f t="shared" si="0"/>
        <v>n/a</v>
      </c>
      <c r="D239" s="36"/>
      <c r="E239" s="36" t="str">
        <f t="shared" si="2"/>
        <v>n/a</v>
      </c>
      <c r="F239" s="36" t="str">
        <f t="shared" si="0"/>
        <v>n/a</v>
      </c>
      <c r="G239" s="37" t="str">
        <f t="shared" si="0"/>
        <v>n/a</v>
      </c>
      <c r="H239" s="2"/>
    </row>
    <row r="240" ht="15" customHeight="1">
      <c r="A240" s="29" t="s">
        <v>295</v>
      </c>
      <c r="B240" s="14"/>
      <c r="C240" s="14"/>
      <c r="D240" s="14"/>
      <c r="E240" s="14"/>
      <c r="F240" s="14"/>
      <c r="G240" s="30">
        <f>Inputs!B125+F96</f>
        <v>3007</v>
      </c>
      <c r="H240" s="2"/>
    </row>
    <row r="241" ht="15" customHeight="1">
      <c r="A241" s="31" t="s">
        <v>72</v>
      </c>
      <c r="B241" s="36" t="s">
        <v>31</v>
      </c>
      <c r="C241" s="36" t="s">
        <v>31</v>
      </c>
      <c r="D241" s="36" t="s">
        <v>31</v>
      </c>
      <c r="E241" s="36" t="s">
        <v>31</v>
      </c>
      <c r="F241" s="36" t="s">
        <v>31</v>
      </c>
      <c r="G241" s="37" t="str">
        <f t="shared" si="1"/>
        <v>n/a</v>
      </c>
      <c r="H241" s="2"/>
    </row>
    <row r="242" ht="15" customHeight="1">
      <c r="A242" s="31" t="s">
        <v>65</v>
      </c>
      <c r="B242" s="36" t="s">
        <v>31</v>
      </c>
      <c r="C242" s="36" t="str">
        <f t="shared" si="0"/>
        <v>n/a</v>
      </c>
      <c r="D242" s="36"/>
      <c r="E242" s="36" t="str">
        <f t="shared" si="2"/>
        <v>n/a</v>
      </c>
      <c r="F242" s="36" t="str">
        <f t="shared" si="0"/>
        <v>n/a</v>
      </c>
      <c r="G242" s="37" t="str">
        <f t="shared" si="0"/>
        <v>n/a</v>
      </c>
      <c r="H242" s="2"/>
    </row>
    <row r="243" ht="15" customHeight="1">
      <c r="A243" s="29" t="s">
        <v>296</v>
      </c>
      <c r="B243" s="18"/>
      <c r="C243" s="18"/>
      <c r="D243" s="18"/>
      <c r="E243" s="18"/>
      <c r="F243" s="18"/>
      <c r="G243" s="81">
        <f>Inputs!B123</f>
        <v>170.86</v>
      </c>
      <c r="H243" s="2"/>
    </row>
    <row r="244" ht="15" customHeight="1">
      <c r="A244" s="31" t="s">
        <v>72</v>
      </c>
      <c r="B244" s="71" t="s">
        <v>31</v>
      </c>
      <c r="C244" s="71" t="s">
        <v>31</v>
      </c>
      <c r="D244" s="71" t="s">
        <v>31</v>
      </c>
      <c r="E244" s="71" t="s">
        <v>31</v>
      </c>
      <c r="F244" s="71" t="s">
        <v>31</v>
      </c>
      <c r="G244" s="70" t="str">
        <f t="shared" si="1"/>
        <v>n/a</v>
      </c>
      <c r="H244" s="2"/>
    </row>
    <row r="245" ht="15" customHeight="1">
      <c r="A245" s="31" t="s">
        <v>65</v>
      </c>
      <c r="B245" s="71" t="s">
        <v>31</v>
      </c>
      <c r="C245" s="71" t="str">
        <f t="shared" si="0"/>
        <v>n/a</v>
      </c>
      <c r="D245" s="71"/>
      <c r="E245" s="71" t="str">
        <f t="shared" si="2"/>
        <v>n/a</v>
      </c>
      <c r="F245" s="71" t="str">
        <f t="shared" si="0"/>
        <v>n/a</v>
      </c>
      <c r="G245" s="70" t="str">
        <f t="shared" si="0"/>
        <v>n/a</v>
      </c>
      <c r="H245" s="2"/>
    </row>
    <row r="246" ht="15" customHeight="1">
      <c r="A246" s="29" t="s">
        <v>297</v>
      </c>
      <c r="B246" s="18"/>
      <c r="C246" s="18"/>
      <c r="D246" s="18"/>
      <c r="E246" s="18"/>
      <c r="F246" s="18"/>
      <c r="G246" s="81">
        <f>Inputs!B124</f>
        <v>150.86</v>
      </c>
      <c r="H246" s="2"/>
    </row>
    <row r="247" ht="15" customHeight="1">
      <c r="A247" s="31" t="s">
        <v>72</v>
      </c>
      <c r="B247" s="71" t="s">
        <v>31</v>
      </c>
      <c r="C247" s="71" t="s">
        <v>31</v>
      </c>
      <c r="D247" s="71" t="s">
        <v>31</v>
      </c>
      <c r="E247" s="71" t="s">
        <v>31</v>
      </c>
      <c r="F247" s="71" t="s">
        <v>31</v>
      </c>
      <c r="G247" s="70" t="str">
        <f t="shared" si="1"/>
        <v>n/a</v>
      </c>
      <c r="H247" s="2"/>
    </row>
    <row r="248" ht="15" customHeight="1">
      <c r="A248" s="31" t="s">
        <v>65</v>
      </c>
      <c r="B248" s="71" t="s">
        <v>31</v>
      </c>
      <c r="C248" s="71" t="str">
        <f t="shared" si="0"/>
        <v>n/a</v>
      </c>
      <c r="D248" s="71"/>
      <c r="E248" s="71" t="str">
        <f t="shared" si="2"/>
        <v>n/a</v>
      </c>
      <c r="F248" s="71" t="str">
        <f t="shared" si="0"/>
        <v>n/a</v>
      </c>
      <c r="G248" s="70" t="str">
        <f t="shared" si="0"/>
        <v>n/a</v>
      </c>
      <c r="H248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459BA88-C9D8-A378-9533-9A1AEF741F1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298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299</v>
      </c>
      <c r="B8" s="2"/>
      <c r="C8" s="2"/>
      <c r="D8" s="2"/>
      <c r="E8" s="2"/>
      <c r="F8" s="2"/>
      <c r="G8" s="28"/>
      <c r="H8" s="2"/>
    </row>
    <row r="9" ht="15" customHeight="1">
      <c r="A9" s="29" t="s">
        <v>300</v>
      </c>
      <c r="B9" s="40">
        <v>18289</v>
      </c>
      <c r="C9" s="40">
        <v>16513</v>
      </c>
      <c r="D9" s="14">
        <f t="shared" si="0" ref="D9:G47">C9</f>
        <v>16513</v>
      </c>
      <c r="E9" s="40">
        <v>16603</v>
      </c>
      <c r="F9" s="40">
        <v>15219</v>
      </c>
      <c r="G9" s="30">
        <f>'Cash Flow Statement'!G110-G46-G47</f>
        <v>14548.128004128013</v>
      </c>
      <c r="H9" s="2"/>
    </row>
    <row r="10" ht="15" customHeight="1">
      <c r="A10" s="29" t="s">
        <v>301</v>
      </c>
      <c r="B10" s="40">
        <v>23358</v>
      </c>
      <c r="C10" s="40">
        <v>27546</v>
      </c>
      <c r="D10" s="14">
        <f t="shared" si="0"/>
        <v>27546</v>
      </c>
      <c r="E10" s="40">
        <v>28140</v>
      </c>
      <c r="F10" s="40">
        <v>28305</v>
      </c>
      <c r="G10" s="30">
        <f>F10-'Cash Flow Statement'!G64-'Cash Flow Statement'!G67</f>
        <v>28305</v>
      </c>
      <c r="H10" s="2"/>
    </row>
    <row r="11" ht="15" customHeight="1">
      <c r="A11" s="29" t="s">
        <v>302</v>
      </c>
      <c r="B11" s="40">
        <v>4703</v>
      </c>
      <c r="C11" s="40">
        <v>4576</v>
      </c>
      <c r="D11" s="14">
        <f t="shared" si="0"/>
        <v>4576</v>
      </c>
      <c r="E11" s="40">
        <v>3959</v>
      </c>
      <c r="F11" s="40">
        <v>4087</v>
      </c>
      <c r="G11" s="30">
        <f>F11-'Cash Flow Statement'!G36</f>
        <v>4237</v>
      </c>
      <c r="H11" s="2"/>
    </row>
    <row r="12" ht="15" customHeight="1">
      <c r="A12" s="29" t="s">
        <v>303</v>
      </c>
      <c r="B12" s="40">
        <v>12276</v>
      </c>
      <c r="C12" s="40">
        <v>12392</v>
      </c>
      <c r="D12" s="14">
        <f t="shared" si="0"/>
        <v>12392</v>
      </c>
      <c r="E12" s="40">
        <v>14434</v>
      </c>
      <c r="F12" s="40">
        <v>13752</v>
      </c>
      <c r="G12" s="30">
        <f>F12-'Cash Flow Statement'!G39-'Cash Flow Statement'!G18</f>
        <v>13162</v>
      </c>
      <c r="H12" s="2"/>
    </row>
    <row r="13" ht="15" customHeight="1">
      <c r="A13" s="29" t="s">
        <v>304</v>
      </c>
      <c r="B13" s="40">
        <v>6027</v>
      </c>
      <c r="C13" s="40">
        <v>7615</v>
      </c>
      <c r="D13" s="14">
        <f t="shared" si="0"/>
        <v>7615</v>
      </c>
      <c r="E13" s="40">
        <v>6612</v>
      </c>
      <c r="F13" s="40">
        <v>7395</v>
      </c>
      <c r="G13" s="30">
        <f>F13-'Cash Flow Statement'!G45</f>
        <v>8195</v>
      </c>
      <c r="H13" s="2"/>
    </row>
    <row r="14" ht="15" customHeight="1">
      <c r="A14" s="3" t="s">
        <v>305</v>
      </c>
      <c r="B14" s="34">
        <f t="shared" si="1" ref="B14:G14">B9+B10+B11+B12+B13</f>
        <v>64653</v>
      </c>
      <c r="C14" s="34">
        <f t="shared" si="1"/>
        <v>68642</v>
      </c>
      <c r="D14" s="34">
        <f t="shared" si="1"/>
        <v>68642</v>
      </c>
      <c r="E14" s="34">
        <f t="shared" si="1"/>
        <v>69748</v>
      </c>
      <c r="F14" s="34">
        <f t="shared" si="1"/>
        <v>68758</v>
      </c>
      <c r="G14" s="35">
        <f t="shared" si="1"/>
        <v>68447.12800412801</v>
      </c>
      <c r="H14" s="2"/>
    </row>
    <row r="15" ht="15" customHeight="1">
      <c r="A15" s="29" t="s">
        <v>306</v>
      </c>
      <c r="B15" s="40">
        <v>5019</v>
      </c>
      <c r="C15" s="40">
        <v>4912</v>
      </c>
      <c r="D15" s="14">
        <f t="shared" si="0"/>
        <v>4912</v>
      </c>
      <c r="E15" s="40">
        <v>4530</v>
      </c>
      <c r="F15" s="40">
        <v>4253</v>
      </c>
      <c r="G15" s="30">
        <f>F15-'Cash Flow Statement'!G42</f>
        <v>4173</v>
      </c>
      <c r="H15" s="2"/>
    </row>
    <row r="16" ht="15" customHeight="1">
      <c r="A16" s="29" t="s">
        <v>307</v>
      </c>
      <c r="B16" s="40">
        <v>4673</v>
      </c>
      <c r="C16" s="40">
        <v>4604</v>
      </c>
      <c r="D16" s="14">
        <f t="shared" si="0"/>
        <v>4604</v>
      </c>
      <c r="E16" s="40">
        <v>4565</v>
      </c>
      <c r="F16" s="40">
        <v>4510</v>
      </c>
      <c r="G16" s="65">
        <f t="shared" si="0"/>
        <v>4510</v>
      </c>
      <c r="H16" s="2"/>
    </row>
    <row r="17" ht="15" customHeight="1">
      <c r="A17" s="29" t="s">
        <v>308</v>
      </c>
      <c r="B17" s="40">
        <v>39407</v>
      </c>
      <c r="C17" s="40">
        <v>40643</v>
      </c>
      <c r="D17" s="14">
        <f t="shared" si="0"/>
        <v>40643</v>
      </c>
      <c r="E17" s="40">
        <v>43213</v>
      </c>
      <c r="F17" s="40">
        <v>47255</v>
      </c>
      <c r="G17" s="30">
        <f>F17-'Cash Flow Statement'!G58-'Cash Flow Statement'!G12</f>
        <v>53355</v>
      </c>
      <c r="H17" s="2" t="s">
        <v>309</v>
      </c>
    </row>
    <row r="18" ht="15" customHeight="1">
      <c r="A18" s="29" t="s">
        <v>310</v>
      </c>
      <c r="B18" s="40">
        <v>5783</v>
      </c>
      <c r="C18" s="40">
        <v>6027</v>
      </c>
      <c r="D18" s="14">
        <f t="shared" si="0"/>
        <v>6027</v>
      </c>
      <c r="E18" s="40">
        <v>6332</v>
      </c>
      <c r="F18" s="40">
        <v>6386</v>
      </c>
      <c r="G18" s="65">
        <f t="shared" si="0"/>
        <v>6386</v>
      </c>
      <c r="H18" s="2"/>
    </row>
    <row r="19" ht="15" customHeight="1">
      <c r="A19" s="29" t="s">
        <v>311</v>
      </c>
      <c r="B19" s="40">
        <v>1315</v>
      </c>
      <c r="C19" s="40">
        <v>1008</v>
      </c>
      <c r="D19" s="14">
        <f t="shared" si="0"/>
        <v>1008</v>
      </c>
      <c r="E19" s="40">
        <v>786</v>
      </c>
      <c r="F19" s="40">
        <v>674</v>
      </c>
      <c r="G19" s="30">
        <f>F19-'Cash Flow Statement'!G33</f>
        <v>961.6870085927219</v>
      </c>
      <c r="H19" s="2"/>
    </row>
    <row r="20" ht="15" customHeight="1">
      <c r="A20" s="29" t="s">
        <v>312</v>
      </c>
      <c r="B20" s="40">
        <v>6637</v>
      </c>
      <c r="C20" s="40">
        <v>6925</v>
      </c>
      <c r="D20" s="14">
        <f t="shared" si="0"/>
        <v>6925</v>
      </c>
      <c r="E20" s="40">
        <v>7060</v>
      </c>
      <c r="F20" s="40">
        <v>7235</v>
      </c>
      <c r="G20" s="30">
        <f>F20-'Cash Flow Statement'!G24</f>
        <v>7355</v>
      </c>
      <c r="H20" s="2"/>
    </row>
    <row r="21" ht="15" customHeight="1">
      <c r="A21" s="29" t="s">
        <v>313</v>
      </c>
      <c r="B21" s="40">
        <v>6248</v>
      </c>
      <c r="C21" s="40">
        <v>5045</v>
      </c>
      <c r="D21" s="14">
        <f t="shared" si="0"/>
        <v>5045</v>
      </c>
      <c r="E21" s="40">
        <v>7490</v>
      </c>
      <c r="F21" s="40">
        <v>9453</v>
      </c>
      <c r="G21" s="30">
        <f>F21-'Cash Flow Statement'!G30-'Cash Flow Statement'!G61-'Cash Flow Statement'!G70</f>
        <v>9101.01591946623</v>
      </c>
      <c r="H21" s="2" t="s">
        <v>314</v>
      </c>
    </row>
    <row r="22" ht="15" customHeight="1">
      <c r="A22" s="3" t="s">
        <v>315</v>
      </c>
      <c r="B22" s="34">
        <f t="shared" si="2" ref="B22:G22">B14+B15+B16+B17+B18+B19+B20+B21</f>
        <v>133735</v>
      </c>
      <c r="C22" s="34">
        <f t="shared" si="2"/>
        <v>137806</v>
      </c>
      <c r="D22" s="34">
        <f t="shared" si="2"/>
        <v>137806</v>
      </c>
      <c r="E22" s="34">
        <f t="shared" si="2"/>
        <v>143724</v>
      </c>
      <c r="F22" s="34">
        <f t="shared" si="2"/>
        <v>148524</v>
      </c>
      <c r="G22" s="35">
        <f t="shared" si="2"/>
        <v>154288.83093218695</v>
      </c>
      <c r="H22" s="2"/>
    </row>
    <row r="23" ht="15" customHeight="1">
      <c r="A23" s="3" t="s">
        <v>316</v>
      </c>
      <c r="B23" s="2"/>
      <c r="C23" s="2"/>
      <c r="D23" s="2"/>
      <c r="E23" s="2"/>
      <c r="F23" s="2"/>
      <c r="G23" s="28"/>
      <c r="H23" s="2"/>
    </row>
    <row r="24" ht="15" customHeight="1">
      <c r="A24" s="29" t="s">
        <v>317</v>
      </c>
      <c r="B24" s="40">
        <v>12819</v>
      </c>
      <c r="C24" s="40">
        <v>13371</v>
      </c>
      <c r="D24" s="14">
        <f t="shared" si="0"/>
        <v>13371</v>
      </c>
      <c r="E24" s="40">
        <v>14696</v>
      </c>
      <c r="F24" s="40">
        <v>15324</v>
      </c>
      <c r="G24" s="30">
        <f>F24+'Cash Flow Statement'!G48</f>
        <v>16524</v>
      </c>
      <c r="H24" s="2"/>
    </row>
    <row r="25" ht="15" customHeight="1">
      <c r="A25" s="29" t="s">
        <v>318</v>
      </c>
      <c r="B25" s="40">
        <v>12791</v>
      </c>
      <c r="C25" s="40">
        <v>13279</v>
      </c>
      <c r="D25" s="14">
        <f t="shared" si="0"/>
        <v>13279</v>
      </c>
      <c r="E25" s="40">
        <v>14554</v>
      </c>
      <c r="F25" s="40">
        <v>15256</v>
      </c>
      <c r="G25" s="30">
        <f>F25+'Cash Flow Statement'!G21+'Cash Flow Statement'!G27</f>
        <v>15535.741806254437</v>
      </c>
      <c r="H25" s="2" t="s">
        <v>319</v>
      </c>
    </row>
    <row r="26" ht="15" customHeight="1">
      <c r="A26" s="29" t="s">
        <v>320</v>
      </c>
      <c r="B26" s="40">
        <v>3756</v>
      </c>
      <c r="C26" s="40">
        <v>3424</v>
      </c>
      <c r="D26" s="14">
        <f t="shared" si="0"/>
        <v>3424</v>
      </c>
      <c r="E26" s="40">
        <v>3441</v>
      </c>
      <c r="F26" s="40">
        <v>3427</v>
      </c>
      <c r="G26" s="30">
        <f>F26+'Cash Flow Statement'!G51</f>
        <v>3627</v>
      </c>
      <c r="H26" s="2"/>
    </row>
    <row r="27" ht="15" customHeight="1">
      <c r="A27" s="29" t="s">
        <v>321</v>
      </c>
      <c r="B27" s="40">
        <v>1924</v>
      </c>
      <c r="C27" s="40">
        <v>1640</v>
      </c>
      <c r="D27" s="14">
        <f t="shared" si="0"/>
        <v>1640</v>
      </c>
      <c r="E27" s="40">
        <v>1447</v>
      </c>
      <c r="F27" s="40">
        <v>1418</v>
      </c>
      <c r="G27" s="65">
        <f t="shared" si="0"/>
        <v>1418</v>
      </c>
      <c r="H27" s="2"/>
    </row>
    <row r="28" ht="15" customHeight="1">
      <c r="A28" s="3" t="s">
        <v>322</v>
      </c>
      <c r="B28" s="34">
        <f t="shared" si="3" ref="B28:G39">B24+B25+B26+B27</f>
        <v>31290</v>
      </c>
      <c r="C28" s="34">
        <f t="shared" si="3"/>
        <v>31714</v>
      </c>
      <c r="D28" s="34">
        <f t="shared" si="3"/>
        <v>31714</v>
      </c>
      <c r="E28" s="34">
        <f t="shared" si="3"/>
        <v>34138</v>
      </c>
      <c r="F28" s="34">
        <f t="shared" si="3"/>
        <v>35425</v>
      </c>
      <c r="G28" s="35">
        <f t="shared" si="3"/>
        <v>37104.74180625444</v>
      </c>
      <c r="H28" s="2"/>
    </row>
    <row r="29" ht="15" customHeight="1">
      <c r="A29" s="29" t="s">
        <v>323</v>
      </c>
      <c r="B29" s="40">
        <v>5778</v>
      </c>
      <c r="C29" s="40">
        <v>6736</v>
      </c>
      <c r="D29" s="14">
        <f t="shared" si="0"/>
        <v>6736</v>
      </c>
      <c r="E29" s="40">
        <v>7782</v>
      </c>
      <c r="F29" s="40">
        <v>7924</v>
      </c>
      <c r="G29" s="30">
        <f>F29+'Cash Flow Statement'!G77+'Cash Flow Statement'!G80+'Cash Flow Statement'!G83+'Cash Flow Statement'!G89</f>
        <v>10395</v>
      </c>
      <c r="H29" s="2"/>
    </row>
    <row r="30" ht="15" customHeight="1">
      <c r="A30" s="29" t="s">
        <v>324</v>
      </c>
      <c r="B30" s="40">
        <v>3746</v>
      </c>
      <c r="C30" s="40">
        <v>3631</v>
      </c>
      <c r="D30" s="14">
        <f t="shared" si="0"/>
        <v>3631</v>
      </c>
      <c r="E30" s="40">
        <v>3847</v>
      </c>
      <c r="F30" s="40">
        <v>4073</v>
      </c>
      <c r="G30" s="65">
        <f t="shared" si="0"/>
        <v>4073</v>
      </c>
      <c r="H30" s="2"/>
    </row>
    <row r="31" ht="15" customHeight="1">
      <c r="A31" s="29" t="s">
        <v>325</v>
      </c>
      <c r="B31" s="40">
        <v>12205</v>
      </c>
      <c r="C31" s="40">
        <v>12860</v>
      </c>
      <c r="D31" s="14">
        <f t="shared" si="0"/>
        <v>12860</v>
      </c>
      <c r="E31" s="40">
        <v>13155</v>
      </c>
      <c r="F31" s="40">
        <v>13583</v>
      </c>
      <c r="G31" s="65">
        <f t="shared" si="0"/>
        <v>13583</v>
      </c>
      <c r="H31" s="2"/>
    </row>
    <row r="32" ht="15" customHeight="1">
      <c r="A32" s="3" t="s">
        <v>326</v>
      </c>
      <c r="B32" s="34">
        <f t="shared" si="3"/>
        <v>53019</v>
      </c>
      <c r="C32" s="34">
        <f t="shared" si="3"/>
        <v>54941</v>
      </c>
      <c r="D32" s="34">
        <f t="shared" si="3"/>
        <v>54941</v>
      </c>
      <c r="E32" s="34">
        <f t="shared" si="3"/>
        <v>58922</v>
      </c>
      <c r="F32" s="34">
        <f t="shared" si="3"/>
        <v>61005</v>
      </c>
      <c r="G32" s="35">
        <f t="shared" si="3"/>
        <v>65155.74180625444</v>
      </c>
      <c r="H32" s="2"/>
    </row>
    <row r="33" ht="15" customHeight="1">
      <c r="A33" s="29" t="s">
        <v>327</v>
      </c>
      <c r="B33" s="40">
        <v>59</v>
      </c>
      <c r="C33" s="40">
        <v>58</v>
      </c>
      <c r="D33" s="14">
        <f t="shared" si="0"/>
        <v>58</v>
      </c>
      <c r="E33" s="40">
        <v>57</v>
      </c>
      <c r="F33" s="40">
        <v>54</v>
      </c>
      <c r="G33" s="65">
        <f t="shared" si="0"/>
        <v>54</v>
      </c>
      <c r="H33" s="2"/>
    </row>
    <row r="34" ht="15" customHeight="1">
      <c r="A34" s="3" t="s">
        <v>328</v>
      </c>
      <c r="B34" s="2"/>
      <c r="C34" s="2"/>
      <c r="D34" s="2"/>
      <c r="E34" s="2"/>
      <c r="F34" s="2"/>
      <c r="G34" s="28"/>
      <c r="H34" s="2"/>
    </row>
    <row r="35" ht="15" customHeight="1">
      <c r="A35" s="29" t="s">
        <v>329</v>
      </c>
      <c r="B35" s="40">
        <v>3</v>
      </c>
      <c r="C35" s="40">
        <v>3</v>
      </c>
      <c r="D35" s="14">
        <f t="shared" si="0"/>
        <v>3</v>
      </c>
      <c r="E35" s="40">
        <v>3</v>
      </c>
      <c r="F35" s="40">
        <v>4</v>
      </c>
      <c r="G35" s="65">
        <f t="shared" si="0"/>
        <v>4</v>
      </c>
      <c r="H35" s="2"/>
    </row>
    <row r="36" ht="15" customHeight="1">
      <c r="A36" s="29" t="s">
        <v>330</v>
      </c>
      <c r="B36" s="40">
        <v>41597</v>
      </c>
      <c r="C36" s="40">
        <v>42770</v>
      </c>
      <c r="D36" s="14">
        <f t="shared" si="0"/>
        <v>42770</v>
      </c>
      <c r="E36" s="40">
        <v>44299</v>
      </c>
      <c r="F36" s="40">
        <v>45859</v>
      </c>
      <c r="G36" s="30">
        <f>F36+'Cash Flow Statement'!G15+'Cash Flow Statement'!G86+'Cash Flow Statement'!G92</f>
        <v>47229</v>
      </c>
      <c r="H36" s="2"/>
    </row>
    <row r="37" ht="15" customHeight="1">
      <c r="A37" s="29" t="s">
        <v>331</v>
      </c>
      <c r="B37" s="40">
        <v>207</v>
      </c>
      <c r="C37" s="40">
        <v>361</v>
      </c>
      <c r="D37" s="14">
        <f t="shared" si="0"/>
        <v>361</v>
      </c>
      <c r="E37" s="40">
        <v>334</v>
      </c>
      <c r="F37" s="40">
        <v>401</v>
      </c>
      <c r="G37" s="30">
        <f>F37+'Cash Flow Statement'!G101</f>
        <v>401</v>
      </c>
      <c r="H37" s="2"/>
    </row>
    <row r="38" ht="15" customHeight="1">
      <c r="A38" s="29" t="s">
        <v>332</v>
      </c>
      <c r="B38" s="40">
        <v>38163</v>
      </c>
      <c r="C38" s="40">
        <v>39003</v>
      </c>
      <c r="D38" s="14">
        <f t="shared" si="0"/>
        <v>39003</v>
      </c>
      <c r="E38" s="40">
        <v>39480</v>
      </c>
      <c r="F38" s="40">
        <v>40594</v>
      </c>
      <c r="G38" s="30">
        <f>F38+'Income Statement'!G117</f>
        <v>40844.08912593253</v>
      </c>
      <c r="H38" s="2"/>
    </row>
    <row r="39" ht="15" customHeight="1">
      <c r="A39" s="3" t="s">
        <v>333</v>
      </c>
      <c r="B39" s="34">
        <f t="shared" si="3"/>
        <v>79970</v>
      </c>
      <c r="C39" s="34">
        <f t="shared" si="3"/>
        <v>82137</v>
      </c>
      <c r="D39" s="34">
        <f t="shared" si="3"/>
        <v>82137</v>
      </c>
      <c r="E39" s="34">
        <f t="shared" si="3"/>
        <v>84116</v>
      </c>
      <c r="F39" s="34">
        <f t="shared" si="3"/>
        <v>86858</v>
      </c>
      <c r="G39" s="35">
        <f t="shared" si="3"/>
        <v>88478.08912593253</v>
      </c>
      <c r="H39" s="2"/>
    </row>
    <row r="40" ht="15" customHeight="1">
      <c r="A40" s="29" t="s">
        <v>334</v>
      </c>
      <c r="B40" s="40">
        <v>687</v>
      </c>
      <c r="C40" s="40">
        <v>670</v>
      </c>
      <c r="D40" s="14">
        <f t="shared" si="0"/>
        <v>670</v>
      </c>
      <c r="E40" s="40">
        <v>629</v>
      </c>
      <c r="F40" s="40">
        <v>607</v>
      </c>
      <c r="G40" s="30">
        <f>F40+'Income Statement'!G114+'Cash Flow Statement'!G95</f>
        <v>601</v>
      </c>
      <c r="H40" s="2"/>
    </row>
    <row r="41" ht="15" customHeight="1">
      <c r="A41" s="3" t="s">
        <v>335</v>
      </c>
      <c r="B41" s="34">
        <f t="shared" si="4" ref="B41:G41">B32+B33+B39+B40</f>
        <v>133735</v>
      </c>
      <c r="C41" s="34">
        <f t="shared" si="4"/>
        <v>137806</v>
      </c>
      <c r="D41" s="34">
        <f t="shared" si="4"/>
        <v>137806</v>
      </c>
      <c r="E41" s="34">
        <f t="shared" si="4"/>
        <v>143724</v>
      </c>
      <c r="F41" s="34">
        <f t="shared" si="4"/>
        <v>148524</v>
      </c>
      <c r="G41" s="35">
        <f t="shared" si="4"/>
        <v>154288.83093218697</v>
      </c>
      <c r="H41" s="2"/>
    </row>
    <row r="42" ht="15" customHeight="1">
      <c r="A42" s="23" t="s">
        <v>336</v>
      </c>
      <c r="B42" s="36">
        <f t="shared" si="5" ref="B42:G42">B22-B32-B33-B39-B40</f>
        <v>0</v>
      </c>
      <c r="C42" s="36">
        <f t="shared" si="5"/>
        <v>0</v>
      </c>
      <c r="D42" s="36">
        <f t="shared" si="5"/>
        <v>0</v>
      </c>
      <c r="E42" s="36">
        <f t="shared" si="5"/>
        <v>0</v>
      </c>
      <c r="F42" s="36">
        <f t="shared" si="5"/>
        <v>0</v>
      </c>
      <c r="G42" s="37">
        <f t="shared" si="5"/>
        <v>0</v>
      </c>
      <c r="H42" s="2"/>
    </row>
    <row r="43" ht="15" customHeight="1">
      <c r="A43" s="29" t="s">
        <v>337</v>
      </c>
      <c r="B43" s="40">
        <v>133735</v>
      </c>
      <c r="C43" s="40">
        <v>137806</v>
      </c>
      <c r="D43" s="14">
        <f t="shared" si="0"/>
        <v>137806</v>
      </c>
      <c r="E43" s="40">
        <v>143724</v>
      </c>
      <c r="F43" s="40">
        <v>148524</v>
      </c>
      <c r="G43" s="65" t="s">
        <v>31</v>
      </c>
      <c r="H43" s="2"/>
    </row>
    <row r="44" ht="15" customHeight="1">
      <c r="A44" s="23" t="s">
        <v>338</v>
      </c>
      <c r="B44" s="36">
        <f t="shared" si="6" ref="B44:F44">B22-B43</f>
        <v>0</v>
      </c>
      <c r="C44" s="36">
        <f t="shared" si="6"/>
        <v>0</v>
      </c>
      <c r="D44" s="36">
        <f t="shared" si="6"/>
        <v>0</v>
      </c>
      <c r="E44" s="36">
        <f t="shared" si="6"/>
        <v>0</v>
      </c>
      <c r="F44" s="36">
        <f t="shared" si="6"/>
        <v>0</v>
      </c>
      <c r="G44" s="37" t="s">
        <v>31</v>
      </c>
      <c r="H44" s="2"/>
    </row>
    <row r="45" ht="15" customHeight="1">
      <c r="A45" s="3" t="s">
        <v>339</v>
      </c>
      <c r="B45" s="2"/>
      <c r="C45" s="2"/>
      <c r="D45" s="2"/>
      <c r="E45" s="2"/>
      <c r="F45" s="2"/>
      <c r="G45" s="28"/>
      <c r="H45" s="2"/>
    </row>
    <row r="46" ht="15" customHeight="1">
      <c r="A46" s="29" t="s">
        <v>340</v>
      </c>
      <c r="B46" s="40">
        <v>588</v>
      </c>
      <c r="C46" s="40">
        <v>389</v>
      </c>
      <c r="D46" s="14">
        <f t="shared" si="0"/>
        <v>389</v>
      </c>
      <c r="E46" s="40">
        <v>327</v>
      </c>
      <c r="F46" s="40">
        <v>496</v>
      </c>
      <c r="G46" s="65">
        <f t="shared" si="0"/>
        <v>496</v>
      </c>
      <c r="H46" s="2" t="s">
        <v>341</v>
      </c>
    </row>
    <row r="47" ht="15" customHeight="1">
      <c r="A47" s="29" t="s">
        <v>342</v>
      </c>
      <c r="B47" s="40">
        <v>707</v>
      </c>
      <c r="C47" s="40">
        <v>714</v>
      </c>
      <c r="D47" s="14">
        <f t="shared" si="0"/>
        <v>714</v>
      </c>
      <c r="E47" s="40">
        <v>725</v>
      </c>
      <c r="F47" s="40">
        <v>710</v>
      </c>
      <c r="G47" s="65">
        <f t="shared" si="0"/>
        <v>710</v>
      </c>
      <c r="H47" s="2"/>
    </row>
    <row r="48" ht="15" customHeight="1">
      <c r="A48" s="3" t="s">
        <v>343</v>
      </c>
      <c r="B48" s="34">
        <f t="shared" si="7" ref="B48:G48">B9+B10</f>
        <v>41647</v>
      </c>
      <c r="C48" s="34">
        <f t="shared" si="7"/>
        <v>44059</v>
      </c>
      <c r="D48" s="34">
        <f t="shared" si="7"/>
        <v>44059</v>
      </c>
      <c r="E48" s="34">
        <f t="shared" si="7"/>
        <v>44743</v>
      </c>
      <c r="F48" s="34">
        <f t="shared" si="7"/>
        <v>43524</v>
      </c>
      <c r="G48" s="35">
        <f t="shared" si="7"/>
        <v>42853.12800412801</v>
      </c>
      <c r="H48" s="2"/>
    </row>
    <row r="49" ht="15" customHeight="1">
      <c r="A49" s="3" t="s">
        <v>344</v>
      </c>
      <c r="B49" s="34">
        <f t="shared" si="8" ref="B49:G49">B27+B29</f>
        <v>7702</v>
      </c>
      <c r="C49" s="34">
        <f t="shared" si="8"/>
        <v>8376</v>
      </c>
      <c r="D49" s="34">
        <f t="shared" si="8"/>
        <v>8376</v>
      </c>
      <c r="E49" s="34">
        <f t="shared" si="8"/>
        <v>9229</v>
      </c>
      <c r="F49" s="34">
        <f t="shared" si="8"/>
        <v>9342</v>
      </c>
      <c r="G49" s="35">
        <f t="shared" si="8"/>
        <v>11813</v>
      </c>
      <c r="H49" s="2"/>
    </row>
    <row r="50" ht="15" customHeight="1">
      <c r="A50" s="3" t="s">
        <v>345</v>
      </c>
      <c r="B50" s="34">
        <f t="shared" si="9" ref="B50:G50">B48-B49</f>
        <v>33945</v>
      </c>
      <c r="C50" s="34">
        <f t="shared" si="9"/>
        <v>35683</v>
      </c>
      <c r="D50" s="34">
        <f t="shared" si="9"/>
        <v>35683</v>
      </c>
      <c r="E50" s="34">
        <f t="shared" si="9"/>
        <v>35514</v>
      </c>
      <c r="F50" s="34">
        <f t="shared" si="9"/>
        <v>34182</v>
      </c>
      <c r="G50" s="35">
        <f t="shared" si="9"/>
        <v>31040.12800412801</v>
      </c>
      <c r="H50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2327B58-15F8-9458-49DB-83E94F6C648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346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347</v>
      </c>
      <c r="B8" s="2"/>
      <c r="C8" s="2"/>
      <c r="D8" s="2"/>
      <c r="E8" s="2"/>
      <c r="F8" s="2"/>
      <c r="G8" s="28"/>
      <c r="H8" s="2"/>
    </row>
    <row r="9" ht="15" customHeight="1">
      <c r="A9" s="29" t="s">
        <v>232</v>
      </c>
      <c r="B9" s="13">
        <f>'Income Statement'!B111</f>
        <v>1389</v>
      </c>
      <c r="C9" s="13">
        <f>'Income Statement'!C111</f>
        <v>856</v>
      </c>
      <c r="D9" s="13">
        <f>'Income Statement'!D111</f>
        <v>3855</v>
      </c>
      <c r="E9" s="13">
        <f>'Income Statement'!E111</f>
        <v>491</v>
      </c>
      <c r="F9" s="13">
        <f>'Income Statement'!F111</f>
        <v>1128</v>
      </c>
      <c r="G9" s="30">
        <f>'Income Statement'!G111</f>
        <v>264.0891259325293</v>
      </c>
      <c r="H9" s="2"/>
    </row>
    <row r="10" ht="15" customHeight="1">
      <c r="A10" s="31" t="s">
        <v>72</v>
      </c>
      <c r="B10" s="24">
        <f>IF(AND(ISNUMBER(B9),ISNUMBER(Inputs!B295)),B9-Inputs!B295,"n/a")</f>
        <v>-800</v>
      </c>
      <c r="C10" s="24">
        <f>IF(AND(ISNUMBER(C9),ISNUMBER(Inputs!C295)),C9-Inputs!C295,"n/a")</f>
        <v>-1287</v>
      </c>
      <c r="D10" s="24">
        <f>IF(AND(ISNUMBER(D9),ISNUMBER(Inputs!F295)),D9-Inputs!F295,"n/a")</f>
        <v>-3298</v>
      </c>
      <c r="E10" s="24">
        <f>IF(AND(ISNUMBER(E9),ISNUMBER(Inputs!D295)),E9-Inputs!D295,"n/a")</f>
        <v>71</v>
      </c>
      <c r="F10" s="24">
        <f>IF(AND(ISNUMBER(F9),ISNUMBER(Inputs!E295)),F9-Inputs!E295,"n/a")</f>
        <v>-62</v>
      </c>
      <c r="G10" s="37">
        <f t="shared" si="1" ref="G10:G116">IF(AND(ISNUMBER(G9),ISNUMBER(B9)),G9-B9,"n/a")</f>
        <v>-1124.9108740674706</v>
      </c>
      <c r="H10" s="2"/>
    </row>
    <row r="11" ht="15" customHeight="1">
      <c r="A11" s="31" t="s">
        <v>65</v>
      </c>
      <c r="B11" s="24">
        <f>IF(AND(ISNUMBER(B9),ISNUMBER(Inputs!E295)),B9-Inputs!E295,"n/a")</f>
        <v>199</v>
      </c>
      <c r="C11" s="36">
        <f t="shared" si="0" ref="C11:G117">IF(AND(ISNUMBER(C9),ISNUMBER(B9)),C9-B9,"n/a")</f>
        <v>-533</v>
      </c>
      <c r="D11" s="36"/>
      <c r="E11" s="36">
        <f t="shared" si="2" ref="E11:E117">IF(AND(ISNUMBER(E9),ISNUMBER(C9)),E9-C9,"n/a")</f>
        <v>-365</v>
      </c>
      <c r="F11" s="36">
        <f t="shared" si="0"/>
        <v>637</v>
      </c>
      <c r="G11" s="37">
        <f t="shared" si="0"/>
        <v>-863.9108740674707</v>
      </c>
      <c r="H11" s="2"/>
    </row>
    <row r="12" ht="15" customHeight="1">
      <c r="A12" s="29" t="s">
        <v>280</v>
      </c>
      <c r="B12" s="40">
        <v>1625</v>
      </c>
      <c r="C12" s="40">
        <v>1643</v>
      </c>
      <c r="D12" s="13">
        <f>Inputs!D296+Inputs!E296+B12+C12</f>
        <v>6148</v>
      </c>
      <c r="E12" s="40">
        <v>1590</v>
      </c>
      <c r="F12" s="40">
        <v>1619</v>
      </c>
      <c r="G12" s="41">
        <v>1700</v>
      </c>
      <c r="H12" s="2" t="s">
        <v>348</v>
      </c>
    </row>
    <row r="13" ht="15" customHeight="1">
      <c r="A13" s="31" t="s">
        <v>72</v>
      </c>
      <c r="B13" s="24">
        <f>IF(AND(ISNUMBER(B12),ISNUMBER(Inputs!B296)),B12-Inputs!B296,"n/a")</f>
        <v>277</v>
      </c>
      <c r="C13" s="24">
        <f>IF(AND(ISNUMBER(C12),ISNUMBER(Inputs!C296)),C12-Inputs!C296,"n/a")</f>
        <v>147</v>
      </c>
      <c r="D13" s="24">
        <f>IF(AND(ISNUMBER(D12),ISNUMBER(Inputs!F296)),D12-Inputs!F296,"n/a")</f>
        <v>780</v>
      </c>
      <c r="E13" s="24">
        <f>IF(AND(ISNUMBER(E12),ISNUMBER(Inputs!D296)),E12-Inputs!D296,"n/a")</f>
        <v>143</v>
      </c>
      <c r="F13" s="24">
        <f>IF(AND(ISNUMBER(F12),ISNUMBER(Inputs!E296)),F12-Inputs!E296,"n/a")</f>
        <v>186</v>
      </c>
      <c r="G13" s="37">
        <f t="shared" si="1"/>
        <v>75</v>
      </c>
      <c r="H13" s="2"/>
    </row>
    <row r="14" ht="15" customHeight="1">
      <c r="A14" s="31" t="s">
        <v>65</v>
      </c>
      <c r="B14" s="24">
        <f>IF(AND(ISNUMBER(B12),ISNUMBER(Inputs!E296)),B12-Inputs!E296,"n/a")</f>
        <v>192</v>
      </c>
      <c r="C14" s="36">
        <f t="shared" si="0"/>
        <v>18</v>
      </c>
      <c r="D14" s="36"/>
      <c r="E14" s="36">
        <f t="shared" si="2"/>
        <v>-53</v>
      </c>
      <c r="F14" s="36">
        <f t="shared" si="0"/>
        <v>29</v>
      </c>
      <c r="G14" s="37">
        <f t="shared" si="0"/>
        <v>81</v>
      </c>
      <c r="H14" s="2"/>
    </row>
    <row r="15" ht="15" customHeight="1">
      <c r="A15" s="29" t="s">
        <v>349</v>
      </c>
      <c r="B15" s="13">
        <f>'Income Statement'!B181</f>
        <v>663</v>
      </c>
      <c r="C15" s="13">
        <f>'Income Statement'!C181</f>
        <v>954</v>
      </c>
      <c r="D15" s="13">
        <f>'Income Statement'!D181</f>
        <v>2825</v>
      </c>
      <c r="E15" s="13">
        <f>'Income Statement'!E181</f>
        <v>1030</v>
      </c>
      <c r="F15" s="13">
        <f>'Income Statement'!F181</f>
        <v>1151</v>
      </c>
      <c r="G15" s="30">
        <f>'Income Statement'!G181</f>
        <v>1220</v>
      </c>
      <c r="H15" s="2"/>
    </row>
    <row r="16" ht="15" customHeight="1">
      <c r="A16" s="31" t="s">
        <v>72</v>
      </c>
      <c r="B16" s="24">
        <f>IF(AND(ISNUMBER(B15),ISNUMBER(Inputs!B297)),B15-Inputs!B297,"n/a")</f>
        <v>206</v>
      </c>
      <c r="C16" s="24">
        <f>IF(AND(ISNUMBER(C15),ISNUMBER(Inputs!C297)),C15-Inputs!C297,"n/a")</f>
        <v>375</v>
      </c>
      <c r="D16" s="24">
        <f>IF(AND(ISNUMBER(D15),ISNUMBER(Inputs!F297)),D15-Inputs!F297,"n/a")</f>
        <v>826</v>
      </c>
      <c r="E16" s="24">
        <f>IF(AND(ISNUMBER(E15),ISNUMBER(Inputs!D297)),E15-Inputs!D297,"n/a")</f>
        <v>457</v>
      </c>
      <c r="F16" s="24">
        <f>IF(AND(ISNUMBER(F15),ISNUMBER(Inputs!E297)),F15-Inputs!E297,"n/a")</f>
        <v>516</v>
      </c>
      <c r="G16" s="37">
        <f t="shared" si="1"/>
        <v>557</v>
      </c>
      <c r="H16" s="2"/>
    </row>
    <row r="17" ht="15" customHeight="1">
      <c r="A17" s="31" t="s">
        <v>65</v>
      </c>
      <c r="B17" s="24">
        <f>IF(AND(ISNUMBER(B15),ISNUMBER(Inputs!E297)),B15-Inputs!E297,"n/a")</f>
        <v>28</v>
      </c>
      <c r="C17" s="36">
        <f t="shared" si="0"/>
        <v>291</v>
      </c>
      <c r="D17" s="36"/>
      <c r="E17" s="36">
        <f t="shared" si="2"/>
        <v>76</v>
      </c>
      <c r="F17" s="36">
        <f t="shared" si="0"/>
        <v>121</v>
      </c>
      <c r="G17" s="37">
        <f t="shared" si="0"/>
        <v>69</v>
      </c>
      <c r="H17" s="2"/>
    </row>
    <row r="18" ht="15" customHeight="1">
      <c r="A18" s="29" t="s">
        <v>350</v>
      </c>
      <c r="B18" s="40">
        <v>65</v>
      </c>
      <c r="C18" s="40">
        <v>49</v>
      </c>
      <c r="D18" s="13">
        <f>Inputs!D298+Inputs!E298+B18+C18</f>
        <v>362</v>
      </c>
      <c r="E18" s="40">
        <v>77</v>
      </c>
      <c r="F18" s="40">
        <v>110</v>
      </c>
      <c r="G18" s="41">
        <v>90</v>
      </c>
      <c r="H18" s="2" t="s">
        <v>351</v>
      </c>
    </row>
    <row r="19" ht="15" customHeight="1">
      <c r="A19" s="31" t="s">
        <v>72</v>
      </c>
      <c r="B19" s="24" t="str">
        <f>IF(AND(ISNUMBER(B18),ISNUMBER(Inputs!B298)),B18-Inputs!B298,"n/a")</f>
        <v>n/a</v>
      </c>
      <c r="C19" s="24" t="str">
        <f>IF(AND(ISNUMBER(C18),ISNUMBER(Inputs!C298)),C18-Inputs!C298,"n/a")</f>
        <v>n/a</v>
      </c>
      <c r="D19" s="24" t="str">
        <f>IF(AND(ISNUMBER(D18),ISNUMBER(Inputs!F298)),D18-Inputs!F298,"n/a")</f>
        <v>n/a</v>
      </c>
      <c r="E19" s="24">
        <f>IF(AND(ISNUMBER(E18),ISNUMBER(Inputs!D298)),E18-Inputs!D298,"n/a")</f>
        <v>-35</v>
      </c>
      <c r="F19" s="24">
        <f>IF(AND(ISNUMBER(F18),ISNUMBER(Inputs!E298)),F18-Inputs!E298,"n/a")</f>
        <v>-26</v>
      </c>
      <c r="G19" s="37">
        <f t="shared" si="1"/>
        <v>25</v>
      </c>
      <c r="H19" s="2"/>
    </row>
    <row r="20" ht="15" customHeight="1">
      <c r="A20" s="31" t="s">
        <v>65</v>
      </c>
      <c r="B20" s="24">
        <f>IF(AND(ISNUMBER(B18),ISNUMBER(Inputs!E298)),B18-Inputs!E298,"n/a")</f>
        <v>-71</v>
      </c>
      <c r="C20" s="36">
        <f t="shared" si="0"/>
        <v>-16</v>
      </c>
      <c r="D20" s="36"/>
      <c r="E20" s="36">
        <f t="shared" si="2"/>
        <v>28</v>
      </c>
      <c r="F20" s="36">
        <f t="shared" si="0"/>
        <v>33</v>
      </c>
      <c r="G20" s="37">
        <f t="shared" si="0"/>
        <v>-20</v>
      </c>
      <c r="H20" s="2"/>
    </row>
    <row r="21" ht="15" customHeight="1">
      <c r="A21" s="29" t="s">
        <v>352</v>
      </c>
      <c r="B21" s="13">
        <f>'Income Statement'!B90</f>
        <v>106</v>
      </c>
      <c r="C21" s="13">
        <f>'Income Statement'!C90</f>
        <v>292</v>
      </c>
      <c r="D21" s="13">
        <f>'Income Statement'!D90</f>
        <v>452</v>
      </c>
      <c r="E21" s="13">
        <f>'Income Statement'!E90</f>
        <v>287</v>
      </c>
      <c r="F21" s="13">
        <f>'Income Statement'!F90</f>
        <v>312</v>
      </c>
      <c r="G21" s="30">
        <f>'Income Statement'!G90</f>
        <v>259.74180625443626</v>
      </c>
      <c r="H21" s="2"/>
    </row>
    <row r="22" ht="15" customHeight="1">
      <c r="A22" s="31" t="s">
        <v>72</v>
      </c>
      <c r="B22" s="24" t="str">
        <f>IF(AND(ISNUMBER(B21),ISNUMBER(Inputs!B299)),B21-Inputs!B299,"n/a")</f>
        <v>n/a</v>
      </c>
      <c r="C22" s="24" t="str">
        <f>IF(AND(ISNUMBER(C21),ISNUMBER(Inputs!C299)),C21-Inputs!C299,"n/a")</f>
        <v>n/a</v>
      </c>
      <c r="D22" s="24">
        <f>IF(AND(ISNUMBER(D21),ISNUMBER(Inputs!F299)),D21-Inputs!F299,"n/a")</f>
        <v>525</v>
      </c>
      <c r="E22" s="24">
        <f>IF(AND(ISNUMBER(E21),ISNUMBER(Inputs!D299)),E21-Inputs!D299,"n/a")</f>
        <v>257</v>
      </c>
      <c r="F22" s="24">
        <f>IF(AND(ISNUMBER(F21),ISNUMBER(Inputs!E299)),F21-Inputs!E299,"n/a")</f>
        <v>288</v>
      </c>
      <c r="G22" s="37">
        <f t="shared" si="1"/>
        <v>153.74180625443626</v>
      </c>
      <c r="H22" s="2"/>
    </row>
    <row r="23" ht="15" customHeight="1">
      <c r="A23" s="31" t="s">
        <v>65</v>
      </c>
      <c r="B23" s="24">
        <f>IF(AND(ISNUMBER(B21),ISNUMBER(Inputs!E299)),B21-Inputs!E299,"n/a")</f>
        <v>82</v>
      </c>
      <c r="C23" s="36">
        <f t="shared" si="0"/>
        <v>186</v>
      </c>
      <c r="D23" s="36"/>
      <c r="E23" s="36">
        <f t="shared" si="2"/>
        <v>-5</v>
      </c>
      <c r="F23" s="36">
        <f t="shared" si="0"/>
        <v>25</v>
      </c>
      <c r="G23" s="37">
        <f t="shared" si="0"/>
        <v>-52.258193745563744</v>
      </c>
      <c r="H23" s="2"/>
    </row>
    <row r="24" ht="15" customHeight="1">
      <c r="A24" s="29" t="s">
        <v>353</v>
      </c>
      <c r="B24" s="40">
        <v>225</v>
      </c>
      <c r="C24" s="40">
        <v>-111</v>
      </c>
      <c r="D24" s="13">
        <f>Inputs!D300+Inputs!E300+B24+C24</f>
        <v>123</v>
      </c>
      <c r="E24" s="40">
        <v>-136</v>
      </c>
      <c r="F24" s="40">
        <v>-165</v>
      </c>
      <c r="G24" s="41">
        <v>-120</v>
      </c>
      <c r="H24" s="2" t="s">
        <v>354</v>
      </c>
    </row>
    <row r="25" ht="15" customHeight="1">
      <c r="A25" s="31" t="s">
        <v>72</v>
      </c>
      <c r="B25" s="24" t="str">
        <f>IF(AND(ISNUMBER(B24),ISNUMBER(Inputs!B300)),B24-Inputs!B300,"n/a")</f>
        <v>n/a</v>
      </c>
      <c r="C25" s="24" t="str">
        <f>IF(AND(ISNUMBER(C24),ISNUMBER(Inputs!C300)),C24-Inputs!C300,"n/a")</f>
        <v>n/a</v>
      </c>
      <c r="D25" s="24" t="str">
        <f>IF(AND(ISNUMBER(D24),ISNUMBER(Inputs!F300)),D24-Inputs!F300,"n/a")</f>
        <v>n/a</v>
      </c>
      <c r="E25" s="24">
        <f>IF(AND(ISNUMBER(E24),ISNUMBER(Inputs!D300)),E24-Inputs!D300,"n/a")</f>
        <v>-93</v>
      </c>
      <c r="F25" s="24">
        <f>IF(AND(ISNUMBER(F24),ISNUMBER(Inputs!E300)),F24-Inputs!E300,"n/a")</f>
        <v>-217</v>
      </c>
      <c r="G25" s="37">
        <f t="shared" si="1"/>
        <v>-345</v>
      </c>
      <c r="H25" s="2"/>
    </row>
    <row r="26" ht="15" customHeight="1">
      <c r="A26" s="31" t="s">
        <v>65</v>
      </c>
      <c r="B26" s="24">
        <f>IF(AND(ISNUMBER(B24),ISNUMBER(Inputs!E300)),B24-Inputs!E300,"n/a")</f>
        <v>173</v>
      </c>
      <c r="C26" s="36">
        <f t="shared" si="0"/>
        <v>-336</v>
      </c>
      <c r="D26" s="36"/>
      <c r="E26" s="36">
        <f t="shared" si="2"/>
        <v>-25</v>
      </c>
      <c r="F26" s="36">
        <f t="shared" si="0"/>
        <v>-29</v>
      </c>
      <c r="G26" s="37">
        <f t="shared" si="0"/>
        <v>45</v>
      </c>
      <c r="H26" s="2"/>
    </row>
    <row r="27" ht="15" customHeight="1">
      <c r="A27" s="29" t="s">
        <v>355</v>
      </c>
      <c r="B27" s="40">
        <v>162</v>
      </c>
      <c r="C27" s="40">
        <v>37</v>
      </c>
      <c r="D27" s="13">
        <f>Inputs!D301+Inputs!E301+B27+C27</f>
        <v>272</v>
      </c>
      <c r="E27" s="40">
        <v>1</v>
      </c>
      <c r="F27" s="40">
        <v>32</v>
      </c>
      <c r="G27" s="41">
        <v>20</v>
      </c>
      <c r="H27" s="2" t="s">
        <v>356</v>
      </c>
    </row>
    <row r="28" ht="15" customHeight="1">
      <c r="A28" s="31" t="s">
        <v>72</v>
      </c>
      <c r="B28" s="24" t="str">
        <f>IF(AND(ISNUMBER(B27),ISNUMBER(Inputs!B301)),B27-Inputs!B301,"n/a")</f>
        <v>n/a</v>
      </c>
      <c r="C28" s="24" t="str">
        <f>IF(AND(ISNUMBER(C27),ISNUMBER(Inputs!C301)),C27-Inputs!C301,"n/a")</f>
        <v>n/a</v>
      </c>
      <c r="D28" s="24" t="str">
        <f>IF(AND(ISNUMBER(D27),ISNUMBER(Inputs!F301)),D27-Inputs!F301,"n/a")</f>
        <v>n/a</v>
      </c>
      <c r="E28" s="24">
        <f>IF(AND(ISNUMBER(E27),ISNUMBER(Inputs!D301)),E27-Inputs!D301,"n/a")</f>
        <v>-45</v>
      </c>
      <c r="F28" s="24">
        <f>IF(AND(ISNUMBER(F27),ISNUMBER(Inputs!E301)),F27-Inputs!E301,"n/a")</f>
        <v>5</v>
      </c>
      <c r="G28" s="37">
        <f t="shared" si="1"/>
        <v>-142</v>
      </c>
      <c r="H28" s="2"/>
    </row>
    <row r="29" ht="15" customHeight="1">
      <c r="A29" s="31" t="s">
        <v>65</v>
      </c>
      <c r="B29" s="24">
        <f>IF(AND(ISNUMBER(B27),ISNUMBER(Inputs!E301)),B27-Inputs!E301,"n/a")</f>
        <v>135</v>
      </c>
      <c r="C29" s="36">
        <f t="shared" si="0"/>
        <v>-125</v>
      </c>
      <c r="D29" s="36"/>
      <c r="E29" s="36">
        <f t="shared" si="2"/>
        <v>-36</v>
      </c>
      <c r="F29" s="36">
        <f t="shared" si="0"/>
        <v>31</v>
      </c>
      <c r="G29" s="37">
        <f t="shared" si="0"/>
        <v>-12</v>
      </c>
      <c r="H29" s="2"/>
    </row>
    <row r="30" ht="15" customHeight="1">
      <c r="A30" s="29" t="s">
        <v>357</v>
      </c>
      <c r="B30" s="13">
        <f>-'Income Statement'!B96</f>
        <v>0</v>
      </c>
      <c r="C30" s="13">
        <f>-'Income Statement'!C96</f>
        <v>0</v>
      </c>
      <c r="D30" s="13">
        <f>-'Income Statement'!D96</f>
        <v>0</v>
      </c>
      <c r="E30" s="13">
        <f>-'Income Statement'!E96</f>
        <v>0</v>
      </c>
      <c r="F30" s="13">
        <f>-'Income Statement'!F96</f>
        <v>-1005</v>
      </c>
      <c r="G30" s="30">
        <f>-'Income Statement'!G96</f>
        <v>351.98408053377045</v>
      </c>
      <c r="H30" s="2"/>
    </row>
    <row r="31" ht="15" customHeight="1">
      <c r="A31" s="31" t="s">
        <v>72</v>
      </c>
      <c r="B31" s="24">
        <f>IF(AND(ISNUMBER(B30),ISNUMBER(Inputs!B302)),B30-Inputs!B302,"n/a")</f>
        <v>0</v>
      </c>
      <c r="C31" s="24">
        <f>IF(AND(ISNUMBER(C30),ISNUMBER(Inputs!C302)),C30-Inputs!C302,"n/a")</f>
        <v>0</v>
      </c>
      <c r="D31" s="24">
        <f>IF(AND(ISNUMBER(D30),ISNUMBER(Inputs!F302)),D30-Inputs!F302,"n/a")</f>
        <v>0</v>
      </c>
      <c r="E31" s="24">
        <f>IF(AND(ISNUMBER(E30),ISNUMBER(Inputs!D302)),E30-Inputs!D302,"n/a")</f>
        <v>0</v>
      </c>
      <c r="F31" s="24">
        <f>IF(AND(ISNUMBER(F30),ISNUMBER(Inputs!E302)),F30-Inputs!E302,"n/a")</f>
        <v>-1005</v>
      </c>
      <c r="G31" s="37">
        <f t="shared" si="1"/>
        <v>351.98408053377045</v>
      </c>
      <c r="H31" s="2"/>
    </row>
    <row r="32" ht="15" customHeight="1">
      <c r="A32" s="31" t="s">
        <v>65</v>
      </c>
      <c r="B32" s="24">
        <f>IF(AND(ISNUMBER(B30),ISNUMBER(Inputs!E302)),B30-Inputs!E302,"n/a")</f>
        <v>0</v>
      </c>
      <c r="C32" s="36">
        <f t="shared" si="0"/>
        <v>0</v>
      </c>
      <c r="D32" s="36"/>
      <c r="E32" s="36">
        <f t="shared" si="2"/>
        <v>0</v>
      </c>
      <c r="F32" s="36">
        <f t="shared" si="0"/>
        <v>-1005</v>
      </c>
      <c r="G32" s="37">
        <f t="shared" si="0"/>
        <v>1356.9840805337703</v>
      </c>
      <c r="H32" s="2"/>
    </row>
    <row r="33" ht="15" customHeight="1">
      <c r="A33" s="29" t="s">
        <v>358</v>
      </c>
      <c r="B33" s="13">
        <f>'Income Statement'!B93</f>
        <v>-80</v>
      </c>
      <c r="C33" s="13">
        <f>'Income Statement'!C93</f>
        <v>307</v>
      </c>
      <c r="D33" s="13">
        <f>'Income Statement'!D93</f>
        <v>68</v>
      </c>
      <c r="E33" s="13">
        <f>'Income Statement'!E93</f>
        <v>222</v>
      </c>
      <c r="F33" s="13">
        <f>'Income Statement'!F93</f>
        <v>112</v>
      </c>
      <c r="G33" s="30">
        <f>'Income Statement'!G93</f>
        <v>-287.68700859272195</v>
      </c>
      <c r="H33" s="2"/>
    </row>
    <row r="34" ht="15" customHeight="1">
      <c r="A34" s="31" t="s">
        <v>72</v>
      </c>
      <c r="B34" s="24">
        <f>IF(AND(ISNUMBER(B33),ISNUMBER(Inputs!B303)),B33-Inputs!B303,"n/a")</f>
        <v>-73</v>
      </c>
      <c r="C34" s="24">
        <f>IF(AND(ISNUMBER(C33),ISNUMBER(Inputs!C303)),C33-Inputs!C303,"n/a")</f>
        <v>654</v>
      </c>
      <c r="D34" s="24">
        <f>IF(AND(ISNUMBER(D33),ISNUMBER(Inputs!F303)),D33-Inputs!F303,"n/a")</f>
        <v>657</v>
      </c>
      <c r="E34" s="24">
        <f>IF(AND(ISNUMBER(E33),ISNUMBER(Inputs!D303)),E33-Inputs!D303,"n/a")</f>
        <v>97</v>
      </c>
      <c r="F34" s="24">
        <f>IF(AND(ISNUMBER(F33),ISNUMBER(Inputs!E303)),F33-Inputs!E303,"n/a")</f>
        <v>396</v>
      </c>
      <c r="G34" s="37">
        <f t="shared" si="1"/>
        <v>-207.68700859272195</v>
      </c>
      <c r="H34" s="2"/>
    </row>
    <row r="35" ht="15" customHeight="1">
      <c r="A35" s="31" t="s">
        <v>65</v>
      </c>
      <c r="B35" s="24">
        <f>IF(AND(ISNUMBER(B33),ISNUMBER(Inputs!E303)),B33-Inputs!E303,"n/a")</f>
        <v>204</v>
      </c>
      <c r="C35" s="36">
        <f t="shared" si="0"/>
        <v>387</v>
      </c>
      <c r="D35" s="36"/>
      <c r="E35" s="36">
        <f t="shared" si="2"/>
        <v>-85</v>
      </c>
      <c r="F35" s="36">
        <f t="shared" si="0"/>
        <v>-110</v>
      </c>
      <c r="G35" s="37">
        <f t="shared" si="0"/>
        <v>-399.68700859272195</v>
      </c>
      <c r="H35" s="2"/>
    </row>
    <row r="36" ht="15" customHeight="1">
      <c r="A36" s="29" t="s">
        <v>359</v>
      </c>
      <c r="B36" s="40">
        <v>-907</v>
      </c>
      <c r="C36" s="40">
        <v>45</v>
      </c>
      <c r="D36" s="13">
        <f>Inputs!D304+Inputs!E304+B36+C36</f>
        <v>-261</v>
      </c>
      <c r="E36" s="40">
        <v>561</v>
      </c>
      <c r="F36" s="40">
        <v>-184</v>
      </c>
      <c r="G36" s="41">
        <v>-150</v>
      </c>
      <c r="H36" s="2" t="s">
        <v>356</v>
      </c>
    </row>
    <row r="37" ht="15" customHeight="1">
      <c r="A37" s="31" t="s">
        <v>72</v>
      </c>
      <c r="B37" s="24" t="str">
        <f>IF(AND(ISNUMBER(B36),ISNUMBER(Inputs!B304)),B36-Inputs!B304,"n/a")</f>
        <v>n/a</v>
      </c>
      <c r="C37" s="24" t="str">
        <f>IF(AND(ISNUMBER(C36),ISNUMBER(Inputs!C304)),C36-Inputs!C304,"n/a")</f>
        <v>n/a</v>
      </c>
      <c r="D37" s="24" t="str">
        <f>IF(AND(ISNUMBER(D36),ISNUMBER(Inputs!F304)),D36-Inputs!F304,"n/a")</f>
        <v>n/a</v>
      </c>
      <c r="E37" s="24">
        <f>IF(AND(ISNUMBER(E36),ISNUMBER(Inputs!D304)),E36-Inputs!D304,"n/a")</f>
        <v>-69</v>
      </c>
      <c r="F37" s="24">
        <f>IF(AND(ISNUMBER(F36),ISNUMBER(Inputs!E304)),F36-Inputs!E304,"n/a")</f>
        <v>-155</v>
      </c>
      <c r="G37" s="37">
        <f t="shared" si="1"/>
        <v>757</v>
      </c>
      <c r="H37" s="2"/>
    </row>
    <row r="38" ht="15" customHeight="1">
      <c r="A38" s="31" t="s">
        <v>65</v>
      </c>
      <c r="B38" s="24">
        <f>IF(AND(ISNUMBER(B36),ISNUMBER(Inputs!E304)),B36-Inputs!E304,"n/a")</f>
        <v>-878</v>
      </c>
      <c r="C38" s="36">
        <f t="shared" si="0"/>
        <v>952</v>
      </c>
      <c r="D38" s="36"/>
      <c r="E38" s="36">
        <f t="shared" si="2"/>
        <v>516</v>
      </c>
      <c r="F38" s="36">
        <f t="shared" si="0"/>
        <v>-745</v>
      </c>
      <c r="G38" s="37">
        <f t="shared" si="0"/>
        <v>34</v>
      </c>
      <c r="H38" s="2"/>
    </row>
    <row r="39" ht="15" customHeight="1">
      <c r="A39" s="29" t="s">
        <v>360</v>
      </c>
      <c r="B39" s="40">
        <v>1991</v>
      </c>
      <c r="C39" s="40">
        <v>-214</v>
      </c>
      <c r="D39" s="13">
        <f>Inputs!D305+Inputs!E305+B39+C39</f>
        <v>-630</v>
      </c>
      <c r="E39" s="40">
        <v>-2255</v>
      </c>
      <c r="F39" s="40">
        <v>592</v>
      </c>
      <c r="G39" s="41">
        <v>500</v>
      </c>
      <c r="H39" s="2" t="s">
        <v>361</v>
      </c>
    </row>
    <row r="40" ht="15" customHeight="1">
      <c r="A40" s="31" t="s">
        <v>72</v>
      </c>
      <c r="B40" s="24" t="str">
        <f>IF(AND(ISNUMBER(B39),ISNUMBER(Inputs!B305)),B39-Inputs!B305,"n/a")</f>
        <v>n/a</v>
      </c>
      <c r="C40" s="24" t="str">
        <f>IF(AND(ISNUMBER(C39),ISNUMBER(Inputs!C305)),C39-Inputs!C305,"n/a")</f>
        <v>n/a</v>
      </c>
      <c r="D40" s="24" t="str">
        <f>IF(AND(ISNUMBER(D39),ISNUMBER(Inputs!F305)),D39-Inputs!F305,"n/a")</f>
        <v>n/a</v>
      </c>
      <c r="E40" s="24">
        <f>IF(AND(ISNUMBER(E39),ISNUMBER(Inputs!D305)),E39-Inputs!D305,"n/a")</f>
        <v>-551</v>
      </c>
      <c r="F40" s="24">
        <f>IF(AND(ISNUMBER(F39),ISNUMBER(Inputs!E305)),F39-Inputs!E305,"n/a")</f>
        <v>1295</v>
      </c>
      <c r="G40" s="37">
        <f t="shared" si="1"/>
        <v>-1491</v>
      </c>
      <c r="H40" s="2"/>
    </row>
    <row r="41" ht="15" customHeight="1">
      <c r="A41" s="31" t="s">
        <v>65</v>
      </c>
      <c r="B41" s="24">
        <f>IF(AND(ISNUMBER(B39),ISNUMBER(Inputs!E305)),B39-Inputs!E305,"n/a")</f>
        <v>2694</v>
      </c>
      <c r="C41" s="36">
        <f t="shared" si="0"/>
        <v>-2205</v>
      </c>
      <c r="D41" s="36"/>
      <c r="E41" s="36">
        <f t="shared" si="2"/>
        <v>-2041</v>
      </c>
      <c r="F41" s="36">
        <f t="shared" si="0"/>
        <v>2847</v>
      </c>
      <c r="G41" s="37">
        <f t="shared" si="0"/>
        <v>-92</v>
      </c>
      <c r="H41" s="2"/>
    </row>
    <row r="42" ht="15" customHeight="1">
      <c r="A42" s="29" t="s">
        <v>362</v>
      </c>
      <c r="B42" s="40">
        <v>-11</v>
      </c>
      <c r="C42" s="40">
        <v>-79</v>
      </c>
      <c r="D42" s="13">
        <f>Inputs!D306+Inputs!E306+B42+C42</f>
        <v>-25</v>
      </c>
      <c r="E42" s="40">
        <v>174</v>
      </c>
      <c r="F42" s="40">
        <v>86</v>
      </c>
      <c r="G42" s="41">
        <v>80</v>
      </c>
      <c r="H42" s="2" t="s">
        <v>363</v>
      </c>
    </row>
    <row r="43" ht="15" customHeight="1">
      <c r="A43" s="31" t="s">
        <v>72</v>
      </c>
      <c r="B43" s="24" t="str">
        <f>IF(AND(ISNUMBER(B42),ISNUMBER(Inputs!B306)),B42-Inputs!B306,"n/a")</f>
        <v>n/a</v>
      </c>
      <c r="C43" s="24" t="str">
        <f>IF(AND(ISNUMBER(C42),ISNUMBER(Inputs!C306)),C42-Inputs!C306,"n/a")</f>
        <v>n/a</v>
      </c>
      <c r="D43" s="24" t="str">
        <f>IF(AND(ISNUMBER(D42),ISNUMBER(Inputs!F306)),D42-Inputs!F306,"n/a")</f>
        <v>n/a</v>
      </c>
      <c r="E43" s="24">
        <f>IF(AND(ISNUMBER(E42),ISNUMBER(Inputs!D306)),E42-Inputs!D306,"n/a")</f>
        <v>250</v>
      </c>
      <c r="F43" s="24">
        <f>IF(AND(ISNUMBER(F42),ISNUMBER(Inputs!E306)),F42-Inputs!E306,"n/a")</f>
        <v>-55</v>
      </c>
      <c r="G43" s="37">
        <f t="shared" si="1"/>
        <v>91</v>
      </c>
      <c r="H43" s="2"/>
    </row>
    <row r="44" ht="15" customHeight="1">
      <c r="A44" s="31" t="s">
        <v>65</v>
      </c>
      <c r="B44" s="24">
        <f>IF(AND(ISNUMBER(B42),ISNUMBER(Inputs!E306)),B42-Inputs!E306,"n/a")</f>
        <v>-152</v>
      </c>
      <c r="C44" s="36">
        <f t="shared" si="0"/>
        <v>-68</v>
      </c>
      <c r="D44" s="36"/>
      <c r="E44" s="36">
        <f t="shared" si="2"/>
        <v>253</v>
      </c>
      <c r="F44" s="36">
        <f t="shared" si="0"/>
        <v>-88</v>
      </c>
      <c r="G44" s="37">
        <f t="shared" si="0"/>
        <v>-6</v>
      </c>
      <c r="H44" s="2"/>
    </row>
    <row r="45" ht="15" customHeight="1">
      <c r="A45" s="29" t="s">
        <v>364</v>
      </c>
      <c r="B45" s="40">
        <v>-1143</v>
      </c>
      <c r="C45" s="40">
        <v>-901</v>
      </c>
      <c r="D45" s="13">
        <f>Inputs!D307+Inputs!E307+B45+C45</f>
        <v>-3181</v>
      </c>
      <c r="E45" s="40">
        <v>231</v>
      </c>
      <c r="F45" s="40">
        <v>-1259</v>
      </c>
      <c r="G45" s="41">
        <v>-800</v>
      </c>
      <c r="H45" s="2" t="s">
        <v>356</v>
      </c>
    </row>
    <row r="46" ht="15" customHeight="1">
      <c r="A46" s="31" t="s">
        <v>72</v>
      </c>
      <c r="B46" s="24" t="str">
        <f>IF(AND(ISNUMBER(B45),ISNUMBER(Inputs!B307)),B45-Inputs!B307,"n/a")</f>
        <v>n/a</v>
      </c>
      <c r="C46" s="24" t="str">
        <f>IF(AND(ISNUMBER(C45),ISNUMBER(Inputs!C307)),C45-Inputs!C307,"n/a")</f>
        <v>n/a</v>
      </c>
      <c r="D46" s="24" t="str">
        <f>IF(AND(ISNUMBER(D45),ISNUMBER(Inputs!F307)),D45-Inputs!F307,"n/a")</f>
        <v>n/a</v>
      </c>
      <c r="E46" s="24">
        <f>IF(AND(ISNUMBER(E45),ISNUMBER(Inputs!D307)),E45-Inputs!D307,"n/a")</f>
        <v>650</v>
      </c>
      <c r="F46" s="24">
        <f>IF(AND(ISNUMBER(F45),ISNUMBER(Inputs!E307)),F45-Inputs!E307,"n/a")</f>
        <v>-541</v>
      </c>
      <c r="G46" s="37">
        <f t="shared" si="1"/>
        <v>343</v>
      </c>
      <c r="H46" s="2"/>
    </row>
    <row r="47" ht="15" customHeight="1">
      <c r="A47" s="31" t="s">
        <v>65</v>
      </c>
      <c r="B47" s="24">
        <f>IF(AND(ISNUMBER(B45),ISNUMBER(Inputs!E307)),B45-Inputs!E307,"n/a")</f>
        <v>-425</v>
      </c>
      <c r="C47" s="36">
        <f t="shared" si="0"/>
        <v>242</v>
      </c>
      <c r="D47" s="36"/>
      <c r="E47" s="36">
        <f t="shared" si="2"/>
        <v>1132</v>
      </c>
      <c r="F47" s="36">
        <f t="shared" si="0"/>
        <v>-1490</v>
      </c>
      <c r="G47" s="37">
        <f t="shared" si="0"/>
        <v>459</v>
      </c>
      <c r="H47" s="2"/>
    </row>
    <row r="48" ht="15" customHeight="1">
      <c r="A48" s="29" t="s">
        <v>365</v>
      </c>
      <c r="B48" s="40">
        <v>1646</v>
      </c>
      <c r="C48" s="40">
        <v>1397</v>
      </c>
      <c r="D48" s="13">
        <f>Inputs!D308+Inputs!E308+B48+C48</f>
        <v>4376</v>
      </c>
      <c r="E48" s="40">
        <v>1401</v>
      </c>
      <c r="F48" s="40">
        <v>1940</v>
      </c>
      <c r="G48" s="41">
        <v>1200</v>
      </c>
      <c r="H48" s="2" t="s">
        <v>366</v>
      </c>
    </row>
    <row r="49" ht="15" customHeight="1">
      <c r="A49" s="31" t="s">
        <v>72</v>
      </c>
      <c r="B49" s="24" t="str">
        <f>IF(AND(ISNUMBER(B48),ISNUMBER(Inputs!B308)),B48-Inputs!B308,"n/a")</f>
        <v>n/a</v>
      </c>
      <c r="C49" s="24" t="str">
        <f>IF(AND(ISNUMBER(C48),ISNUMBER(Inputs!C308)),C48-Inputs!C308,"n/a")</f>
        <v>n/a</v>
      </c>
      <c r="D49" s="24" t="str">
        <f>IF(AND(ISNUMBER(D48),ISNUMBER(Inputs!F308)),D48-Inputs!F308,"n/a")</f>
        <v>n/a</v>
      </c>
      <c r="E49" s="24">
        <f>IF(AND(ISNUMBER(E48),ISNUMBER(Inputs!D308)),E48-Inputs!D308,"n/a")</f>
        <v>695</v>
      </c>
      <c r="F49" s="24">
        <f>IF(AND(ISNUMBER(F48),ISNUMBER(Inputs!E308)),F48-Inputs!E308,"n/a")</f>
        <v>1313</v>
      </c>
      <c r="G49" s="37">
        <f t="shared" si="1"/>
        <v>-446</v>
      </c>
      <c r="H49" s="2"/>
    </row>
    <row r="50" ht="15" customHeight="1">
      <c r="A50" s="31" t="s">
        <v>65</v>
      </c>
      <c r="B50" s="24">
        <f>IF(AND(ISNUMBER(B48),ISNUMBER(Inputs!E308)),B48-Inputs!E308,"n/a")</f>
        <v>1019</v>
      </c>
      <c r="C50" s="36">
        <f t="shared" si="0"/>
        <v>-249</v>
      </c>
      <c r="D50" s="36"/>
      <c r="E50" s="36">
        <f t="shared" si="2"/>
        <v>4</v>
      </c>
      <c r="F50" s="36">
        <f t="shared" si="0"/>
        <v>539</v>
      </c>
      <c r="G50" s="37">
        <f t="shared" si="0"/>
        <v>-740</v>
      </c>
      <c r="H50" s="2"/>
    </row>
    <row r="51" ht="15" customHeight="1">
      <c r="A51" s="29" t="s">
        <v>367</v>
      </c>
      <c r="B51" s="40">
        <v>507</v>
      </c>
      <c r="C51" s="40">
        <v>-462</v>
      </c>
      <c r="D51" s="13">
        <f>Inputs!D309+Inputs!E309+B51+C51</f>
        <v>363</v>
      </c>
      <c r="E51" s="40">
        <v>263</v>
      </c>
      <c r="F51" s="40">
        <v>228</v>
      </c>
      <c r="G51" s="41">
        <v>200</v>
      </c>
      <c r="H51" s="2" t="s">
        <v>368</v>
      </c>
    </row>
    <row r="52" ht="15" customHeight="1">
      <c r="A52" s="31" t="s">
        <v>72</v>
      </c>
      <c r="B52" s="24" t="str">
        <f>IF(AND(ISNUMBER(B51),ISNUMBER(Inputs!B309)),B51-Inputs!B309,"n/a")</f>
        <v>n/a</v>
      </c>
      <c r="C52" s="24" t="str">
        <f>IF(AND(ISNUMBER(C51),ISNUMBER(Inputs!C309)),C51-Inputs!C309,"n/a")</f>
        <v>n/a</v>
      </c>
      <c r="D52" s="24" t="str">
        <f>IF(AND(ISNUMBER(D51),ISNUMBER(Inputs!F309)),D51-Inputs!F309,"n/a")</f>
        <v>n/a</v>
      </c>
      <c r="E52" s="24">
        <f>IF(AND(ISNUMBER(E51),ISNUMBER(Inputs!D309)),E51-Inputs!D309,"n/a")</f>
        <v>-46</v>
      </c>
      <c r="F52" s="24">
        <f>IF(AND(ISNUMBER(F51),ISNUMBER(Inputs!E309)),F51-Inputs!E309,"n/a")</f>
        <v>219</v>
      </c>
      <c r="G52" s="37">
        <f t="shared" si="1"/>
        <v>-307</v>
      </c>
      <c r="H52" s="2"/>
    </row>
    <row r="53" ht="15" customHeight="1">
      <c r="A53" s="31" t="s">
        <v>65</v>
      </c>
      <c r="B53" s="24">
        <f>IF(AND(ISNUMBER(B51),ISNUMBER(Inputs!E309)),B51-Inputs!E309,"n/a")</f>
        <v>498</v>
      </c>
      <c r="C53" s="36">
        <f t="shared" si="0"/>
        <v>-969</v>
      </c>
      <c r="D53" s="36"/>
      <c r="E53" s="36">
        <f t="shared" si="2"/>
        <v>725</v>
      </c>
      <c r="F53" s="36">
        <f t="shared" si="0"/>
        <v>-35</v>
      </c>
      <c r="G53" s="37">
        <f t="shared" si="0"/>
        <v>-28</v>
      </c>
      <c r="H53" s="2"/>
    </row>
    <row r="54" ht="15" customHeight="1">
      <c r="A54" s="3" t="s">
        <v>369</v>
      </c>
      <c r="B54" s="34">
        <f t="shared" si="3" ref="B54:G54">B9+B12+B15+B18+B21+B24+B27+B30+B33+B36+B39+B42+B45+B48+B51</f>
        <v>6238</v>
      </c>
      <c r="C54" s="34">
        <f t="shared" si="3"/>
        <v>3813</v>
      </c>
      <c r="D54" s="34">
        <f t="shared" si="3"/>
        <v>14747</v>
      </c>
      <c r="E54" s="34">
        <f t="shared" si="3"/>
        <v>3937</v>
      </c>
      <c r="F54" s="34">
        <f t="shared" si="3"/>
        <v>4697</v>
      </c>
      <c r="G54" s="35">
        <f t="shared" si="3"/>
        <v>4528.128004128013</v>
      </c>
      <c r="H54" s="2"/>
    </row>
    <row r="55" ht="15" customHeight="1">
      <c r="A55" s="23" t="s">
        <v>60</v>
      </c>
      <c r="B55" s="32">
        <f>IF(AND(ISNUMBER(B54),ISNUMBER(Inputs!B310)),IF(Inputs!B310&gt;0,B54/Inputs!B310-1,"n/m"),"n/a")</f>
        <v>-0.002717825739408486</v>
      </c>
      <c r="C55" s="32">
        <f>IF(AND(ISNUMBER(C54),ISNUMBER(Inputs!C310)),IF(Inputs!C310&gt;0,C54/Inputs!C310-1,"n/m"),"n/a")</f>
        <v>-0.20793518903199004</v>
      </c>
      <c r="D55" s="32">
        <f>IF(AND(ISNUMBER(D54),ISNUMBER(Inputs!F310)),IF(Inputs!F310&gt;0,D54/Inputs!F310-1,"n/m"),"n/a")</f>
        <v>-0.011793875226160933</v>
      </c>
      <c r="E55" s="32">
        <f>IF(AND(ISNUMBER(E54),ISNUMBER(Inputs!D310)),IF(Inputs!D310&gt;0,E54/Inputs!D310-1,"n/m"),"n/a")</f>
        <v>0.8260667903525047</v>
      </c>
      <c r="F55" s="32">
        <f>IF(AND(ISNUMBER(F54),ISNUMBER(Inputs!E310)),IF(Inputs!E310&gt;0,F54/Inputs!E310-1,"n/m"),"n/a")</f>
        <v>0.8492125984251968</v>
      </c>
      <c r="G55" s="33">
        <f>IF(AND(ISNUMBER(G54),ISNUMBER(B54)),IF(B54&gt;0,G54/B54-1,"n/m"),"n/a")</f>
        <v>-0.27410580248028005</v>
      </c>
      <c r="H55" s="2"/>
    </row>
    <row r="56" ht="15" customHeight="1">
      <c r="A56" s="23" t="s">
        <v>65</v>
      </c>
      <c r="B56" s="24">
        <f>IF(AND(ISNUMBER(B54),ISNUMBER(Inputs!E310)),B54-Inputs!E310,"n/a")</f>
        <v>3698</v>
      </c>
      <c r="C56" s="36">
        <f t="shared" si="0"/>
        <v>-2425</v>
      </c>
      <c r="D56" s="36"/>
      <c r="E56" s="36">
        <f t="shared" si="2"/>
        <v>124</v>
      </c>
      <c r="F56" s="36">
        <f t="shared" si="0"/>
        <v>760</v>
      </c>
      <c r="G56" s="37">
        <f t="shared" si="0"/>
        <v>-168.87199587198666</v>
      </c>
      <c r="H56" s="2"/>
    </row>
    <row r="57" ht="15" customHeight="1">
      <c r="A57" s="3" t="s">
        <v>370</v>
      </c>
      <c r="B57" s="2"/>
      <c r="C57" s="2"/>
      <c r="D57" s="2"/>
      <c r="E57" s="2"/>
      <c r="F57" s="2"/>
      <c r="G57" s="28"/>
      <c r="H57" s="2"/>
    </row>
    <row r="58" ht="15" customHeight="1">
      <c r="A58" s="29" t="s">
        <v>371</v>
      </c>
      <c r="B58" s="40">
        <v>-2248</v>
      </c>
      <c r="C58" s="40">
        <v>-2393</v>
      </c>
      <c r="D58" s="13">
        <f>Inputs!D311+Inputs!E311+B58+C58</f>
        <v>-8527</v>
      </c>
      <c r="E58" s="40">
        <v>-2493</v>
      </c>
      <c r="F58" s="40">
        <v>-5789</v>
      </c>
      <c r="G58" s="41">
        <v>-7800</v>
      </c>
      <c r="H58" s="2" t="s">
        <v>372</v>
      </c>
    </row>
    <row r="59" ht="15" customHeight="1">
      <c r="A59" s="31" t="s">
        <v>72</v>
      </c>
      <c r="B59" s="24">
        <f>IF(AND(ISNUMBER(B58),ISNUMBER(Inputs!B311)),B58-Inputs!B311,"n/a")</f>
        <v>1265</v>
      </c>
      <c r="C59" s="24">
        <f>IF(AND(ISNUMBER(C58),ISNUMBER(Inputs!C311)),C58-Inputs!C311,"n/a")</f>
        <v>387</v>
      </c>
      <c r="D59" s="24">
        <f>IF(AND(ISNUMBER(D58),ISNUMBER(Inputs!F311)),D58-Inputs!F311,"n/a")</f>
        <v>2815</v>
      </c>
      <c r="E59" s="24">
        <f>IF(AND(ISNUMBER(E58),ISNUMBER(Inputs!D311)),E58-Inputs!D311,"n/a")</f>
        <v>-1001</v>
      </c>
      <c r="F59" s="24">
        <f>IF(AND(ISNUMBER(F58),ISNUMBER(Inputs!E311)),F58-Inputs!E311,"n/a")</f>
        <v>-3395</v>
      </c>
      <c r="G59" s="37">
        <f t="shared" si="1"/>
        <v>-5552</v>
      </c>
      <c r="H59" s="2"/>
    </row>
    <row r="60" ht="15" customHeight="1">
      <c r="A60" s="31" t="s">
        <v>65</v>
      </c>
      <c r="B60" s="24">
        <f>IF(AND(ISNUMBER(B58),ISNUMBER(Inputs!E311)),B58-Inputs!E311,"n/a")</f>
        <v>146</v>
      </c>
      <c r="C60" s="36">
        <f t="shared" si="0"/>
        <v>-145</v>
      </c>
      <c r="D60" s="36"/>
      <c r="E60" s="36">
        <f t="shared" si="2"/>
        <v>-100</v>
      </c>
      <c r="F60" s="36">
        <f t="shared" si="0"/>
        <v>-3296</v>
      </c>
      <c r="G60" s="37">
        <f t="shared" si="0"/>
        <v>-2011</v>
      </c>
      <c r="H60" s="2"/>
    </row>
    <row r="61" ht="15" customHeight="1">
      <c r="A61" s="29" t="s">
        <v>373</v>
      </c>
      <c r="B61" s="40">
        <v>0</v>
      </c>
      <c r="C61" s="40">
        <v>0</v>
      </c>
      <c r="D61" s="13">
        <f>Inputs!D312+Inputs!E312+B61+C61</f>
        <v>0</v>
      </c>
      <c r="E61" s="40">
        <v>-2002</v>
      </c>
      <c r="F61" s="40">
        <v>0</v>
      </c>
      <c r="G61" s="41">
        <v>0</v>
      </c>
      <c r="H61" s="2" t="s">
        <v>239</v>
      </c>
    </row>
    <row r="62" ht="15" customHeight="1">
      <c r="A62" s="31" t="s">
        <v>72</v>
      </c>
      <c r="B62" s="24" t="str">
        <f>IF(AND(ISNUMBER(B61),ISNUMBER(Inputs!B312)),B61-Inputs!B312,"n/a")</f>
        <v>n/a</v>
      </c>
      <c r="C62" s="24" t="str">
        <f>IF(AND(ISNUMBER(C61),ISNUMBER(Inputs!C312)),C61-Inputs!C312,"n/a")</f>
        <v>n/a</v>
      </c>
      <c r="D62" s="24" t="str">
        <f>IF(AND(ISNUMBER(D61),ISNUMBER(Inputs!F312)),D61-Inputs!F312,"n/a")</f>
        <v>n/a</v>
      </c>
      <c r="E62" s="24">
        <f>IF(AND(ISNUMBER(E61),ISNUMBER(Inputs!D312)),E61-Inputs!D312,"n/a")</f>
        <v>-2002</v>
      </c>
      <c r="F62" s="24">
        <f>IF(AND(ISNUMBER(F61),ISNUMBER(Inputs!E312)),F61-Inputs!E312,"n/a")</f>
        <v>0</v>
      </c>
      <c r="G62" s="37">
        <f t="shared" si="1"/>
        <v>0</v>
      </c>
      <c r="H62" s="2"/>
    </row>
    <row r="63" ht="15" customHeight="1">
      <c r="A63" s="31" t="s">
        <v>65</v>
      </c>
      <c r="B63" s="24">
        <f>IF(AND(ISNUMBER(B61),ISNUMBER(Inputs!E312)),B61-Inputs!E312,"n/a")</f>
        <v>0</v>
      </c>
      <c r="C63" s="36">
        <f t="shared" si="0"/>
        <v>0</v>
      </c>
      <c r="D63" s="36"/>
      <c r="E63" s="36">
        <f t="shared" si="2"/>
        <v>-2002</v>
      </c>
      <c r="F63" s="36">
        <f t="shared" si="0"/>
        <v>2002</v>
      </c>
      <c r="G63" s="37">
        <f t="shared" si="0"/>
        <v>0</v>
      </c>
      <c r="H63" s="2"/>
    </row>
    <row r="64" ht="15" customHeight="1">
      <c r="A64" s="29" t="s">
        <v>374</v>
      </c>
      <c r="B64" s="40">
        <v>-11402</v>
      </c>
      <c r="C64" s="40">
        <v>-12207</v>
      </c>
      <c r="D64" s="13">
        <f>Inputs!D313+Inputs!E313+B64+C64</f>
        <v>-37109</v>
      </c>
      <c r="E64" s="40">
        <v>-8318</v>
      </c>
      <c r="F64" s="40">
        <v>-7963</v>
      </c>
      <c r="G64" s="41">
        <v>-7500</v>
      </c>
      <c r="H64" s="2" t="s">
        <v>375</v>
      </c>
    </row>
    <row r="65" ht="15" customHeight="1">
      <c r="A65" s="31" t="s">
        <v>72</v>
      </c>
      <c r="B65" s="24" t="str">
        <f>IF(AND(ISNUMBER(B64),ISNUMBER(Inputs!B313)),B64-Inputs!B313,"n/a")</f>
        <v>n/a</v>
      </c>
      <c r="C65" s="24" t="str">
        <f>IF(AND(ISNUMBER(C64),ISNUMBER(Inputs!C313)),C64-Inputs!C313,"n/a")</f>
        <v>n/a</v>
      </c>
      <c r="D65" s="24" t="str">
        <f>IF(AND(ISNUMBER(D64),ISNUMBER(Inputs!F313)),D64-Inputs!F313,"n/a")</f>
        <v>n/a</v>
      </c>
      <c r="E65" s="24">
        <f>IF(AND(ISNUMBER(E64),ISNUMBER(Inputs!D313)),E64-Inputs!D313,"n/a")</f>
        <v>-2303</v>
      </c>
      <c r="F65" s="24">
        <f>IF(AND(ISNUMBER(F64),ISNUMBER(Inputs!E313)),F64-Inputs!E313,"n/a")</f>
        <v>-478</v>
      </c>
      <c r="G65" s="37">
        <f t="shared" si="1"/>
        <v>3902</v>
      </c>
      <c r="H65" s="2"/>
    </row>
    <row r="66" ht="15" customHeight="1">
      <c r="A66" s="31" t="s">
        <v>65</v>
      </c>
      <c r="B66" s="24">
        <f>IF(AND(ISNUMBER(B64),ISNUMBER(Inputs!E313)),B64-Inputs!E313,"n/a")</f>
        <v>-3917</v>
      </c>
      <c r="C66" s="36">
        <f t="shared" si="0"/>
        <v>-805</v>
      </c>
      <c r="D66" s="36"/>
      <c r="E66" s="36">
        <f t="shared" si="2"/>
        <v>3889</v>
      </c>
      <c r="F66" s="36">
        <f t="shared" si="0"/>
        <v>355</v>
      </c>
      <c r="G66" s="37">
        <f t="shared" si="0"/>
        <v>463</v>
      </c>
      <c r="H66" s="2"/>
    </row>
    <row r="67" ht="15" customHeight="1">
      <c r="A67" s="29" t="s">
        <v>376</v>
      </c>
      <c r="B67" s="40">
        <v>9295</v>
      </c>
      <c r="C67" s="40">
        <v>8072</v>
      </c>
      <c r="D67" s="13">
        <f>Inputs!D314+Inputs!E314+B67+C67</f>
        <v>30158</v>
      </c>
      <c r="E67" s="40">
        <v>7790</v>
      </c>
      <c r="F67" s="40">
        <v>7831</v>
      </c>
      <c r="G67" s="41">
        <v>7500</v>
      </c>
      <c r="H67" s="2" t="s">
        <v>375</v>
      </c>
    </row>
    <row r="68" ht="15" customHeight="1">
      <c r="A68" s="31" t="s">
        <v>72</v>
      </c>
      <c r="B68" s="24" t="str">
        <f>IF(AND(ISNUMBER(B67),ISNUMBER(Inputs!B314)),B67-Inputs!B314,"n/a")</f>
        <v>n/a</v>
      </c>
      <c r="C68" s="24" t="str">
        <f>IF(AND(ISNUMBER(C67),ISNUMBER(Inputs!C314)),C67-Inputs!C314,"n/a")</f>
        <v>n/a</v>
      </c>
      <c r="D68" s="24" t="str">
        <f>IF(AND(ISNUMBER(D67),ISNUMBER(Inputs!F314)),D67-Inputs!F314,"n/a")</f>
        <v>n/a</v>
      </c>
      <c r="E68" s="24">
        <f>IF(AND(ISNUMBER(E67),ISNUMBER(Inputs!D314)),E67-Inputs!D314,"n/a")</f>
        <v>1934</v>
      </c>
      <c r="F68" s="24">
        <f>IF(AND(ISNUMBER(F67),ISNUMBER(Inputs!E314)),F67-Inputs!E314,"n/a")</f>
        <v>896</v>
      </c>
      <c r="G68" s="37">
        <f t="shared" si="1"/>
        <v>-1795</v>
      </c>
      <c r="H68" s="2"/>
    </row>
    <row r="69" ht="15" customHeight="1">
      <c r="A69" s="31" t="s">
        <v>65</v>
      </c>
      <c r="B69" s="24">
        <f>IF(AND(ISNUMBER(B67),ISNUMBER(Inputs!E314)),B67-Inputs!E314,"n/a")</f>
        <v>2360</v>
      </c>
      <c r="C69" s="36">
        <f t="shared" si="0"/>
        <v>-1223</v>
      </c>
      <c r="D69" s="36"/>
      <c r="E69" s="36">
        <f t="shared" si="2"/>
        <v>-282</v>
      </c>
      <c r="F69" s="36">
        <f t="shared" si="0"/>
        <v>41</v>
      </c>
      <c r="G69" s="37">
        <f t="shared" si="0"/>
        <v>-331</v>
      </c>
      <c r="H69" s="2"/>
    </row>
    <row r="70" ht="15" customHeight="1">
      <c r="A70" s="29" t="s">
        <v>377</v>
      </c>
      <c r="B70" s="40">
        <v>0</v>
      </c>
      <c r="C70" s="40">
        <v>0</v>
      </c>
      <c r="D70" s="13">
        <f>Inputs!D315+Inputs!E315+B70+C70</f>
        <v>0</v>
      </c>
      <c r="E70" s="40">
        <v>0</v>
      </c>
      <c r="F70" s="40">
        <v>-7</v>
      </c>
      <c r="G70" s="41">
        <v>0</v>
      </c>
      <c r="H70" s="2" t="s">
        <v>356</v>
      </c>
    </row>
    <row r="71" ht="15" customHeight="1">
      <c r="A71" s="31" t="s">
        <v>72</v>
      </c>
      <c r="B71" s="24" t="str">
        <f>IF(AND(ISNUMBER(B70),ISNUMBER(Inputs!B315)),B70-Inputs!B315,"n/a")</f>
        <v>n/a</v>
      </c>
      <c r="C71" s="24" t="str">
        <f>IF(AND(ISNUMBER(C70),ISNUMBER(Inputs!C315)),C70-Inputs!C315,"n/a")</f>
        <v>n/a</v>
      </c>
      <c r="D71" s="24" t="str">
        <f>IF(AND(ISNUMBER(D70),ISNUMBER(Inputs!F315)),D70-Inputs!F315,"n/a")</f>
        <v>n/a</v>
      </c>
      <c r="E71" s="24">
        <f>IF(AND(ISNUMBER(E70),ISNUMBER(Inputs!D315)),E70-Inputs!D315,"n/a")</f>
        <v>0</v>
      </c>
      <c r="F71" s="24">
        <f>IF(AND(ISNUMBER(F70),ISNUMBER(Inputs!E315)),F70-Inputs!E315,"n/a")</f>
        <v>-7</v>
      </c>
      <c r="G71" s="37">
        <f t="shared" si="1"/>
        <v>0</v>
      </c>
      <c r="H71" s="2"/>
    </row>
    <row r="72" ht="15" customHeight="1">
      <c r="A72" s="31" t="s">
        <v>65</v>
      </c>
      <c r="B72" s="24">
        <f>IF(AND(ISNUMBER(B70),ISNUMBER(Inputs!E315)),B70-Inputs!E315,"n/a")</f>
        <v>0</v>
      </c>
      <c r="C72" s="36">
        <f t="shared" si="0"/>
        <v>0</v>
      </c>
      <c r="D72" s="36"/>
      <c r="E72" s="36">
        <f t="shared" si="2"/>
        <v>0</v>
      </c>
      <c r="F72" s="36">
        <f t="shared" si="0"/>
        <v>-7</v>
      </c>
      <c r="G72" s="37">
        <f t="shared" si="0"/>
        <v>7</v>
      </c>
      <c r="H72" s="2"/>
    </row>
    <row r="73" ht="15" customHeight="1">
      <c r="A73" s="3" t="s">
        <v>378</v>
      </c>
      <c r="B73" s="34">
        <f t="shared" si="4" ref="B73:G73">B58+B61+B64+B67+B70</f>
        <v>-4355</v>
      </c>
      <c r="C73" s="34">
        <f t="shared" si="4"/>
        <v>-6528</v>
      </c>
      <c r="D73" s="34">
        <f t="shared" si="4"/>
        <v>-15478</v>
      </c>
      <c r="E73" s="34">
        <f t="shared" si="4"/>
        <v>-5023</v>
      </c>
      <c r="F73" s="34">
        <f t="shared" si="4"/>
        <v>-5928</v>
      </c>
      <c r="G73" s="35">
        <f t="shared" si="4"/>
        <v>-7800</v>
      </c>
      <c r="H73" s="2"/>
    </row>
    <row r="74" ht="15" customHeight="1">
      <c r="A74" s="23" t="s">
        <v>72</v>
      </c>
      <c r="B74" s="24" t="str">
        <f>IF(AND(ISNUMBER(B73),ISNUMBER(Inputs!B316)),B73-Inputs!B316,"n/a")</f>
        <v>n/a</v>
      </c>
      <c r="C74" s="24" t="str">
        <f>IF(AND(ISNUMBER(C73),ISNUMBER(Inputs!C316)),C73-Inputs!C316,"n/a")</f>
        <v>n/a</v>
      </c>
      <c r="D74" s="24" t="str">
        <f>IF(AND(ISNUMBER(D73),ISNUMBER(Inputs!F316)),D73-Inputs!F316,"n/a")</f>
        <v>n/a</v>
      </c>
      <c r="E74" s="24">
        <f>IF(AND(ISNUMBER(E73),ISNUMBER(Inputs!D316)),E73-Inputs!D316,"n/a")</f>
        <v>-3372</v>
      </c>
      <c r="F74" s="24">
        <f>IF(AND(ISNUMBER(F73),ISNUMBER(Inputs!E316)),F73-Inputs!E316,"n/a")</f>
        <v>-2984</v>
      </c>
      <c r="G74" s="37">
        <f t="shared" si="1"/>
        <v>-3445</v>
      </c>
      <c r="H74" s="2"/>
    </row>
    <row r="75" ht="15" customHeight="1">
      <c r="A75" s="23" t="s">
        <v>65</v>
      </c>
      <c r="B75" s="24">
        <f>IF(AND(ISNUMBER(B73),ISNUMBER(Inputs!E316)),B73-Inputs!E316,"n/a")</f>
        <v>-1411</v>
      </c>
      <c r="C75" s="36">
        <f t="shared" si="0"/>
        <v>-2173</v>
      </c>
      <c r="D75" s="36"/>
      <c r="E75" s="36">
        <f t="shared" si="2"/>
        <v>1505</v>
      </c>
      <c r="F75" s="36">
        <f t="shared" si="0"/>
        <v>-905</v>
      </c>
      <c r="G75" s="37">
        <f t="shared" si="0"/>
        <v>-1872</v>
      </c>
      <c r="H75" s="2"/>
    </row>
    <row r="76" ht="15" customHeight="1">
      <c r="A76" s="3" t="s">
        <v>379</v>
      </c>
      <c r="B76" s="2"/>
      <c r="C76" s="2"/>
      <c r="D76" s="2"/>
      <c r="E76" s="2"/>
      <c r="F76" s="2"/>
      <c r="G76" s="28"/>
      <c r="H76" s="2"/>
    </row>
    <row r="77" ht="15" customHeight="1">
      <c r="A77" s="29" t="s">
        <v>380</v>
      </c>
      <c r="B77" s="40">
        <v>1182</v>
      </c>
      <c r="C77" s="40">
        <v>1354</v>
      </c>
      <c r="D77" s="13">
        <f>Inputs!D317+Inputs!E317+B77+C77</f>
        <v>5586</v>
      </c>
      <c r="E77" s="40">
        <v>4331</v>
      </c>
      <c r="F77" s="40">
        <v>348</v>
      </c>
      <c r="G77" s="41">
        <v>3000</v>
      </c>
      <c r="H77" s="2" t="s">
        <v>381</v>
      </c>
    </row>
    <row r="78" ht="15" customHeight="1">
      <c r="A78" s="31" t="s">
        <v>72</v>
      </c>
      <c r="B78" s="24" t="str">
        <f>IF(AND(ISNUMBER(B77),ISNUMBER(Inputs!B317)),B77-Inputs!B317,"n/a")</f>
        <v>n/a</v>
      </c>
      <c r="C78" s="24" t="str">
        <f>IF(AND(ISNUMBER(C77),ISNUMBER(Inputs!C317)),C77-Inputs!C317,"n/a")</f>
        <v>n/a</v>
      </c>
      <c r="D78" s="24" t="str">
        <f>IF(AND(ISNUMBER(D77),ISNUMBER(Inputs!F317)),D77-Inputs!F317,"n/a")</f>
        <v>n/a</v>
      </c>
      <c r="E78" s="24">
        <f>IF(AND(ISNUMBER(E77),ISNUMBER(Inputs!D317)),E77-Inputs!D317,"n/a")</f>
        <v>3706</v>
      </c>
      <c r="F78" s="24">
        <f>IF(AND(ISNUMBER(F77),ISNUMBER(Inputs!E317)),F77-Inputs!E317,"n/a")</f>
        <v>-2077</v>
      </c>
      <c r="G78" s="37">
        <f t="shared" si="1"/>
        <v>1818</v>
      </c>
      <c r="H78" s="2"/>
    </row>
    <row r="79" ht="15" customHeight="1">
      <c r="A79" s="31" t="s">
        <v>65</v>
      </c>
      <c r="B79" s="24">
        <f>IF(AND(ISNUMBER(B77),ISNUMBER(Inputs!E317)),B77-Inputs!E317,"n/a")</f>
        <v>-1243</v>
      </c>
      <c r="C79" s="36">
        <f t="shared" si="0"/>
        <v>172</v>
      </c>
      <c r="D79" s="36"/>
      <c r="E79" s="36">
        <f t="shared" si="2"/>
        <v>2977</v>
      </c>
      <c r="F79" s="36">
        <f t="shared" si="0"/>
        <v>-3983</v>
      </c>
      <c r="G79" s="37">
        <f t="shared" si="0"/>
        <v>2652</v>
      </c>
      <c r="H79" s="2"/>
    </row>
    <row r="80" ht="15" customHeight="1">
      <c r="A80" s="29" t="s">
        <v>382</v>
      </c>
      <c r="B80" s="40">
        <v>-669</v>
      </c>
      <c r="C80" s="40">
        <v>-748</v>
      </c>
      <c r="D80" s="13">
        <f>Inputs!D318+Inputs!E318+B80+C80</f>
        <v>-5546</v>
      </c>
      <c r="E80" s="40">
        <v>-3530</v>
      </c>
      <c r="F80" s="40">
        <v>-392</v>
      </c>
      <c r="G80" s="41">
        <v>-500</v>
      </c>
      <c r="H80" s="2" t="s">
        <v>356</v>
      </c>
    </row>
    <row r="81" ht="15" customHeight="1">
      <c r="A81" s="31" t="s">
        <v>72</v>
      </c>
      <c r="B81" s="24" t="str">
        <f>IF(AND(ISNUMBER(B80),ISNUMBER(Inputs!B318)),B80-Inputs!B318,"n/a")</f>
        <v>n/a</v>
      </c>
      <c r="C81" s="24" t="str">
        <f>IF(AND(ISNUMBER(C80),ISNUMBER(Inputs!C318)),C80-Inputs!C318,"n/a")</f>
        <v>n/a</v>
      </c>
      <c r="D81" s="24" t="str">
        <f>IF(AND(ISNUMBER(D80),ISNUMBER(Inputs!F318)),D80-Inputs!F318,"n/a")</f>
        <v>n/a</v>
      </c>
      <c r="E81" s="24">
        <f>IF(AND(ISNUMBER(E80),ISNUMBER(Inputs!D318)),E80-Inputs!D318,"n/a")</f>
        <v>-2229</v>
      </c>
      <c r="F81" s="24">
        <f>IF(AND(ISNUMBER(F80),ISNUMBER(Inputs!E318)),F80-Inputs!E318,"n/a")</f>
        <v>2436</v>
      </c>
      <c r="G81" s="37">
        <f t="shared" si="1"/>
        <v>169</v>
      </c>
      <c r="H81" s="2"/>
    </row>
    <row r="82" ht="15" customHeight="1">
      <c r="A82" s="31" t="s">
        <v>65</v>
      </c>
      <c r="B82" s="24">
        <f>IF(AND(ISNUMBER(B80),ISNUMBER(Inputs!E318)),B80-Inputs!E318,"n/a")</f>
        <v>2159</v>
      </c>
      <c r="C82" s="36">
        <f t="shared" si="0"/>
        <v>-79</v>
      </c>
      <c r="D82" s="36"/>
      <c r="E82" s="36">
        <f t="shared" si="2"/>
        <v>-2782</v>
      </c>
      <c r="F82" s="36">
        <f t="shared" si="0"/>
        <v>3138</v>
      </c>
      <c r="G82" s="37">
        <f t="shared" si="0"/>
        <v>-108</v>
      </c>
      <c r="H82" s="2"/>
    </row>
    <row r="83" ht="15" customHeight="1">
      <c r="A83" s="29" t="s">
        <v>383</v>
      </c>
      <c r="B83" s="40">
        <v>-4</v>
      </c>
      <c r="C83" s="40">
        <v>-1</v>
      </c>
      <c r="D83" s="13">
        <f>Inputs!D319+Inputs!E319+B83+C83</f>
        <v>-6</v>
      </c>
      <c r="E83" s="40">
        <v>0</v>
      </c>
      <c r="F83" s="40">
        <v>-4</v>
      </c>
      <c r="G83" s="41">
        <v>-10</v>
      </c>
      <c r="H83" s="2" t="s">
        <v>356</v>
      </c>
    </row>
    <row r="84" ht="15" customHeight="1">
      <c r="A84" s="31" t="s">
        <v>72</v>
      </c>
      <c r="B84" s="24" t="str">
        <f>IF(AND(ISNUMBER(B83),ISNUMBER(Inputs!B319)),B83-Inputs!B319,"n/a")</f>
        <v>n/a</v>
      </c>
      <c r="C84" s="24" t="str">
        <f>IF(AND(ISNUMBER(C83),ISNUMBER(Inputs!C319)),C83-Inputs!C319,"n/a")</f>
        <v>n/a</v>
      </c>
      <c r="D84" s="24" t="str">
        <f>IF(AND(ISNUMBER(D83),ISNUMBER(Inputs!F319)),D83-Inputs!F319,"n/a")</f>
        <v>n/a</v>
      </c>
      <c r="E84" s="24">
        <f>IF(AND(ISNUMBER(E83),ISNUMBER(Inputs!D319)),E83-Inputs!D319,"n/a")</f>
        <v>0</v>
      </c>
      <c r="F84" s="24">
        <f>IF(AND(ISNUMBER(F83),ISNUMBER(Inputs!E319)),F83-Inputs!E319,"n/a")</f>
        <v>-3</v>
      </c>
      <c r="G84" s="37">
        <f t="shared" si="1"/>
        <v>-6</v>
      </c>
      <c r="H84" s="2"/>
    </row>
    <row r="85" ht="15" customHeight="1">
      <c r="A85" s="31" t="s">
        <v>65</v>
      </c>
      <c r="B85" s="24">
        <f>IF(AND(ISNUMBER(B83),ISNUMBER(Inputs!E319)),B83-Inputs!E319,"n/a")</f>
        <v>-3</v>
      </c>
      <c r="C85" s="36">
        <f t="shared" si="0"/>
        <v>3</v>
      </c>
      <c r="D85" s="36"/>
      <c r="E85" s="36">
        <f t="shared" si="2"/>
        <v>1</v>
      </c>
      <c r="F85" s="36">
        <f t="shared" si="0"/>
        <v>-4</v>
      </c>
      <c r="G85" s="37">
        <f t="shared" si="0"/>
        <v>-6</v>
      </c>
      <c r="H85" s="2"/>
    </row>
    <row r="86" ht="15" customHeight="1">
      <c r="A86" s="29" t="s">
        <v>384</v>
      </c>
      <c r="B86" s="40">
        <v>512</v>
      </c>
      <c r="C86" s="40">
        <v>146</v>
      </c>
      <c r="D86" s="13">
        <f>Inputs!D320+Inputs!E320+B86+C86</f>
        <v>1186</v>
      </c>
      <c r="E86" s="40">
        <v>361</v>
      </c>
      <c r="F86" s="40">
        <v>107</v>
      </c>
      <c r="G86" s="41">
        <v>150</v>
      </c>
      <c r="H86" s="2" t="s">
        <v>356</v>
      </c>
    </row>
    <row r="87" ht="15" customHeight="1">
      <c r="A87" s="31" t="s">
        <v>72</v>
      </c>
      <c r="B87" s="24" t="str">
        <f>IF(AND(ISNUMBER(B86),ISNUMBER(Inputs!B320)),B86-Inputs!B320,"n/a")</f>
        <v>n/a</v>
      </c>
      <c r="C87" s="24" t="str">
        <f>IF(AND(ISNUMBER(C86),ISNUMBER(Inputs!C320)),C86-Inputs!C320,"n/a")</f>
        <v>n/a</v>
      </c>
      <c r="D87" s="24" t="str">
        <f>IF(AND(ISNUMBER(D86),ISNUMBER(Inputs!F320)),D86-Inputs!F320,"n/a")</f>
        <v>n/a</v>
      </c>
      <c r="E87" s="24">
        <f>IF(AND(ISNUMBER(E86),ISNUMBER(Inputs!D320)),E86-Inputs!D320,"n/a")</f>
        <v>48</v>
      </c>
      <c r="F87" s="24">
        <f>IF(AND(ISNUMBER(F86),ISNUMBER(Inputs!E320)),F86-Inputs!E320,"n/a")</f>
        <v>-108</v>
      </c>
      <c r="G87" s="37">
        <f t="shared" si="1"/>
        <v>-362</v>
      </c>
      <c r="H87" s="2"/>
    </row>
    <row r="88" ht="15" customHeight="1">
      <c r="A88" s="31" t="s">
        <v>65</v>
      </c>
      <c r="B88" s="24">
        <f>IF(AND(ISNUMBER(B86),ISNUMBER(Inputs!E320)),B86-Inputs!E320,"n/a")</f>
        <v>297</v>
      </c>
      <c r="C88" s="36">
        <f t="shared" si="0"/>
        <v>-366</v>
      </c>
      <c r="D88" s="36"/>
      <c r="E88" s="36">
        <f t="shared" si="2"/>
        <v>215</v>
      </c>
      <c r="F88" s="36">
        <f t="shared" si="0"/>
        <v>-254</v>
      </c>
      <c r="G88" s="37">
        <f t="shared" si="0"/>
        <v>43</v>
      </c>
      <c r="H88" s="2"/>
    </row>
    <row r="89" ht="15" customHeight="1">
      <c r="A89" s="29" t="s">
        <v>385</v>
      </c>
      <c r="B89" s="40">
        <v>-18</v>
      </c>
      <c r="C89" s="40">
        <v>-19</v>
      </c>
      <c r="D89" s="13">
        <f>Inputs!D321+Inputs!E321+B89+C89</f>
        <v>-104</v>
      </c>
      <c r="E89" s="40">
        <v>-18</v>
      </c>
      <c r="F89" s="40">
        <v>-19</v>
      </c>
      <c r="G89" s="41">
        <v>-19</v>
      </c>
      <c r="H89" s="2" t="s">
        <v>356</v>
      </c>
    </row>
    <row r="90" ht="15" customHeight="1">
      <c r="A90" s="31" t="s">
        <v>72</v>
      </c>
      <c r="B90" s="24" t="str">
        <f>IF(AND(ISNUMBER(B89),ISNUMBER(Inputs!B321)),B89-Inputs!B321,"n/a")</f>
        <v>n/a</v>
      </c>
      <c r="C90" s="24" t="str">
        <f>IF(AND(ISNUMBER(C89),ISNUMBER(Inputs!C321)),C89-Inputs!C321,"n/a")</f>
        <v>n/a</v>
      </c>
      <c r="D90" s="24" t="str">
        <f>IF(AND(ISNUMBER(D89),ISNUMBER(Inputs!F321)),D89-Inputs!F321,"n/a")</f>
        <v>n/a</v>
      </c>
      <c r="E90" s="24">
        <f>IF(AND(ISNUMBER(E89),ISNUMBER(Inputs!D321)),E89-Inputs!D321,"n/a")</f>
        <v>30</v>
      </c>
      <c r="F90" s="24">
        <f>IF(AND(ISNUMBER(F89),ISNUMBER(Inputs!E321)),F89-Inputs!E321,"n/a")</f>
        <v>0</v>
      </c>
      <c r="G90" s="37">
        <f t="shared" si="1"/>
        <v>-1</v>
      </c>
      <c r="H90" s="2"/>
    </row>
    <row r="91" ht="15" customHeight="1">
      <c r="A91" s="31" t="s">
        <v>65</v>
      </c>
      <c r="B91" s="24">
        <f>IF(AND(ISNUMBER(B89),ISNUMBER(Inputs!E321)),B89-Inputs!E321,"n/a")</f>
        <v>1</v>
      </c>
      <c r="C91" s="36">
        <f t="shared" si="0"/>
        <v>-1</v>
      </c>
      <c r="D91" s="36"/>
      <c r="E91" s="36">
        <f t="shared" si="2"/>
        <v>1</v>
      </c>
      <c r="F91" s="36">
        <f t="shared" si="0"/>
        <v>-1</v>
      </c>
      <c r="G91" s="37">
        <f t="shared" si="0"/>
        <v>0</v>
      </c>
      <c r="H91" s="2"/>
    </row>
    <row r="92" ht="15" customHeight="1">
      <c r="A92" s="29" t="s">
        <v>386</v>
      </c>
      <c r="B92" s="40">
        <v>0</v>
      </c>
      <c r="C92" s="40">
        <v>0</v>
      </c>
      <c r="D92" s="13">
        <f>Inputs!D322+Inputs!E322+B92+C92</f>
        <v>101</v>
      </c>
      <c r="E92" s="40">
        <v>98</v>
      </c>
      <c r="F92" s="40">
        <v>18</v>
      </c>
      <c r="G92" s="41">
        <v>0</v>
      </c>
      <c r="H92" s="2" t="s">
        <v>239</v>
      </c>
    </row>
    <row r="93" ht="15" customHeight="1">
      <c r="A93" s="31" t="s">
        <v>72</v>
      </c>
      <c r="B93" s="24" t="str">
        <f>IF(AND(ISNUMBER(B92),ISNUMBER(Inputs!B322)),B92-Inputs!B322,"n/a")</f>
        <v>n/a</v>
      </c>
      <c r="C93" s="24" t="str">
        <f>IF(AND(ISNUMBER(C92),ISNUMBER(Inputs!C322)),C92-Inputs!C322,"n/a")</f>
        <v>n/a</v>
      </c>
      <c r="D93" s="24" t="str">
        <f>IF(AND(ISNUMBER(D92),ISNUMBER(Inputs!F322)),D92-Inputs!F322,"n/a")</f>
        <v>n/a</v>
      </c>
      <c r="E93" s="24">
        <f>IF(AND(ISNUMBER(E92),ISNUMBER(Inputs!D322)),E92-Inputs!D322,"n/a")</f>
        <v>-3</v>
      </c>
      <c r="F93" s="24">
        <f>IF(AND(ISNUMBER(F92),ISNUMBER(Inputs!E322)),F92-Inputs!E322,"n/a")</f>
        <v>18</v>
      </c>
      <c r="G93" s="37">
        <f t="shared" si="1"/>
        <v>0</v>
      </c>
      <c r="H93" s="2"/>
    </row>
    <row r="94" ht="15" customHeight="1">
      <c r="A94" s="31" t="s">
        <v>65</v>
      </c>
      <c r="B94" s="24">
        <f>IF(AND(ISNUMBER(B92),ISNUMBER(Inputs!E322)),B92-Inputs!E322,"n/a")</f>
        <v>0</v>
      </c>
      <c r="C94" s="36">
        <f t="shared" si="0"/>
        <v>0</v>
      </c>
      <c r="D94" s="36"/>
      <c r="E94" s="36">
        <f t="shared" si="2"/>
        <v>98</v>
      </c>
      <c r="F94" s="36">
        <f t="shared" si="0"/>
        <v>-80</v>
      </c>
      <c r="G94" s="37">
        <f t="shared" si="0"/>
        <v>-18</v>
      </c>
      <c r="H94" s="2"/>
    </row>
    <row r="95" ht="15" customHeight="1">
      <c r="A95" s="29" t="s">
        <v>387</v>
      </c>
      <c r="B95" s="40">
        <v>-20</v>
      </c>
      <c r="C95" s="40">
        <v>-22</v>
      </c>
      <c r="D95" s="13">
        <f>Inputs!D323+Inputs!E323+B95+C95</f>
        <v>-78</v>
      </c>
      <c r="E95" s="40">
        <v>-70</v>
      </c>
      <c r="F95" s="40">
        <v>-21</v>
      </c>
      <c r="G95" s="41">
        <v>-20</v>
      </c>
      <c r="H95" s="2" t="s">
        <v>356</v>
      </c>
    </row>
    <row r="96" ht="15" customHeight="1">
      <c r="A96" s="31" t="s">
        <v>72</v>
      </c>
      <c r="B96" s="24" t="str">
        <f>IF(AND(ISNUMBER(B95),ISNUMBER(Inputs!B323)),B95-Inputs!B323,"n/a")</f>
        <v>n/a</v>
      </c>
      <c r="C96" s="24" t="str">
        <f>IF(AND(ISNUMBER(C95),ISNUMBER(Inputs!C323)),C95-Inputs!C323,"n/a")</f>
        <v>n/a</v>
      </c>
      <c r="D96" s="24" t="str">
        <f>IF(AND(ISNUMBER(D95),ISNUMBER(Inputs!F323)),D95-Inputs!F323,"n/a")</f>
        <v>n/a</v>
      </c>
      <c r="E96" s="24">
        <f>IF(AND(ISNUMBER(E95),ISNUMBER(Inputs!D323)),E95-Inputs!D323,"n/a")</f>
        <v>-48</v>
      </c>
      <c r="F96" s="24">
        <f>IF(AND(ISNUMBER(F95),ISNUMBER(Inputs!E323)),F95-Inputs!E323,"n/a")</f>
        <v>-7</v>
      </c>
      <c r="G96" s="37">
        <f t="shared" si="1"/>
        <v>0</v>
      </c>
      <c r="H96" s="2"/>
    </row>
    <row r="97" ht="15" customHeight="1">
      <c r="A97" s="31" t="s">
        <v>65</v>
      </c>
      <c r="B97" s="24">
        <f>IF(AND(ISNUMBER(B95),ISNUMBER(Inputs!E323)),B95-Inputs!E323,"n/a")</f>
        <v>-6</v>
      </c>
      <c r="C97" s="36">
        <f t="shared" si="0"/>
        <v>-2</v>
      </c>
      <c r="D97" s="36"/>
      <c r="E97" s="36">
        <f t="shared" si="2"/>
        <v>-48</v>
      </c>
      <c r="F97" s="36">
        <f t="shared" si="0"/>
        <v>49</v>
      </c>
      <c r="G97" s="37">
        <f t="shared" si="0"/>
        <v>1</v>
      </c>
      <c r="H97" s="2"/>
    </row>
    <row r="98" ht="15" customHeight="1">
      <c r="A98" s="3" t="s">
        <v>388</v>
      </c>
      <c r="B98" s="34">
        <f t="shared" si="5" ref="B98:G98">B77+B80+B83+B86+B89+B92+B95</f>
        <v>983</v>
      </c>
      <c r="C98" s="34">
        <f t="shared" si="5"/>
        <v>710</v>
      </c>
      <c r="D98" s="34">
        <f t="shared" si="5"/>
        <v>1139</v>
      </c>
      <c r="E98" s="34">
        <f t="shared" si="5"/>
        <v>1172</v>
      </c>
      <c r="F98" s="34">
        <f t="shared" si="5"/>
        <v>37</v>
      </c>
      <c r="G98" s="35">
        <f t="shared" si="5"/>
        <v>2601</v>
      </c>
      <c r="H98" s="2"/>
    </row>
    <row r="99" ht="15" customHeight="1">
      <c r="A99" s="23" t="s">
        <v>72</v>
      </c>
      <c r="B99" s="24" t="str">
        <f>IF(AND(ISNUMBER(B98),ISNUMBER(Inputs!B324)),B98-Inputs!B324,"n/a")</f>
        <v>n/a</v>
      </c>
      <c r="C99" s="24" t="str">
        <f>IF(AND(ISNUMBER(C98),ISNUMBER(Inputs!C324)),C98-Inputs!C324,"n/a")</f>
        <v>n/a</v>
      </c>
      <c r="D99" s="24" t="str">
        <f>IF(AND(ISNUMBER(D98),ISNUMBER(Inputs!F324)),D98-Inputs!F324,"n/a")</f>
        <v>n/a</v>
      </c>
      <c r="E99" s="24">
        <f>IF(AND(ISNUMBER(E98),ISNUMBER(Inputs!D324)),E98-Inputs!D324,"n/a")</f>
        <v>1504</v>
      </c>
      <c r="F99" s="24">
        <f>IF(AND(ISNUMBER(F98),ISNUMBER(Inputs!E324)),F98-Inputs!E324,"n/a")</f>
        <v>259</v>
      </c>
      <c r="G99" s="37">
        <f t="shared" si="1"/>
        <v>1618</v>
      </c>
      <c r="H99" s="2"/>
    </row>
    <row r="100" ht="15" customHeight="1">
      <c r="A100" s="23" t="s">
        <v>65</v>
      </c>
      <c r="B100" s="24">
        <f>IF(AND(ISNUMBER(B98),ISNUMBER(Inputs!E324)),B98-Inputs!E324,"n/a")</f>
        <v>1205</v>
      </c>
      <c r="C100" s="36">
        <f t="shared" si="0"/>
        <v>-273</v>
      </c>
      <c r="D100" s="36"/>
      <c r="E100" s="36">
        <f t="shared" si="2"/>
        <v>462</v>
      </c>
      <c r="F100" s="36">
        <f t="shared" si="0"/>
        <v>-1135</v>
      </c>
      <c r="G100" s="37">
        <f t="shared" si="0"/>
        <v>2564</v>
      </c>
      <c r="H100" s="2"/>
    </row>
    <row r="101" ht="15" customHeight="1">
      <c r="A101" s="29" t="s">
        <v>389</v>
      </c>
      <c r="B101" s="40">
        <v>-17</v>
      </c>
      <c r="C101" s="40">
        <v>37</v>
      </c>
      <c r="D101" s="13">
        <f>Inputs!D325+Inputs!E325+B101+C101</f>
        <v>171</v>
      </c>
      <c r="E101" s="40">
        <v>-47</v>
      </c>
      <c r="F101" s="40">
        <v>-36</v>
      </c>
      <c r="G101" s="41">
        <v>0</v>
      </c>
      <c r="H101" s="2" t="s">
        <v>356</v>
      </c>
    </row>
    <row r="102" ht="15" customHeight="1">
      <c r="A102" s="31" t="s">
        <v>72</v>
      </c>
      <c r="B102" s="24" t="str">
        <f>IF(AND(ISNUMBER(B101),ISNUMBER(Inputs!B325)),B101-Inputs!B325,"n/a")</f>
        <v>n/a</v>
      </c>
      <c r="C102" s="24" t="str">
        <f>IF(AND(ISNUMBER(C101),ISNUMBER(Inputs!C325)),C101-Inputs!C325,"n/a")</f>
        <v>n/a</v>
      </c>
      <c r="D102" s="24" t="str">
        <f>IF(AND(ISNUMBER(D101),ISNUMBER(Inputs!F325)),D101-Inputs!F325,"n/a")</f>
        <v>n/a</v>
      </c>
      <c r="E102" s="24">
        <f>IF(AND(ISNUMBER(E101),ISNUMBER(Inputs!D325)),E101-Inputs!D325,"n/a")</f>
        <v>-87</v>
      </c>
      <c r="F102" s="24">
        <f>IF(AND(ISNUMBER(F101),ISNUMBER(Inputs!E325)),F101-Inputs!E325,"n/a")</f>
        <v>-147</v>
      </c>
      <c r="G102" s="37">
        <f t="shared" si="1"/>
        <v>17</v>
      </c>
      <c r="H102" s="2"/>
    </row>
    <row r="103" ht="15" customHeight="1">
      <c r="A103" s="31" t="s">
        <v>65</v>
      </c>
      <c r="B103" s="24">
        <f>IF(AND(ISNUMBER(B101),ISNUMBER(Inputs!E325)),B101-Inputs!E325,"n/a")</f>
        <v>-128</v>
      </c>
      <c r="C103" s="36">
        <f t="shared" si="0"/>
        <v>54</v>
      </c>
      <c r="D103" s="36"/>
      <c r="E103" s="36">
        <f t="shared" si="2"/>
        <v>-84</v>
      </c>
      <c r="F103" s="36">
        <f t="shared" si="0"/>
        <v>11</v>
      </c>
      <c r="G103" s="37">
        <f t="shared" si="0"/>
        <v>36</v>
      </c>
      <c r="H103" s="2"/>
    </row>
    <row r="104" ht="15" customHeight="1">
      <c r="A104" s="3" t="s">
        <v>390</v>
      </c>
      <c r="B104" s="34">
        <f t="shared" si="6" ref="B104:G104">B54+B73+B98+B101</f>
        <v>2849</v>
      </c>
      <c r="C104" s="34">
        <f t="shared" si="6"/>
        <v>-1968</v>
      </c>
      <c r="D104" s="34">
        <f t="shared" si="6"/>
        <v>579</v>
      </c>
      <c r="E104" s="34">
        <f t="shared" si="6"/>
        <v>39</v>
      </c>
      <c r="F104" s="34">
        <f t="shared" si="6"/>
        <v>-1230</v>
      </c>
      <c r="G104" s="35">
        <f t="shared" si="6"/>
        <v>-670.8719958719867</v>
      </c>
      <c r="H104" s="2"/>
    </row>
    <row r="105" ht="15" customHeight="1">
      <c r="A105" s="23" t="s">
        <v>72</v>
      </c>
      <c r="B105" s="24" t="str">
        <f>IF(AND(ISNUMBER(B104),ISNUMBER(Inputs!B326)),B104-Inputs!B326,"n/a")</f>
        <v>n/a</v>
      </c>
      <c r="C105" s="24" t="str">
        <f>IF(AND(ISNUMBER(C104),ISNUMBER(Inputs!C326)),C104-Inputs!C326,"n/a")</f>
        <v>n/a</v>
      </c>
      <c r="D105" s="24" t="str">
        <f>IF(AND(ISNUMBER(D104),ISNUMBER(Inputs!F326)),D104-Inputs!F326,"n/a")</f>
        <v>n/a</v>
      </c>
      <c r="E105" s="24">
        <f>IF(AND(ISNUMBER(E104),ISNUMBER(Inputs!D326)),E104-Inputs!D326,"n/a")</f>
        <v>-174</v>
      </c>
      <c r="F105" s="24">
        <f>IF(AND(ISNUMBER(F104),ISNUMBER(Inputs!E326)),F104-Inputs!E326,"n/a")</f>
        <v>-715</v>
      </c>
      <c r="G105" s="37">
        <f t="shared" si="1"/>
        <v>-3519.8719958719867</v>
      </c>
      <c r="H105" s="2"/>
    </row>
    <row r="106" ht="15" customHeight="1">
      <c r="A106" s="23" t="s">
        <v>65</v>
      </c>
      <c r="B106" s="24">
        <f>IF(AND(ISNUMBER(B104),ISNUMBER(Inputs!E326)),B104-Inputs!E326,"n/a")</f>
        <v>3364</v>
      </c>
      <c r="C106" s="36">
        <f t="shared" si="0"/>
        <v>-4817</v>
      </c>
      <c r="D106" s="36"/>
      <c r="E106" s="36">
        <f t="shared" si="2"/>
        <v>2007</v>
      </c>
      <c r="F106" s="36">
        <f t="shared" si="0"/>
        <v>-1269</v>
      </c>
      <c r="G106" s="37">
        <f t="shared" si="0"/>
        <v>559.1280041280133</v>
      </c>
      <c r="H106" s="2"/>
    </row>
    <row r="107" ht="15" customHeight="1">
      <c r="A107" s="29" t="s">
        <v>391</v>
      </c>
      <c r="B107" s="40">
        <v>16735</v>
      </c>
      <c r="C107" s="14">
        <f t="shared" si="7" ref="C107:G107">B110</f>
        <v>19584</v>
      </c>
      <c r="D107" s="13">
        <f>Inputs!D327</f>
        <v>17037</v>
      </c>
      <c r="E107" s="14">
        <f>C110</f>
        <v>17616</v>
      </c>
      <c r="F107" s="14">
        <f t="shared" si="7"/>
        <v>17655</v>
      </c>
      <c r="G107" s="65">
        <f t="shared" si="7"/>
        <v>16425</v>
      </c>
      <c r="H107" s="2"/>
    </row>
    <row r="108" ht="15" customHeight="1">
      <c r="A108" s="31" t="s">
        <v>72</v>
      </c>
      <c r="B108" s="24" t="str">
        <f>IF(AND(ISNUMBER(B107),ISNUMBER(Inputs!B327)),B107-Inputs!B327,"n/a")</f>
        <v>n/a</v>
      </c>
      <c r="C108" s="24" t="str">
        <f>IF(AND(ISNUMBER(C107),ISNUMBER(Inputs!C327)),C107-Inputs!C327,"n/a")</f>
        <v>n/a</v>
      </c>
      <c r="D108" s="24" t="str">
        <f>IF(AND(ISNUMBER(D107),ISNUMBER(Inputs!F327)),D107-Inputs!F327,"n/a")</f>
        <v>n/a</v>
      </c>
      <c r="E108" s="24">
        <f>IF(AND(ISNUMBER(E107),ISNUMBER(Inputs!D327)),E107-Inputs!D327,"n/a")</f>
        <v>579</v>
      </c>
      <c r="F108" s="24" t="str">
        <f>IF(AND(ISNUMBER(F107),ISNUMBER(Inputs!E327)),F107-Inputs!E327,"n/a")</f>
        <v>n/a</v>
      </c>
      <c r="G108" s="37">
        <f t="shared" si="1"/>
        <v>-310</v>
      </c>
      <c r="H108" s="2"/>
    </row>
    <row r="109" ht="15" customHeight="1">
      <c r="A109" s="31" t="s">
        <v>65</v>
      </c>
      <c r="B109" s="24" t="str">
        <f>IF(AND(ISNUMBER(B107),ISNUMBER(Inputs!E327)),B107-Inputs!E327,"n/a")</f>
        <v>n/a</v>
      </c>
      <c r="C109" s="36">
        <f t="shared" si="0"/>
        <v>2849</v>
      </c>
      <c r="D109" s="36"/>
      <c r="E109" s="36">
        <f t="shared" si="2"/>
        <v>-1968</v>
      </c>
      <c r="F109" s="36">
        <f t="shared" si="0"/>
        <v>39</v>
      </c>
      <c r="G109" s="37">
        <f t="shared" si="0"/>
        <v>-1230</v>
      </c>
      <c r="H109" s="2"/>
    </row>
    <row r="110" ht="15" customHeight="1">
      <c r="A110" s="3" t="s">
        <v>392</v>
      </c>
      <c r="B110" s="34">
        <f t="shared" si="8" ref="B110:G110">B107+B104</f>
        <v>19584</v>
      </c>
      <c r="C110" s="34">
        <f t="shared" si="8"/>
        <v>17616</v>
      </c>
      <c r="D110" s="34">
        <f t="shared" si="8"/>
        <v>17616</v>
      </c>
      <c r="E110" s="34">
        <f t="shared" si="8"/>
        <v>17655</v>
      </c>
      <c r="F110" s="34">
        <f t="shared" si="8"/>
        <v>16425</v>
      </c>
      <c r="G110" s="35">
        <f t="shared" si="8"/>
        <v>15754.128004128013</v>
      </c>
      <c r="H110" s="2"/>
    </row>
    <row r="111" ht="15" customHeight="1">
      <c r="A111" s="23" t="s">
        <v>72</v>
      </c>
      <c r="B111" s="24" t="str">
        <f>IF(AND(ISNUMBER(B110),ISNUMBER(Inputs!B328)),B110-Inputs!B328,"n/a")</f>
        <v>n/a</v>
      </c>
      <c r="C111" s="24" t="str">
        <f>IF(AND(ISNUMBER(C110),ISNUMBER(Inputs!C328)),C110-Inputs!C328,"n/a")</f>
        <v>n/a</v>
      </c>
      <c r="D111" s="24" t="str">
        <f>IF(AND(ISNUMBER(D110),ISNUMBER(Inputs!F328)),D110-Inputs!F328,"n/a")</f>
        <v>n/a</v>
      </c>
      <c r="E111" s="24">
        <f>IF(AND(ISNUMBER(E110),ISNUMBER(Inputs!D328)),E110-Inputs!D328,"n/a")</f>
        <v>405</v>
      </c>
      <c r="F111" s="24" t="str">
        <f>IF(AND(ISNUMBER(F110),ISNUMBER(Inputs!E328)),F110-Inputs!E328,"n/a")</f>
        <v>n/a</v>
      </c>
      <c r="G111" s="37">
        <f t="shared" si="1"/>
        <v>-3829.8719958719867</v>
      </c>
      <c r="H111" s="2"/>
    </row>
    <row r="112" ht="15" customHeight="1">
      <c r="A112" s="23" t="s">
        <v>65</v>
      </c>
      <c r="B112" s="24" t="str">
        <f>IF(AND(ISNUMBER(B110),ISNUMBER(Inputs!E328)),B110-Inputs!E328,"n/a")</f>
        <v>n/a</v>
      </c>
      <c r="C112" s="36">
        <f t="shared" si="0"/>
        <v>-1968</v>
      </c>
      <c r="D112" s="36"/>
      <c r="E112" s="36">
        <f t="shared" si="2"/>
        <v>39</v>
      </c>
      <c r="F112" s="36">
        <f t="shared" si="0"/>
        <v>-1230</v>
      </c>
      <c r="G112" s="37">
        <f t="shared" si="0"/>
        <v>-670.8719958719867</v>
      </c>
      <c r="H112" s="2"/>
    </row>
    <row r="113" ht="15" customHeight="1">
      <c r="A113" s="23" t="s">
        <v>393</v>
      </c>
      <c r="B113" s="24">
        <f>B110-('Balance Sheet'!B9+'Balance Sheet'!B46+'Balance Sheet'!B47)</f>
        <v>0</v>
      </c>
      <c r="C113" s="24">
        <f>C110-('Balance Sheet'!C9+'Balance Sheet'!C46+'Balance Sheet'!C47)</f>
        <v>0</v>
      </c>
      <c r="D113" s="24">
        <f>D110-('Balance Sheet'!D9+'Balance Sheet'!D46+'Balance Sheet'!D47)</f>
        <v>0</v>
      </c>
      <c r="E113" s="24">
        <f>E110-('Balance Sheet'!E9+'Balance Sheet'!E46+'Balance Sheet'!E47)</f>
        <v>0</v>
      </c>
      <c r="F113" s="24">
        <f>F110-('Balance Sheet'!F9+'Balance Sheet'!F46+'Balance Sheet'!F47)</f>
        <v>0</v>
      </c>
      <c r="G113" s="44">
        <f>G110-('Balance Sheet'!G9+'Balance Sheet'!G46+'Balance Sheet'!G47)</f>
        <v>0</v>
      </c>
      <c r="H113" s="2" t="s">
        <v>394</v>
      </c>
    </row>
    <row r="114" ht="15" customHeight="1">
      <c r="A114" s="3" t="s">
        <v>395</v>
      </c>
      <c r="B114" s="2"/>
      <c r="C114" s="2"/>
      <c r="D114" s="2"/>
      <c r="E114" s="2"/>
      <c r="F114" s="2"/>
      <c r="G114" s="28"/>
      <c r="H114" s="2"/>
    </row>
    <row r="115" ht="15" customHeight="1">
      <c r="A115" s="3" t="s">
        <v>396</v>
      </c>
      <c r="B115" s="34">
        <f t="shared" si="9" ref="B115:G115">B54+B58</f>
        <v>3990</v>
      </c>
      <c r="C115" s="34">
        <f t="shared" si="9"/>
        <v>1420</v>
      </c>
      <c r="D115" s="34">
        <f t="shared" si="9"/>
        <v>6220</v>
      </c>
      <c r="E115" s="34">
        <f t="shared" si="9"/>
        <v>1444</v>
      </c>
      <c r="F115" s="34">
        <f t="shared" si="9"/>
        <v>-1092</v>
      </c>
      <c r="G115" s="35">
        <f t="shared" si="9"/>
        <v>-3271.8719958719867</v>
      </c>
      <c r="H115" s="2"/>
    </row>
    <row r="116" ht="15" customHeight="1">
      <c r="A116" s="23" t="s">
        <v>72</v>
      </c>
      <c r="B116" s="24">
        <f>IF(AND(ISNUMBER(B115),ISNUMBER(Inputs!B329)),B115-Inputs!B329,"n/a")</f>
        <v>1248</v>
      </c>
      <c r="C116" s="24">
        <f>IF(AND(ISNUMBER(C115),ISNUMBER(Inputs!C329)),C115-Inputs!C329,"n/a")</f>
        <v>-614</v>
      </c>
      <c r="D116" s="24">
        <f>IF(AND(ISNUMBER(D115),ISNUMBER(Inputs!F329)),D115-Inputs!F329,"n/a")</f>
        <v>2639</v>
      </c>
      <c r="E116" s="24">
        <f>IF(AND(ISNUMBER(E115),ISNUMBER(Inputs!D329)),E115-Inputs!D329,"n/a")</f>
        <v>780</v>
      </c>
      <c r="F116" s="24">
        <f>IF(AND(ISNUMBER(F115),ISNUMBER(Inputs!E329)),F115-Inputs!E329,"n/a")</f>
        <v>-1238</v>
      </c>
      <c r="G116" s="37">
        <f t="shared" si="1"/>
        <v>-7261.871995871987</v>
      </c>
      <c r="H116" s="2"/>
    </row>
    <row r="117" ht="15" customHeight="1">
      <c r="A117" s="23" t="s">
        <v>65</v>
      </c>
      <c r="B117" s="24">
        <f>IF(AND(ISNUMBER(B115),ISNUMBER(Inputs!E329)),B115-Inputs!E329,"n/a")</f>
        <v>3844</v>
      </c>
      <c r="C117" s="36">
        <f t="shared" si="0"/>
        <v>-2570</v>
      </c>
      <c r="D117" s="36"/>
      <c r="E117" s="36">
        <f t="shared" si="2"/>
        <v>24</v>
      </c>
      <c r="F117" s="36">
        <f t="shared" si="0"/>
        <v>-2536</v>
      </c>
      <c r="G117" s="37">
        <f t="shared" si="0"/>
        <v>-2179.8719958719867</v>
      </c>
      <c r="H117" s="2"/>
    </row>
    <row r="118" ht="15" customHeight="1">
      <c r="A118" s="29" t="s">
        <v>397</v>
      </c>
      <c r="B118" s="40">
        <v>6238</v>
      </c>
      <c r="C118" s="40">
        <v>3813</v>
      </c>
      <c r="D118" s="40">
        <v>14747</v>
      </c>
      <c r="E118" s="40">
        <v>3937</v>
      </c>
      <c r="F118" s="40">
        <v>4697</v>
      </c>
      <c r="G118" s="65" t="s">
        <v>31</v>
      </c>
      <c r="H118" s="2"/>
    </row>
    <row r="119" ht="15" customHeight="1">
      <c r="A119" s="23" t="s">
        <v>398</v>
      </c>
      <c r="B119" s="36">
        <f t="shared" si="10" ref="B119:F119">B54-B118</f>
        <v>0</v>
      </c>
      <c r="C119" s="36">
        <f t="shared" si="10"/>
        <v>0</v>
      </c>
      <c r="D119" s="36">
        <f t="shared" si="10"/>
        <v>0</v>
      </c>
      <c r="E119" s="36">
        <f t="shared" si="10"/>
        <v>0</v>
      </c>
      <c r="F119" s="36">
        <f t="shared" si="10"/>
        <v>0</v>
      </c>
      <c r="G119" s="37" t="s">
        <v>31</v>
      </c>
      <c r="H119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E3A2121-1FB8-A668-BAE8-56C6E1B5C7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399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400</v>
      </c>
      <c r="B8" s="2"/>
      <c r="C8" s="2"/>
      <c r="D8" s="2"/>
      <c r="E8" s="2"/>
      <c r="F8" s="2"/>
      <c r="G8" s="28"/>
      <c r="H8" s="2"/>
    </row>
    <row r="9" ht="15" customHeight="1">
      <c r="A9" s="31" t="s">
        <v>401</v>
      </c>
      <c r="B9" s="15">
        <f t="shared" si="0" ref="B9:F9">B12/B36</f>
        <v>0.5195942338494394</v>
      </c>
      <c r="C9" s="15">
        <f t="shared" si="0"/>
        <v>0.4372113569736155</v>
      </c>
      <c r="D9" s="15">
        <f t="shared" si="0"/>
        <v>0.5022514684636232</v>
      </c>
      <c r="E9" s="15">
        <f t="shared" si="0"/>
        <v>0.47692857461919863</v>
      </c>
      <c r="F9" s="15">
        <f t="shared" si="0"/>
        <v>0.4677716390423573</v>
      </c>
      <c r="G9" s="43">
        <v>0.45</v>
      </c>
      <c r="H9" s="2" t="s">
        <v>402</v>
      </c>
    </row>
    <row r="10" ht="15" customHeight="1">
      <c r="A10" s="67" t="s">
        <v>68</v>
      </c>
      <c r="B10" s="48">
        <f>IF(AND(ISNUMBER(B9),ISNUMBER(Inputs!B330)),(B9-Inputs!B330)*10000,"n/a")</f>
        <v>198.72210181740235</v>
      </c>
      <c r="C10" s="48">
        <f>IF(AND(ISNUMBER(C9),ISNUMBER(Inputs!C330)),(C9-Inputs!C330)*10000,"n/a")</f>
        <v>-343.7225838406915</v>
      </c>
      <c r="D10" s="48">
        <f>IF(AND(ISNUMBER(D9),ISNUMBER(Inputs!F330)),(D9-Inputs!F330)*10000,"n/a")</f>
        <v>137.1630621569614</v>
      </c>
      <c r="E10" s="48">
        <f>IF(AND(ISNUMBER(E9),ISNUMBER(Inputs!D330)),(E9-Inputs!D330)*10000,"n/a")</f>
        <v>-574.9087198023245</v>
      </c>
      <c r="F10" s="48">
        <f>IF(AND(ISNUMBER(F9),ISNUMBER(Inputs!E330)),(F9-Inputs!E330)*10000,"n/a")</f>
        <v>-571.6612767172525</v>
      </c>
      <c r="G10" s="39">
        <f t="shared" si="5" ref="G10:G34">IF(AND(ISNUMBER(G9),ISNUMBER(B9)),(G9-B9)*10000,"n/a")</f>
        <v>-695.9423384943935</v>
      </c>
      <c r="H10" s="2"/>
    </row>
    <row r="11" ht="15" customHeight="1">
      <c r="A11" s="67" t="s">
        <v>69</v>
      </c>
      <c r="B11" s="48">
        <f>IF(AND(ISNUMBER(B9),ISNUMBER(Inputs!E330)),(B9-Inputs!E330)*10000,"n/a")</f>
        <v>-53.43532864643174</v>
      </c>
      <c r="C11" s="38">
        <f t="shared" si="1" ref="C11:G35">IF(AND(ISNUMBER(C9),ISNUMBER(B9)),(C9-B9)*10000,"n/a")</f>
        <v>-823.8287687582385</v>
      </c>
      <c r="D11" s="38"/>
      <c r="E11" s="38">
        <f t="shared" si="6" ref="E11:E35">IF(AND(ISNUMBER(E9),ISNUMBER(C9)),(E9-C9)*10000,"n/a")</f>
        <v>397.17217645583116</v>
      </c>
      <c r="F11" s="38">
        <f t="shared" si="1"/>
        <v>-91.5693557684133</v>
      </c>
      <c r="G11" s="39">
        <f t="shared" si="1"/>
        <v>-177.7163904235729</v>
      </c>
      <c r="H11" s="2"/>
    </row>
    <row r="12" ht="15" customHeight="1">
      <c r="A12" s="29" t="s">
        <v>403</v>
      </c>
      <c r="B12" s="40">
        <v>14598</v>
      </c>
      <c r="C12" s="13">
        <f>Inputs!B140-Inputs!C140</f>
        <v>10887</v>
      </c>
      <c r="D12" s="13">
        <f>Inputs!D331+Inputs!E331+B12+C12</f>
        <v>47627</v>
      </c>
      <c r="E12" s="40">
        <v>10677</v>
      </c>
      <c r="F12" s="40">
        <v>13208</v>
      </c>
      <c r="G12" s="30">
        <f>'Income Statement'!G27*G9</f>
        <v>12862.5917935725</v>
      </c>
      <c r="H12" s="2"/>
    </row>
    <row r="13" ht="15" customHeight="1">
      <c r="A13" s="31" t="s">
        <v>139</v>
      </c>
      <c r="B13" s="32">
        <f>IF(AND(ISNUMBER(B12),ISNUMBER(Inputs!B331)),IF(Inputs!B331&gt;0,B12/Inputs!B331-1,"n/m"),"n/a")</f>
        <v>0.1600445009535918</v>
      </c>
      <c r="C13" s="32">
        <f>IF(AND(ISNUMBER(C12),ISNUMBER(Inputs!C331)),IF(Inputs!C331&gt;0,C12/Inputs!C331-1,"n/m"),"n/a")</f>
        <v>-0.10195496164315765</v>
      </c>
      <c r="D13" s="32">
        <f>IF(AND(ISNUMBER(D12),ISNUMBER(Inputs!F331)),IF(Inputs!F331&gt;0,D12/Inputs!F331-1,"n/m"),"n/a")</f>
        <v>-0.00205343111576739</v>
      </c>
      <c r="E13" s="32">
        <f>IF(AND(ISNUMBER(E12),ISNUMBER(Inputs!D331)),IF(Inputs!D331&gt;0,E12/Inputs!D331-1,"n/m"),"n/a")</f>
        <v>0.03329139649666124</v>
      </c>
      <c r="F13" s="32">
        <f>IF(AND(ISNUMBER(F12),ISNUMBER(Inputs!E331)),IF(Inputs!E331&gt;0,F12/Inputs!E331-1,"n/m"),"n/a")</f>
        <v>0.11846896434922516</v>
      </c>
      <c r="G13" s="33">
        <f t="shared" si="7" ref="G13:G28">IF(AND(ISNUMBER(G12),ISNUMBER(B12)),IF(B12&gt;0,G12/B12-1,"n/m"),"n/a")</f>
        <v>-0.11887986069512957</v>
      </c>
      <c r="H13" s="2"/>
    </row>
    <row r="14" ht="15" customHeight="1">
      <c r="A14" s="31" t="s">
        <v>74</v>
      </c>
      <c r="B14" s="32">
        <f>'Revenue summary'!B31</f>
        <v>0</v>
      </c>
      <c r="C14" s="32">
        <f>'Revenue summary'!C31</f>
        <v>0</v>
      </c>
      <c r="D14" s="32">
        <f>'Revenue summary'!D31</f>
        <v>0</v>
      </c>
      <c r="E14" s="32">
        <f>'Revenue summary'!E31</f>
        <v>0</v>
      </c>
      <c r="F14" s="32">
        <f>'Revenue summary'!F31</f>
        <v>0</v>
      </c>
      <c r="G14" s="66">
        <f>'Revenue summary'!G31</f>
        <v>0</v>
      </c>
      <c r="H14" s="2"/>
    </row>
    <row r="15" ht="15" customHeight="1">
      <c r="A15" s="31" t="s">
        <v>140</v>
      </c>
      <c r="B15" s="15" t="s">
        <v>31</v>
      </c>
      <c r="C15" s="15" t="s">
        <v>31</v>
      </c>
      <c r="D15" s="15" t="s">
        <v>31</v>
      </c>
      <c r="E15" s="15" t="s">
        <v>31</v>
      </c>
      <c r="F15" s="15" t="s">
        <v>31</v>
      </c>
      <c r="G15" s="33" t="s">
        <v>31</v>
      </c>
      <c r="H15" s="2"/>
    </row>
    <row r="16" ht="15" customHeight="1">
      <c r="A16" s="31" t="s">
        <v>141</v>
      </c>
      <c r="B16" s="15" t="str">
        <f t="shared" si="2" ref="B16:G31">IF(AND(ISNUMBER(B13),ISNUMBER(B14),ISNUMBER(B15)),(1+B13)/((1+B14)*(1+B15))-1,"n/a")</f>
        <v>n/a</v>
      </c>
      <c r="C16" s="15" t="str">
        <f t="shared" si="2"/>
        <v>n/a</v>
      </c>
      <c r="D16" s="15" t="str">
        <f t="shared" si="2"/>
        <v>n/a</v>
      </c>
      <c r="E16" s="15" t="str">
        <f t="shared" si="2"/>
        <v>n/a</v>
      </c>
      <c r="F16" s="15" t="str">
        <f t="shared" si="2"/>
        <v>n/a</v>
      </c>
      <c r="G16" s="33" t="str">
        <f t="shared" si="2"/>
        <v>n/a</v>
      </c>
      <c r="H16" s="2"/>
    </row>
    <row r="17" ht="15" customHeight="1">
      <c r="A17" s="31" t="s">
        <v>65</v>
      </c>
      <c r="B17" s="24">
        <f>IF(AND(ISNUMBER(B12),ISNUMBER(Inputs!E331)),B12-Inputs!E331,"n/a")</f>
        <v>2789</v>
      </c>
      <c r="C17" s="36">
        <f t="shared" si="3" ref="C17:G32">IF(AND(ISNUMBER(C12),ISNUMBER(B12)),C12-B12,"n/a")</f>
        <v>-3711</v>
      </c>
      <c r="D17" s="36"/>
      <c r="E17" s="36">
        <f t="shared" si="8" ref="E17:E32">IF(AND(ISNUMBER(E12),ISNUMBER(C12)),E12-C12,"n/a")</f>
        <v>-210</v>
      </c>
      <c r="F17" s="36">
        <f t="shared" si="3"/>
        <v>2531</v>
      </c>
      <c r="G17" s="37">
        <f t="shared" si="3"/>
        <v>-345.4082064275008</v>
      </c>
      <c r="H17" s="2"/>
    </row>
    <row r="18" ht="15" customHeight="1">
      <c r="A18" s="31" t="s">
        <v>404</v>
      </c>
      <c r="B18" s="15">
        <f t="shared" si="4" ref="B18:F18">B21/B36</f>
        <v>0.201210179747286</v>
      </c>
      <c r="C18" s="15">
        <f t="shared" si="4"/>
        <v>0.2691056584072929</v>
      </c>
      <c r="D18" s="15">
        <f t="shared" si="4"/>
        <v>0.22105518470477817</v>
      </c>
      <c r="E18" s="15">
        <f t="shared" si="4"/>
        <v>0.18689417965783714</v>
      </c>
      <c r="F18" s="15">
        <f t="shared" si="4"/>
        <v>0.16556877744723048</v>
      </c>
      <c r="G18" s="43">
        <v>0.175</v>
      </c>
      <c r="H18" s="2" t="s">
        <v>405</v>
      </c>
    </row>
    <row r="19" ht="15" customHeight="1">
      <c r="A19" s="67" t="s">
        <v>68</v>
      </c>
      <c r="B19" s="48">
        <f>IF(AND(ISNUMBER(B18),ISNUMBER(Inputs!B332)),(B18-Inputs!B332)*10000,"n/a")</f>
        <v>-237.520948933303</v>
      </c>
      <c r="C19" s="48">
        <f>IF(AND(ISNUMBER(C18),ISNUMBER(Inputs!C332)),(C18-Inputs!C332)*10000,"n/a")</f>
        <v>337.2229978901772</v>
      </c>
      <c r="D19" s="48">
        <f>IF(AND(ISNUMBER(D18),ISNUMBER(Inputs!F332)),(D18-Inputs!F332)*10000,"n/a")</f>
        <v>66.62718741015233</v>
      </c>
      <c r="E19" s="48">
        <f>IF(AND(ISNUMBER(E18),ISNUMBER(Inputs!D332)),(E18-Inputs!D332)*10000,"n/a")</f>
        <v>-356.55600533525677</v>
      </c>
      <c r="F19" s="48">
        <f>IF(AND(ISNUMBER(F18),ISNUMBER(Inputs!E332)),(F18-Inputs!E332)*10000,"n/a")</f>
        <v>-257.985767490711</v>
      </c>
      <c r="G19" s="39">
        <f t="shared" si="5"/>
        <v>-262.1017974728601</v>
      </c>
      <c r="H19" s="2"/>
    </row>
    <row r="20" ht="15" customHeight="1">
      <c r="A20" s="67" t="s">
        <v>69</v>
      </c>
      <c r="B20" s="48">
        <f>IF(AND(ISNUMBER(B18),ISNUMBER(Inputs!E332)),(B18-Inputs!E332)*10000,"n/a")</f>
        <v>98.42825550984425</v>
      </c>
      <c r="C20" s="38">
        <f t="shared" si="1"/>
        <v>678.9547866000689</v>
      </c>
      <c r="D20" s="38"/>
      <c r="E20" s="38">
        <f t="shared" si="6"/>
        <v>-822.1147874945575</v>
      </c>
      <c r="F20" s="38">
        <f t="shared" si="1"/>
        <v>-213.25402210606666</v>
      </c>
      <c r="G20" s="39">
        <f t="shared" si="1"/>
        <v>94.31222552769513</v>
      </c>
      <c r="H20" s="2"/>
    </row>
    <row r="21" ht="15" customHeight="1">
      <c r="A21" s="29" t="s">
        <v>406</v>
      </c>
      <c r="B21" s="40">
        <v>5653</v>
      </c>
      <c r="C21" s="13">
        <f>Inputs!B141-Inputs!C141</f>
        <v>6701</v>
      </c>
      <c r="D21" s="13">
        <f>Inputs!D333+Inputs!E333+B21+C21</f>
        <v>20962</v>
      </c>
      <c r="E21" s="40">
        <v>4184</v>
      </c>
      <c r="F21" s="40">
        <v>4675</v>
      </c>
      <c r="G21" s="30">
        <f>'Income Statement'!G27*G18</f>
        <v>5002.11903083375</v>
      </c>
      <c r="H21" s="2"/>
    </row>
    <row r="22" ht="15" customHeight="1">
      <c r="A22" s="31" t="s">
        <v>139</v>
      </c>
      <c r="B22" s="32">
        <f>IF(AND(ISNUMBER(B21),ISNUMBER(Inputs!B333)),IF(Inputs!B333&gt;0,B21/Inputs!B333-1,"n/m"),"n/a")</f>
        <v>-0.002118270079435103</v>
      </c>
      <c r="C22" s="32">
        <f>IF(AND(ISNUMBER(C21),ISNUMBER(Inputs!C333)),IF(Inputs!C333&gt;0,C21/Inputs!C333-1,"n/m"),"n/a")</f>
        <v>0.10742026111386549</v>
      </c>
      <c r="D22" s="32">
        <f>IF(AND(ISNUMBER(D21),ISNUMBER(Inputs!F333)),IF(Inputs!F333&gt;0,D21/Inputs!F333-1,"n/m"),"n/a")</f>
        <v>0.0008594346829640109</v>
      </c>
      <c r="E22" s="32">
        <f>IF(AND(ISNUMBER(E21),ISNUMBER(Inputs!D333)),IF(Inputs!D333&gt;0,E21/Inputs!D333-1,"n/m"),"n/a")</f>
        <v>-0.027655124331861458</v>
      </c>
      <c r="F22" s="32">
        <f>IF(AND(ISNUMBER(F21),ISNUMBER(Inputs!E333)),IF(Inputs!E333&gt;0,F21/Inputs!E333-1,"n/m"),"n/a")</f>
        <v>0.08594657375145176</v>
      </c>
      <c r="G22" s="33">
        <f t="shared" si="7"/>
        <v>-0.11513903576264817</v>
      </c>
      <c r="H22" s="2"/>
    </row>
    <row r="23" ht="15" customHeight="1">
      <c r="A23" s="31" t="s">
        <v>74</v>
      </c>
      <c r="B23" s="32">
        <f>'Revenue summary'!B31</f>
        <v>0</v>
      </c>
      <c r="C23" s="32">
        <f>'Revenue summary'!C31</f>
        <v>0</v>
      </c>
      <c r="D23" s="32">
        <f>'Revenue summary'!D31</f>
        <v>0</v>
      </c>
      <c r="E23" s="32">
        <f>'Revenue summary'!E31</f>
        <v>0</v>
      </c>
      <c r="F23" s="32">
        <f>'Revenue summary'!F31</f>
        <v>0</v>
      </c>
      <c r="G23" s="66">
        <f>'Revenue summary'!G31</f>
        <v>0</v>
      </c>
      <c r="H23" s="2"/>
    </row>
    <row r="24" ht="15" customHeight="1">
      <c r="A24" s="31" t="s">
        <v>140</v>
      </c>
      <c r="B24" s="15" t="s">
        <v>31</v>
      </c>
      <c r="C24" s="15" t="s">
        <v>31</v>
      </c>
      <c r="D24" s="15" t="s">
        <v>31</v>
      </c>
      <c r="E24" s="15" t="s">
        <v>31</v>
      </c>
      <c r="F24" s="15" t="s">
        <v>31</v>
      </c>
      <c r="G24" s="33" t="s">
        <v>31</v>
      </c>
      <c r="H24" s="2"/>
    </row>
    <row r="25" ht="15" customHeight="1">
      <c r="A25" s="31" t="s">
        <v>141</v>
      </c>
      <c r="B25" s="15" t="str">
        <f t="shared" si="2"/>
        <v>n/a</v>
      </c>
      <c r="C25" s="15" t="str">
        <f t="shared" si="2"/>
        <v>n/a</v>
      </c>
      <c r="D25" s="15" t="str">
        <f t="shared" si="2"/>
        <v>n/a</v>
      </c>
      <c r="E25" s="15" t="str">
        <f t="shared" si="2"/>
        <v>n/a</v>
      </c>
      <c r="F25" s="15" t="str">
        <f t="shared" si="2"/>
        <v>n/a</v>
      </c>
      <c r="G25" s="33" t="str">
        <f t="shared" si="2"/>
        <v>n/a</v>
      </c>
      <c r="H25" s="2"/>
    </row>
    <row r="26" ht="15" customHeight="1">
      <c r="A26" s="31" t="s">
        <v>65</v>
      </c>
      <c r="B26" s="24">
        <f>IF(AND(ISNUMBER(B21),ISNUMBER(Inputs!E333)),B21-Inputs!E333,"n/a")</f>
        <v>1348</v>
      </c>
      <c r="C26" s="36">
        <f t="shared" si="3"/>
        <v>1048</v>
      </c>
      <c r="D26" s="36"/>
      <c r="E26" s="36">
        <f t="shared" si="8"/>
        <v>-2517</v>
      </c>
      <c r="F26" s="36">
        <f t="shared" si="3"/>
        <v>491</v>
      </c>
      <c r="G26" s="37">
        <f t="shared" si="3"/>
        <v>327.11903083375</v>
      </c>
      <c r="H26" s="2"/>
    </row>
    <row r="27" ht="15" customHeight="1">
      <c r="A27" s="29" t="s">
        <v>407</v>
      </c>
      <c r="B27" s="40">
        <v>7844</v>
      </c>
      <c r="C27" s="13">
        <f>Inputs!B142-Inputs!C142</f>
        <v>7313</v>
      </c>
      <c r="D27" s="13">
        <f>Inputs!D334+Inputs!E334+B27+C27</f>
        <v>26238</v>
      </c>
      <c r="E27" s="40">
        <v>7526</v>
      </c>
      <c r="F27" s="40">
        <v>10353</v>
      </c>
      <c r="G27" s="30">
        <f>'Income Statement'!G27-G12-G21</f>
        <v>10718.82649464375</v>
      </c>
      <c r="H27" s="2" t="s">
        <v>408</v>
      </c>
    </row>
    <row r="28" ht="15" customHeight="1">
      <c r="A28" s="31" t="s">
        <v>139</v>
      </c>
      <c r="B28" s="32">
        <f>IF(AND(ISNUMBER(B27),ISNUMBER(Inputs!B334)),IF(Inputs!B334&gt;0,B27/Inputs!B334-1,"n/m"),"n/a")</f>
        <v>0.13140054810327428</v>
      </c>
      <c r="C28" s="32">
        <f>IF(AND(ISNUMBER(C27),ISNUMBER(Inputs!C334)),IF(Inputs!C334&gt;0,C27/Inputs!C334-1,"n/m"),"n/a")</f>
        <v>-0.02920483207221558</v>
      </c>
      <c r="D28" s="32">
        <f>IF(AND(ISNUMBER(D27),ISNUMBER(Inputs!F334)),IF(Inputs!F334&gt;0,D27/Inputs!F334-1,"n/m"),"n/a")</f>
        <v>-0.0958960752558492</v>
      </c>
      <c r="E28" s="32">
        <f>IF(AND(ISNUMBER(E27),ISNUMBER(Inputs!D334)),IF(Inputs!D334&gt;0,E27/Inputs!D334-1,"n/m"),"n/a")</f>
        <v>0.601617365396893</v>
      </c>
      <c r="F28" s="32">
        <f>IF(AND(ISNUMBER(F27),ISNUMBER(Inputs!E334)),IF(Inputs!E334&gt;0,F27/Inputs!E334-1,"n/m"),"n/a")</f>
        <v>0.6222187402068318</v>
      </c>
      <c r="G28" s="33">
        <f t="shared" si="7"/>
        <v>0.3665000630601416</v>
      </c>
      <c r="H28" s="2"/>
    </row>
    <row r="29" ht="15" customHeight="1">
      <c r="A29" s="31" t="s">
        <v>74</v>
      </c>
      <c r="B29" s="32">
        <f>'Revenue summary'!B31</f>
        <v>0</v>
      </c>
      <c r="C29" s="32">
        <f>'Revenue summary'!C31</f>
        <v>0</v>
      </c>
      <c r="D29" s="32">
        <f>'Revenue summary'!D31</f>
        <v>0</v>
      </c>
      <c r="E29" s="32">
        <f>'Revenue summary'!E31</f>
        <v>0</v>
      </c>
      <c r="F29" s="32">
        <f>'Revenue summary'!F31</f>
        <v>0</v>
      </c>
      <c r="G29" s="66">
        <f>'Revenue summary'!G31</f>
        <v>0</v>
      </c>
      <c r="H29" s="2"/>
    </row>
    <row r="30" ht="15" customHeight="1">
      <c r="A30" s="31" t="s">
        <v>140</v>
      </c>
      <c r="B30" s="15" t="s">
        <v>31</v>
      </c>
      <c r="C30" s="15" t="s">
        <v>31</v>
      </c>
      <c r="D30" s="15" t="s">
        <v>31</v>
      </c>
      <c r="E30" s="15" t="s">
        <v>31</v>
      </c>
      <c r="F30" s="15" t="s">
        <v>31</v>
      </c>
      <c r="G30" s="33" t="s">
        <v>31</v>
      </c>
      <c r="H30" s="2"/>
    </row>
    <row r="31" ht="15" customHeight="1">
      <c r="A31" s="31" t="s">
        <v>141</v>
      </c>
      <c r="B31" s="15" t="str">
        <f t="shared" si="2"/>
        <v>n/a</v>
      </c>
      <c r="C31" s="15" t="str">
        <f t="shared" si="2"/>
        <v>n/a</v>
      </c>
      <c r="D31" s="15" t="str">
        <f t="shared" si="2"/>
        <v>n/a</v>
      </c>
      <c r="E31" s="15" t="str">
        <f t="shared" si="2"/>
        <v>n/a</v>
      </c>
      <c r="F31" s="15" t="str">
        <f t="shared" si="2"/>
        <v>n/a</v>
      </c>
      <c r="G31" s="33" t="str">
        <f t="shared" si="2"/>
        <v>n/a</v>
      </c>
      <c r="H31" s="2"/>
    </row>
    <row r="32" ht="15" customHeight="1">
      <c r="A32" s="31" t="s">
        <v>65</v>
      </c>
      <c r="B32" s="24">
        <f>IF(AND(ISNUMBER(B27),ISNUMBER(Inputs!E334)),B27-Inputs!E334,"n/a")</f>
        <v>1462</v>
      </c>
      <c r="C32" s="36">
        <f t="shared" si="3"/>
        <v>-531</v>
      </c>
      <c r="D32" s="36"/>
      <c r="E32" s="36">
        <f t="shared" si="8"/>
        <v>213</v>
      </c>
      <c r="F32" s="36">
        <f t="shared" si="3"/>
        <v>2827</v>
      </c>
      <c r="G32" s="37">
        <f t="shared" si="3"/>
        <v>365.82649464375027</v>
      </c>
      <c r="H32" s="2"/>
    </row>
    <row r="33" ht="15" customHeight="1">
      <c r="A33" s="31" t="s">
        <v>409</v>
      </c>
      <c r="B33" s="15">
        <f t="shared" si="9" ref="B33:G33">B27/B36</f>
        <v>0.27919558640327463</v>
      </c>
      <c r="C33" s="15">
        <f t="shared" si="9"/>
        <v>0.2936829846190916</v>
      </c>
      <c r="D33" s="15">
        <f t="shared" si="9"/>
        <v>0.2766933468315986</v>
      </c>
      <c r="E33" s="15">
        <f t="shared" si="9"/>
        <v>0.3361772457229642</v>
      </c>
      <c r="F33" s="15">
        <f t="shared" si="9"/>
        <v>0.3666595835104122</v>
      </c>
      <c r="G33" s="33">
        <f t="shared" si="9"/>
        <v>0.37500000000000006</v>
      </c>
      <c r="H33" s="2"/>
    </row>
    <row r="34" ht="15" customHeight="1">
      <c r="A34" s="67" t="s">
        <v>68</v>
      </c>
      <c r="B34" s="48">
        <f>IF(AND(ISNUMBER(B33),ISNUMBER(Inputs!B335)),(B33-Inputs!B335)*10000,"n/a")</f>
        <v>38.798847115901204</v>
      </c>
      <c r="C34" s="48">
        <f>IF(AND(ISNUMBER(C33),ISNUMBER(Inputs!C335)),(C33-Inputs!C335)*10000,"n/a")</f>
        <v>6.499585950514586</v>
      </c>
      <c r="D34" s="48">
        <f>IF(AND(ISNUMBER(D33),ISNUMBER(Inputs!F335)),(D33-Inputs!F335)*10000,"n/a")</f>
        <v>-203.790249567114</v>
      </c>
      <c r="E34" s="48">
        <f>IF(AND(ISNUMBER(E33),ISNUMBER(Inputs!D335)),(E33-Inputs!D335)*10000,"n/a")</f>
        <v>931.464725137581</v>
      </c>
      <c r="F34" s="48">
        <f>IF(AND(ISNUMBER(F33),ISNUMBER(Inputs!E335)),(F33-Inputs!E335)*10000,"n/a")</f>
        <v>829.6470442079628</v>
      </c>
      <c r="G34" s="39">
        <f t="shared" si="5"/>
        <v>958.0441359672542</v>
      </c>
      <c r="H34" s="2"/>
    </row>
    <row r="35" ht="15" customHeight="1">
      <c r="A35" s="67" t="s">
        <v>69</v>
      </c>
      <c r="B35" s="48">
        <f>IF(AND(ISNUMBER(B33),ISNUMBER(Inputs!E335)),(B33-Inputs!E335)*10000,"n/a")</f>
        <v>-44.992926863413054</v>
      </c>
      <c r="C35" s="38">
        <f t="shared" si="1"/>
        <v>144.8739821581696</v>
      </c>
      <c r="D35" s="38"/>
      <c r="E35" s="38">
        <f t="shared" si="6"/>
        <v>424.9426110387261</v>
      </c>
      <c r="F35" s="38">
        <f t="shared" si="1"/>
        <v>304.82337787448023</v>
      </c>
      <c r="G35" s="39">
        <f t="shared" si="1"/>
        <v>83.40416489587832</v>
      </c>
      <c r="H35" s="2"/>
    </row>
    <row r="36" ht="15" customHeight="1">
      <c r="A36" s="3" t="s">
        <v>410</v>
      </c>
      <c r="B36" s="34">
        <f t="shared" si="10" ref="B36:G36">B12+B21+B27</f>
        <v>28095</v>
      </c>
      <c r="C36" s="34">
        <f t="shared" si="10"/>
        <v>24901</v>
      </c>
      <c r="D36" s="34">
        <f t="shared" si="10"/>
        <v>94827</v>
      </c>
      <c r="E36" s="34">
        <f t="shared" si="10"/>
        <v>22387</v>
      </c>
      <c r="F36" s="34">
        <f t="shared" si="10"/>
        <v>28236</v>
      </c>
      <c r="G36" s="35">
        <f t="shared" si="10"/>
        <v>28583.537319049996</v>
      </c>
      <c r="H36" s="2"/>
    </row>
    <row r="37" ht="15" customHeight="1">
      <c r="A37" s="23" t="s">
        <v>72</v>
      </c>
      <c r="B37" s="24">
        <f>IF(AND(ISNUMBER(B36),ISNUMBER(Inputs!B336)),B36-Inputs!B336,"n/a")</f>
        <v>2913</v>
      </c>
      <c r="C37" s="24">
        <f>IF(AND(ISNUMBER(C36),ISNUMBER(Inputs!C336)),C36-Inputs!C336,"n/a")</f>
        <v>-806</v>
      </c>
      <c r="D37" s="24">
        <f>IF(AND(ISNUMBER(D36),ISNUMBER(Inputs!F336)),D36-Inputs!F336,"n/a")</f>
        <v>-2863</v>
      </c>
      <c r="E37" s="24">
        <f>IF(AND(ISNUMBER(E36),ISNUMBER(Inputs!D336)),E36-Inputs!D336,"n/a")</f>
        <v>3052</v>
      </c>
      <c r="F37" s="24">
        <f>IF(AND(ISNUMBER(F36),ISNUMBER(Inputs!E336)),F36-Inputs!E336,"n/a")</f>
        <v>5740</v>
      </c>
      <c r="G37" s="37">
        <f>IF(AND(ISNUMBER(G36),ISNUMBER(B36)),G36-B36,"n/a")</f>
        <v>488.53731904999586</v>
      </c>
      <c r="H37" s="2"/>
    </row>
    <row r="38" ht="15" customHeight="1">
      <c r="A38" s="23" t="s">
        <v>65</v>
      </c>
      <c r="B38" s="24">
        <f>IF(AND(ISNUMBER(B36),ISNUMBER(Inputs!E336)),B36-Inputs!E336,"n/a")</f>
        <v>5599</v>
      </c>
      <c r="C38" s="36">
        <f t="shared" si="11" ref="C38:G38">IF(AND(ISNUMBER(C36),ISNUMBER(B36)),C36-B36,"n/a")</f>
        <v>-3194</v>
      </c>
      <c r="D38" s="36"/>
      <c r="E38" s="36">
        <f>IF(AND(ISNUMBER(E36),ISNUMBER(C36)),E36-C36,"n/a")</f>
        <v>-2514</v>
      </c>
      <c r="F38" s="36">
        <f t="shared" si="11"/>
        <v>5849</v>
      </c>
      <c r="G38" s="37">
        <f t="shared" si="11"/>
        <v>347.53731904999586</v>
      </c>
      <c r="H38" s="2"/>
    </row>
    <row r="39" ht="15" customHeight="1">
      <c r="A39" s="23" t="s">
        <v>411</v>
      </c>
      <c r="B39" s="24">
        <f>B36-'Income Statement'!B27</f>
        <v>0</v>
      </c>
      <c r="C39" s="24">
        <f>C36-'Income Statement'!C27</f>
        <v>0</v>
      </c>
      <c r="D39" s="24">
        <f>D36-'Income Statement'!D27</f>
        <v>0</v>
      </c>
      <c r="E39" s="24">
        <f>E36-'Income Statement'!E27</f>
        <v>0</v>
      </c>
      <c r="F39" s="24">
        <f>F36-'Income Statement'!F27</f>
        <v>0</v>
      </c>
      <c r="G39" s="44">
        <f>G36-'Income Statement'!G27</f>
        <v>0</v>
      </c>
      <c r="H39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AB917DF-D5D8-CA0B-AE38-3AB5647FA60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7" width="12.00390625" customWidth="1"/>
    <col min="8" max="8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412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4</v>
      </c>
      <c r="H4" s="5" t="s">
        <v>57</v>
      </c>
    </row>
    <row r="5" ht="15" customHeight="1">
      <c r="A5" s="7" t="s">
        <v>5</v>
      </c>
      <c r="B5" s="8">
        <v>45930</v>
      </c>
      <c r="C5" s="8">
        <v>46022</v>
      </c>
      <c r="D5" s="8">
        <v>46022</v>
      </c>
      <c r="E5" s="8">
        <v>46112</v>
      </c>
      <c r="F5" s="8">
        <v>46203</v>
      </c>
      <c r="G5" s="8">
        <v>46295</v>
      </c>
      <c r="H5" s="7"/>
    </row>
    <row r="6" ht="15" customHeight="1">
      <c r="A6" s="9" t="s">
        <v>6</v>
      </c>
      <c r="B6" s="10">
        <v>92</v>
      </c>
      <c r="C6" s="10">
        <v>92</v>
      </c>
      <c r="D6" s="10">
        <v>365</v>
      </c>
      <c r="E6" s="10">
        <v>90</v>
      </c>
      <c r="F6" s="10">
        <v>91</v>
      </c>
      <c r="G6" s="10">
        <v>92</v>
      </c>
      <c r="H6" s="9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3" t="s">
        <v>413</v>
      </c>
      <c r="B8" s="2"/>
      <c r="C8" s="2"/>
      <c r="D8" s="2"/>
      <c r="E8" s="2"/>
      <c r="F8" s="2"/>
      <c r="G8" s="28"/>
      <c r="H8" s="2"/>
    </row>
    <row r="9" ht="15" customHeight="1">
      <c r="A9" s="29" t="s">
        <v>414</v>
      </c>
      <c r="B9" s="13">
        <f>B12-Inputs!E337</f>
        <v>4</v>
      </c>
      <c r="C9" s="14">
        <f t="shared" si="0" ref="C9:F9">C12-B12</f>
        <v>4</v>
      </c>
      <c r="D9" s="14" t="s">
        <v>31</v>
      </c>
      <c r="E9" s="14">
        <f>E12-C12</f>
        <v>3</v>
      </c>
      <c r="F9" s="14">
        <f t="shared" si="0"/>
        <v>3</v>
      </c>
      <c r="G9" s="41">
        <v>3</v>
      </c>
      <c r="H9" s="2" t="s">
        <v>415</v>
      </c>
    </row>
    <row r="10" ht="15" customHeight="1">
      <c r="A10" s="31" t="s">
        <v>72</v>
      </c>
      <c r="B10" s="36" t="s">
        <v>31</v>
      </c>
      <c r="C10" s="36" t="s">
        <v>31</v>
      </c>
      <c r="D10" s="36" t="s">
        <v>31</v>
      </c>
      <c r="E10" s="36" t="s">
        <v>31</v>
      </c>
      <c r="F10" s="36" t="s">
        <v>31</v>
      </c>
      <c r="G10" s="37">
        <f t="shared" si="2" ref="G10:G49">IF(AND(ISNUMBER(G9),ISNUMBER(B9)),G9-B9,"n/a")</f>
        <v>-1</v>
      </c>
      <c r="H10" s="2"/>
    </row>
    <row r="11" ht="15" customHeight="1">
      <c r="A11" s="31" t="s">
        <v>65</v>
      </c>
      <c r="B11" s="36" t="s">
        <v>31</v>
      </c>
      <c r="C11" s="36">
        <f t="shared" si="1" ref="C11:G50">IF(AND(ISNUMBER(C9),ISNUMBER(B9)),C9-B9,"n/a")</f>
        <v>0</v>
      </c>
      <c r="D11" s="36"/>
      <c r="E11" s="36">
        <f t="shared" si="3" ref="E11:E50">IF(AND(ISNUMBER(E9),ISNUMBER(C9)),E9-C9,"n/a")</f>
        <v>-1</v>
      </c>
      <c r="F11" s="36">
        <f t="shared" si="1"/>
        <v>0</v>
      </c>
      <c r="G11" s="37">
        <f t="shared" si="1"/>
        <v>0</v>
      </c>
      <c r="H11" s="2"/>
    </row>
    <row r="12" ht="15" customHeight="1">
      <c r="A12" s="29" t="s">
        <v>416</v>
      </c>
      <c r="B12" s="40">
        <v>3227</v>
      </c>
      <c r="C12" s="40">
        <v>3231</v>
      </c>
      <c r="D12" s="40">
        <v>3225</v>
      </c>
      <c r="E12" s="40">
        <v>3234</v>
      </c>
      <c r="F12" s="40">
        <v>3237</v>
      </c>
      <c r="G12" s="65">
        <f>F12+G9</f>
        <v>3240</v>
      </c>
      <c r="H12" s="2"/>
    </row>
    <row r="13" ht="15" customHeight="1">
      <c r="A13" s="31" t="s">
        <v>72</v>
      </c>
      <c r="B13" s="24">
        <f>IF(AND(ISNUMBER(B12),ISNUMBER(Inputs!B337)),B12-Inputs!B337,"n/a")</f>
        <v>29</v>
      </c>
      <c r="C13" s="24">
        <f>IF(AND(ISNUMBER(C12),ISNUMBER(Inputs!C337)),C12-Inputs!C337,"n/a")</f>
        <v>18</v>
      </c>
      <c r="D13" s="24">
        <f>IF(AND(ISNUMBER(D12),ISNUMBER(Inputs!F337)),D12-Inputs!F337,"n/a")</f>
        <v>28</v>
      </c>
      <c r="E13" s="24">
        <f>IF(AND(ISNUMBER(E12),ISNUMBER(Inputs!D337)),E12-Inputs!D337,"n/a")</f>
        <v>16</v>
      </c>
      <c r="F13" s="24">
        <f>IF(AND(ISNUMBER(F12),ISNUMBER(Inputs!E337)),F12-Inputs!E337,"n/a")</f>
        <v>14</v>
      </c>
      <c r="G13" s="37">
        <f t="shared" si="2"/>
        <v>13</v>
      </c>
      <c r="H13" s="2"/>
    </row>
    <row r="14" ht="15" customHeight="1">
      <c r="A14" s="31" t="s">
        <v>65</v>
      </c>
      <c r="B14" s="24">
        <f>IF(AND(ISNUMBER(B12),ISNUMBER(Inputs!E337)),B12-Inputs!E337,"n/a")</f>
        <v>4</v>
      </c>
      <c r="C14" s="36">
        <f t="shared" si="1"/>
        <v>4</v>
      </c>
      <c r="D14" s="36"/>
      <c r="E14" s="36">
        <f t="shared" si="3"/>
        <v>3</v>
      </c>
      <c r="F14" s="36">
        <f t="shared" si="1"/>
        <v>3</v>
      </c>
      <c r="G14" s="37">
        <f t="shared" si="1"/>
        <v>3</v>
      </c>
      <c r="H14" s="2"/>
    </row>
    <row r="15" ht="15" customHeight="1">
      <c r="A15" s="29" t="s">
        <v>417</v>
      </c>
      <c r="B15" s="14">
        <f t="shared" si="4" ref="B15:F15">B18-B12</f>
        <v>299</v>
      </c>
      <c r="C15" s="14">
        <f t="shared" si="4"/>
        <v>308</v>
      </c>
      <c r="D15" s="14">
        <f t="shared" si="4"/>
        <v>303</v>
      </c>
      <c r="E15" s="14">
        <f t="shared" si="4"/>
        <v>304</v>
      </c>
      <c r="F15" s="14">
        <f t="shared" si="4"/>
        <v>303</v>
      </c>
      <c r="G15" s="41">
        <v>304</v>
      </c>
      <c r="H15" s="2" t="s">
        <v>418</v>
      </c>
    </row>
    <row r="16" ht="15" customHeight="1">
      <c r="A16" s="31" t="s">
        <v>72</v>
      </c>
      <c r="B16" s="36" t="s">
        <v>31</v>
      </c>
      <c r="C16" s="36" t="s">
        <v>31</v>
      </c>
      <c r="D16" s="36" t="s">
        <v>31</v>
      </c>
      <c r="E16" s="36" t="s">
        <v>31</v>
      </c>
      <c r="F16" s="36" t="s">
        <v>31</v>
      </c>
      <c r="G16" s="37">
        <f t="shared" si="2"/>
        <v>5</v>
      </c>
      <c r="H16" s="2" t="s">
        <v>419</v>
      </c>
    </row>
    <row r="17" ht="15" customHeight="1">
      <c r="A17" s="31" t="s">
        <v>65</v>
      </c>
      <c r="B17" s="36" t="s">
        <v>31</v>
      </c>
      <c r="C17" s="36">
        <f t="shared" si="1"/>
        <v>9</v>
      </c>
      <c r="D17" s="36"/>
      <c r="E17" s="36">
        <f t="shared" si="3"/>
        <v>-4</v>
      </c>
      <c r="F17" s="36">
        <f t="shared" si="1"/>
        <v>-1</v>
      </c>
      <c r="G17" s="37">
        <f t="shared" si="1"/>
        <v>1</v>
      </c>
      <c r="H17" s="2"/>
    </row>
    <row r="18" ht="15" customHeight="1">
      <c r="A18" s="3" t="s">
        <v>420</v>
      </c>
      <c r="B18" s="82">
        <v>3526</v>
      </c>
      <c r="C18" s="82">
        <v>3539</v>
      </c>
      <c r="D18" s="82">
        <v>3528</v>
      </c>
      <c r="E18" s="82">
        <v>3538</v>
      </c>
      <c r="F18" s="82">
        <v>3540</v>
      </c>
      <c r="G18" s="35">
        <f>G12+G15</f>
        <v>3544</v>
      </c>
      <c r="H18" s="2"/>
    </row>
    <row r="19" ht="15" customHeight="1">
      <c r="A19" s="23" t="s">
        <v>72</v>
      </c>
      <c r="B19" s="24">
        <f>IF(AND(ISNUMBER(B18),ISNUMBER(Inputs!B338)),B18-Inputs!B338,"n/a")</f>
        <v>29</v>
      </c>
      <c r="C19" s="24">
        <f>IF(AND(ISNUMBER(C18),ISNUMBER(Inputs!C338)),C18-Inputs!C338,"n/a")</f>
        <v>22</v>
      </c>
      <c r="D19" s="24">
        <f>IF(AND(ISNUMBER(D18),ISNUMBER(Inputs!F338)),D18-Inputs!F338,"n/a")</f>
        <v>30</v>
      </c>
      <c r="E19" s="24">
        <f>IF(AND(ISNUMBER(E18),ISNUMBER(Inputs!D338)),E18-Inputs!D338,"n/a")</f>
        <v>17</v>
      </c>
      <c r="F19" s="24">
        <f>IF(AND(ISNUMBER(F18),ISNUMBER(Inputs!E338)),F18-Inputs!E338,"n/a")</f>
        <v>21</v>
      </c>
      <c r="G19" s="37">
        <f t="shared" si="2"/>
        <v>18</v>
      </c>
      <c r="H19" s="2"/>
    </row>
    <row r="20" ht="15" customHeight="1">
      <c r="A20" s="23" t="s">
        <v>65</v>
      </c>
      <c r="B20" s="24">
        <f>IF(AND(ISNUMBER(B18),ISNUMBER(Inputs!E338)),B18-Inputs!E338,"n/a")</f>
        <v>7</v>
      </c>
      <c r="C20" s="36">
        <f t="shared" si="1"/>
        <v>13</v>
      </c>
      <c r="D20" s="36"/>
      <c r="E20" s="36">
        <f t="shared" si="3"/>
        <v>-1</v>
      </c>
      <c r="F20" s="36">
        <f t="shared" si="1"/>
        <v>2</v>
      </c>
      <c r="G20" s="37">
        <f t="shared" si="1"/>
        <v>4</v>
      </c>
      <c r="H20" s="2"/>
    </row>
    <row r="21" ht="15" customHeight="1">
      <c r="A21" s="31" t="s">
        <v>421</v>
      </c>
      <c r="B21" s="15">
        <f t="shared" si="5" ref="B21:G21">B15/B12</f>
        <v>0.09265571738456771</v>
      </c>
      <c r="C21" s="15">
        <f t="shared" si="5"/>
        <v>0.09532652429588363</v>
      </c>
      <c r="D21" s="15">
        <f t="shared" si="5"/>
        <v>0.09395348837209302</v>
      </c>
      <c r="E21" s="15">
        <f t="shared" si="5"/>
        <v>0.09400123685837972</v>
      </c>
      <c r="F21" s="15">
        <f t="shared" si="5"/>
        <v>0.09360518999073215</v>
      </c>
      <c r="G21" s="33">
        <f t="shared" si="5"/>
        <v>0.09382716049382717</v>
      </c>
      <c r="H21" s="2"/>
    </row>
    <row r="22" ht="15" customHeight="1">
      <c r="A22" s="67" t="s">
        <v>68</v>
      </c>
      <c r="B22" s="38" t="s">
        <v>31</v>
      </c>
      <c r="C22" s="38" t="s">
        <v>31</v>
      </c>
      <c r="D22" s="38" t="s">
        <v>31</v>
      </c>
      <c r="E22" s="38" t="s">
        <v>31</v>
      </c>
      <c r="F22" s="38" t="s">
        <v>31</v>
      </c>
      <c r="G22" s="39">
        <f>IF(AND(ISNUMBER(G21),ISNUMBER(B21)),(G21-B21)*10000,"n/a")</f>
        <v>11.714431092594568</v>
      </c>
      <c r="H22" s="2" t="s">
        <v>422</v>
      </c>
    </row>
    <row r="23" ht="15" customHeight="1">
      <c r="A23" s="67" t="s">
        <v>69</v>
      </c>
      <c r="B23" s="38" t="s">
        <v>31</v>
      </c>
      <c r="C23" s="38">
        <f t="shared" si="6" ref="C23:G23">IF(AND(ISNUMBER(C21),ISNUMBER(B21)),(C21-B21)*10000,"n/a")</f>
        <v>26.708069113159233</v>
      </c>
      <c r="D23" s="38"/>
      <c r="E23" s="38">
        <f>IF(AND(ISNUMBER(E21),ISNUMBER(C21)),(E21-C21)*10000,"n/a")</f>
        <v>-13.252874375039164</v>
      </c>
      <c r="F23" s="38">
        <f t="shared" si="6"/>
        <v>-3.96046867647562</v>
      </c>
      <c r="G23" s="39">
        <f t="shared" si="6"/>
        <v>2.21970503095012</v>
      </c>
      <c r="H23" s="2"/>
    </row>
    <row r="24" ht="15" customHeight="1">
      <c r="A24" s="3" t="s">
        <v>423</v>
      </c>
      <c r="B24" s="2"/>
      <c r="C24" s="2"/>
      <c r="D24" s="2"/>
      <c r="E24" s="2"/>
      <c r="F24" s="2"/>
      <c r="G24" s="28"/>
      <c r="H24" s="2"/>
    </row>
    <row r="25" ht="15" customHeight="1">
      <c r="A25" s="29" t="s">
        <v>424</v>
      </c>
      <c r="B25" s="40">
        <v>3324</v>
      </c>
      <c r="C25" s="40">
        <v>3751</v>
      </c>
      <c r="D25" s="14">
        <f>C25</f>
        <v>3751</v>
      </c>
      <c r="E25" s="40">
        <v>3755</v>
      </c>
      <c r="F25" s="40">
        <v>3949</v>
      </c>
      <c r="G25" s="65">
        <f>F25+G9</f>
        <v>3952</v>
      </c>
      <c r="H25" s="2" t="s">
        <v>425</v>
      </c>
    </row>
    <row r="26" ht="15" customHeight="1">
      <c r="A26" s="31" t="s">
        <v>72</v>
      </c>
      <c r="B26" s="36" t="s">
        <v>31</v>
      </c>
      <c r="C26" s="36" t="s">
        <v>31</v>
      </c>
      <c r="D26" s="36" t="s">
        <v>31</v>
      </c>
      <c r="E26" s="36" t="s">
        <v>31</v>
      </c>
      <c r="F26" s="36" t="s">
        <v>31</v>
      </c>
      <c r="G26" s="37">
        <f t="shared" si="2"/>
        <v>628</v>
      </c>
      <c r="H26" s="2"/>
    </row>
    <row r="27" ht="15" customHeight="1">
      <c r="A27" s="31" t="s">
        <v>65</v>
      </c>
      <c r="B27" s="36" t="s">
        <v>31</v>
      </c>
      <c r="C27" s="36">
        <f t="shared" si="1"/>
        <v>427</v>
      </c>
      <c r="D27" s="36"/>
      <c r="E27" s="36">
        <f t="shared" si="3"/>
        <v>4</v>
      </c>
      <c r="F27" s="36">
        <f t="shared" si="1"/>
        <v>194</v>
      </c>
      <c r="G27" s="37">
        <f t="shared" si="1"/>
        <v>3</v>
      </c>
      <c r="H27" s="2"/>
    </row>
    <row r="28" ht="15" customHeight="1">
      <c r="A28" s="29" t="s">
        <v>426</v>
      </c>
      <c r="B28" s="14" t="s">
        <v>31</v>
      </c>
      <c r="C28" s="14">
        <f t="shared" si="7" ref="C28:G28">C25-B25</f>
        <v>427</v>
      </c>
      <c r="D28" s="14" t="str">
        <f>"n/a"</f>
        <v>n/a</v>
      </c>
      <c r="E28" s="14">
        <f>E25-C25</f>
        <v>4</v>
      </c>
      <c r="F28" s="14">
        <f t="shared" si="7"/>
        <v>194</v>
      </c>
      <c r="G28" s="65">
        <f t="shared" si="7"/>
        <v>3</v>
      </c>
      <c r="H28" s="2"/>
    </row>
    <row r="29" ht="15" customHeight="1">
      <c r="A29" s="31" t="s">
        <v>72</v>
      </c>
      <c r="B29" s="36" t="s">
        <v>31</v>
      </c>
      <c r="C29" s="36" t="s">
        <v>31</v>
      </c>
      <c r="D29" s="36" t="s">
        <v>31</v>
      </c>
      <c r="E29" s="36" t="s">
        <v>31</v>
      </c>
      <c r="F29" s="36" t="s">
        <v>31</v>
      </c>
      <c r="G29" s="37" t="str">
        <f t="shared" si="2"/>
        <v>n/a</v>
      </c>
      <c r="H29" s="2"/>
    </row>
    <row r="30" ht="15" customHeight="1">
      <c r="A30" s="31" t="s">
        <v>65</v>
      </c>
      <c r="B30" s="36" t="s">
        <v>31</v>
      </c>
      <c r="C30" s="36" t="str">
        <f t="shared" si="1"/>
        <v>n/a</v>
      </c>
      <c r="D30" s="36"/>
      <c r="E30" s="36">
        <f t="shared" si="3"/>
        <v>-423</v>
      </c>
      <c r="F30" s="36">
        <f t="shared" si="1"/>
        <v>190</v>
      </c>
      <c r="G30" s="37">
        <f t="shared" si="1"/>
        <v>-191</v>
      </c>
      <c r="H30" s="2"/>
    </row>
    <row r="31" ht="15" customHeight="1">
      <c r="A31" s="29" t="s">
        <v>427</v>
      </c>
      <c r="B31" s="2"/>
      <c r="C31" s="2"/>
      <c r="D31" s="2"/>
      <c r="E31" s="2"/>
      <c r="F31" s="2"/>
      <c r="G31" s="28"/>
      <c r="H31" s="2" t="s">
        <v>428</v>
      </c>
    </row>
    <row r="32" ht="15" customHeight="1">
      <c r="A32" s="29" t="s">
        <v>429</v>
      </c>
      <c r="B32" s="13">
        <f>'Cash Flow Statement'!B86</f>
        <v>512</v>
      </c>
      <c r="C32" s="13">
        <f>'Cash Flow Statement'!C86</f>
        <v>146</v>
      </c>
      <c r="D32" s="13">
        <f>'Cash Flow Statement'!D86</f>
        <v>1186</v>
      </c>
      <c r="E32" s="13">
        <f>'Cash Flow Statement'!E86</f>
        <v>361</v>
      </c>
      <c r="F32" s="13">
        <f>'Cash Flow Statement'!F86</f>
        <v>107</v>
      </c>
      <c r="G32" s="30">
        <f>'Cash Flow Statement'!G86</f>
        <v>150</v>
      </c>
      <c r="H32" s="2"/>
    </row>
    <row r="33" ht="15" customHeight="1">
      <c r="A33" s="31" t="s">
        <v>72</v>
      </c>
      <c r="B33" s="24" t="str">
        <f>IF(AND(ISNUMBER(B32),ISNUMBER(Inputs!B339)),B32-Inputs!B339,"n/a")</f>
        <v>n/a</v>
      </c>
      <c r="C33" s="24" t="str">
        <f>IF(AND(ISNUMBER(C32),ISNUMBER(Inputs!C339)),C32-Inputs!C339,"n/a")</f>
        <v>n/a</v>
      </c>
      <c r="D33" s="24" t="str">
        <f>IF(AND(ISNUMBER(D32),ISNUMBER(Inputs!F339)),D32-Inputs!F339,"n/a")</f>
        <v>n/a</v>
      </c>
      <c r="E33" s="24">
        <f>IF(AND(ISNUMBER(E32),ISNUMBER(Inputs!D339)),E32-Inputs!D339,"n/a")</f>
        <v>48</v>
      </c>
      <c r="F33" s="24">
        <f>IF(AND(ISNUMBER(F32),ISNUMBER(Inputs!E339)),F32-Inputs!E339,"n/a")</f>
        <v>-108</v>
      </c>
      <c r="G33" s="37">
        <f t="shared" si="2"/>
        <v>-362</v>
      </c>
      <c r="H33" s="2"/>
    </row>
    <row r="34" ht="15" customHeight="1">
      <c r="A34" s="31" t="s">
        <v>65</v>
      </c>
      <c r="B34" s="24">
        <f>IF(AND(ISNUMBER(B32),ISNUMBER(Inputs!E339)),B32-Inputs!E339,"n/a")</f>
        <v>297</v>
      </c>
      <c r="C34" s="36">
        <f t="shared" si="1"/>
        <v>-366</v>
      </c>
      <c r="D34" s="36"/>
      <c r="E34" s="36">
        <f t="shared" si="3"/>
        <v>215</v>
      </c>
      <c r="F34" s="36">
        <f t="shared" si="1"/>
        <v>-254</v>
      </c>
      <c r="G34" s="37">
        <f t="shared" si="1"/>
        <v>43</v>
      </c>
      <c r="H34" s="2"/>
    </row>
    <row r="35" ht="15" customHeight="1">
      <c r="A35" s="3" t="s">
        <v>430</v>
      </c>
      <c r="B35" s="2"/>
      <c r="C35" s="2"/>
      <c r="D35" s="2"/>
      <c r="E35" s="2"/>
      <c r="F35" s="2"/>
      <c r="G35" s="28"/>
      <c r="H35" s="2"/>
    </row>
    <row r="36" ht="15" customHeight="1">
      <c r="A36" s="29" t="s">
        <v>431</v>
      </c>
      <c r="B36" s="13">
        <f>'Income Statement'!B171</f>
        <v>1770</v>
      </c>
      <c r="C36" s="13">
        <f>'Income Statement'!C171</f>
        <v>1761</v>
      </c>
      <c r="D36" s="13">
        <f>'Income Statement'!D171</f>
        <v>5858</v>
      </c>
      <c r="E36" s="13">
        <f>'Income Statement'!E171</f>
        <v>1453</v>
      </c>
      <c r="F36" s="13">
        <f>'Income Statement'!F171</f>
        <v>1155</v>
      </c>
      <c r="G36" s="30">
        <f>'Income Statement'!G171</f>
        <v>1342.4011604358718</v>
      </c>
      <c r="H36" s="2"/>
    </row>
    <row r="37" ht="15" customHeight="1">
      <c r="A37" s="31" t="s">
        <v>72</v>
      </c>
      <c r="B37" s="24">
        <f>IF(AND(ISNUMBER(B36),ISNUMBER(Inputs!B340)),B36-Inputs!B340,"n/a")</f>
        <v>-735</v>
      </c>
      <c r="C37" s="24">
        <f>IF(AND(ISNUMBER(C36),ISNUMBER(Inputs!C340)),C36-Inputs!C340,"n/a")</f>
        <v>-343</v>
      </c>
      <c r="D37" s="24">
        <f>IF(AND(ISNUMBER(D36),ISNUMBER(Inputs!F340)),D36-Inputs!F340,"n/a")</f>
        <v>-2141</v>
      </c>
      <c r="E37" s="24">
        <f>IF(AND(ISNUMBER(E36),ISNUMBER(Inputs!D340)),E36-Inputs!D340,"n/a")</f>
        <v>519</v>
      </c>
      <c r="F37" s="24">
        <f>IF(AND(ISNUMBER(F36),ISNUMBER(Inputs!E340)),F36-Inputs!E340,"n/a")</f>
        <v>-238</v>
      </c>
      <c r="G37" s="37">
        <f t="shared" si="2"/>
        <v>-427.5988395641282</v>
      </c>
      <c r="H37" s="2"/>
    </row>
    <row r="38" ht="15" customHeight="1">
      <c r="A38" s="31" t="s">
        <v>65</v>
      </c>
      <c r="B38" s="24">
        <f>IF(AND(ISNUMBER(B36),ISNUMBER(Inputs!E340)),B36-Inputs!E340,"n/a")</f>
        <v>377</v>
      </c>
      <c r="C38" s="36">
        <f t="shared" si="1"/>
        <v>-9</v>
      </c>
      <c r="D38" s="36"/>
      <c r="E38" s="36">
        <f t="shared" si="3"/>
        <v>-308</v>
      </c>
      <c r="F38" s="36">
        <f t="shared" si="1"/>
        <v>-298</v>
      </c>
      <c r="G38" s="37">
        <f t="shared" si="1"/>
        <v>187.40116043587182</v>
      </c>
      <c r="H38" s="2"/>
    </row>
    <row r="39" ht="15" customHeight="1">
      <c r="A39" s="29" t="s">
        <v>432</v>
      </c>
      <c r="B39" s="14">
        <f t="shared" si="8" ref="B39:G39">B18</f>
        <v>3526</v>
      </c>
      <c r="C39" s="14">
        <f t="shared" si="8"/>
        <v>3539</v>
      </c>
      <c r="D39" s="14">
        <f t="shared" si="8"/>
        <v>3528</v>
      </c>
      <c r="E39" s="14">
        <f t="shared" si="8"/>
        <v>3538</v>
      </c>
      <c r="F39" s="14">
        <f t="shared" si="8"/>
        <v>3540</v>
      </c>
      <c r="G39" s="65">
        <f t="shared" si="8"/>
        <v>3544</v>
      </c>
      <c r="H39" s="2"/>
    </row>
    <row r="40" ht="15" customHeight="1">
      <c r="A40" s="31" t="s">
        <v>72</v>
      </c>
      <c r="B40" s="24">
        <f>IF(AND(ISNUMBER(B39),ISNUMBER(Inputs!B341)),B39-Inputs!B341,"n/a")</f>
        <v>29</v>
      </c>
      <c r="C40" s="24">
        <f>IF(AND(ISNUMBER(C39),ISNUMBER(Inputs!C341)),C39-Inputs!C341,"n/a")</f>
        <v>22</v>
      </c>
      <c r="D40" s="24">
        <f>IF(AND(ISNUMBER(D39),ISNUMBER(Inputs!F341)),D39-Inputs!F341,"n/a")</f>
        <v>30</v>
      </c>
      <c r="E40" s="24">
        <f>IF(AND(ISNUMBER(E39),ISNUMBER(Inputs!D341)),E39-Inputs!D341,"n/a")</f>
        <v>17</v>
      </c>
      <c r="F40" s="24">
        <f>IF(AND(ISNUMBER(F39),ISNUMBER(Inputs!E341)),F39-Inputs!E341,"n/a")</f>
        <v>21</v>
      </c>
      <c r="G40" s="37">
        <f t="shared" si="2"/>
        <v>18</v>
      </c>
      <c r="H40" s="2"/>
    </row>
    <row r="41" ht="15" customHeight="1">
      <c r="A41" s="31" t="s">
        <v>65</v>
      </c>
      <c r="B41" s="24">
        <f>IF(AND(ISNUMBER(B39),ISNUMBER(Inputs!E341)),B39-Inputs!E341,"n/a")</f>
        <v>7</v>
      </c>
      <c r="C41" s="36">
        <f t="shared" si="1"/>
        <v>13</v>
      </c>
      <c r="D41" s="36"/>
      <c r="E41" s="36">
        <f t="shared" si="3"/>
        <v>-1</v>
      </c>
      <c r="F41" s="36">
        <f t="shared" si="1"/>
        <v>2</v>
      </c>
      <c r="G41" s="37">
        <f t="shared" si="1"/>
        <v>4</v>
      </c>
      <c r="H41" s="2"/>
    </row>
    <row r="42" ht="15" customHeight="1">
      <c r="A42" s="3" t="s">
        <v>433</v>
      </c>
      <c r="B42" s="72">
        <f t="shared" si="9" ref="B42:G42">B36/B39</f>
        <v>0.5019852524106636</v>
      </c>
      <c r="C42" s="72">
        <f t="shared" si="9"/>
        <v>0.49759819157954227</v>
      </c>
      <c r="D42" s="72">
        <f t="shared" si="9"/>
        <v>1.6604308390022675</v>
      </c>
      <c r="E42" s="72">
        <f t="shared" si="9"/>
        <v>0.4106840022611645</v>
      </c>
      <c r="F42" s="72">
        <f t="shared" si="9"/>
        <v>0.326271186440678</v>
      </c>
      <c r="G42" s="73">
        <f t="shared" si="9"/>
        <v>0.37878136581147626</v>
      </c>
      <c r="H42" s="2"/>
    </row>
    <row r="43" ht="15" customHeight="1">
      <c r="A43" s="23" t="s">
        <v>72</v>
      </c>
      <c r="B43" s="25">
        <f>IF(AND(ISNUMBER(B42),ISNUMBER(Inputs!B342)),B42-Inputs!B342,"n/a")</f>
        <v>-0.21434302897337987</v>
      </c>
      <c r="C43" s="25">
        <f>IF(AND(ISNUMBER(C42),ISNUMBER(Inputs!C342)),C42-Inputs!C342,"n/a")</f>
        <v>-0.10063894234141307</v>
      </c>
      <c r="D43" s="25">
        <f>IF(AND(ISNUMBER(D42),ISNUMBER(Inputs!F342)),D42-Inputs!F342,"n/a")</f>
        <v>-0.6263044382990475</v>
      </c>
      <c r="E43" s="25">
        <f>IF(AND(ISNUMBER(E42),ISNUMBER(Inputs!D342)),E42-Inputs!D342,"n/a")</f>
        <v>0.14541845270138037</v>
      </c>
      <c r="F43" s="25">
        <f>IF(AND(ISNUMBER(F42),ISNUMBER(Inputs!E342)),F42-Inputs!E342,"n/a")</f>
        <v>-0.06957990762013477</v>
      </c>
      <c r="G43" s="70">
        <f t="shared" si="2"/>
        <v>-0.12320388659918735</v>
      </c>
      <c r="H43" s="2"/>
    </row>
    <row r="44" ht="15" customHeight="1">
      <c r="A44" s="23" t="s">
        <v>65</v>
      </c>
      <c r="B44" s="25">
        <f>IF(AND(ISNUMBER(B42),ISNUMBER(Inputs!E342)),B42-Inputs!E342,"n/a")</f>
        <v>0.10613415834985085</v>
      </c>
      <c r="C44" s="71">
        <f t="shared" si="1"/>
        <v>-0.004387060831121337</v>
      </c>
      <c r="D44" s="71"/>
      <c r="E44" s="71">
        <f t="shared" si="3"/>
        <v>-0.08691418931837774</v>
      </c>
      <c r="F44" s="71">
        <f t="shared" si="1"/>
        <v>-0.08441281582048654</v>
      </c>
      <c r="G44" s="70">
        <f t="shared" si="1"/>
        <v>0.05251017937079827</v>
      </c>
      <c r="H44" s="2"/>
    </row>
    <row r="45" ht="15" customHeight="1">
      <c r="A45" s="29" t="s">
        <v>434</v>
      </c>
      <c r="B45" s="13">
        <f>'Income Statement'!B125</f>
        <v>1373</v>
      </c>
      <c r="C45" s="13">
        <f>'Income Statement'!C125</f>
        <v>840</v>
      </c>
      <c r="D45" s="13">
        <f>'Income Statement'!D125</f>
        <v>3794</v>
      </c>
      <c r="E45" s="13">
        <f>'Income Statement'!E125</f>
        <v>477</v>
      </c>
      <c r="F45" s="13">
        <f>'Income Statement'!F125</f>
        <v>1116</v>
      </c>
      <c r="G45" s="30">
        <f>'Income Statement'!G125</f>
        <v>250.08912593252933</v>
      </c>
      <c r="H45" s="2"/>
    </row>
    <row r="46" ht="15" customHeight="1">
      <c r="A46" s="31" t="s">
        <v>72</v>
      </c>
      <c r="B46" s="24">
        <f>IF(AND(ISNUMBER(B45),ISNUMBER(Inputs!B343)),B45-Inputs!B343,"n/a")</f>
        <v>-800</v>
      </c>
      <c r="C46" s="24">
        <f>IF(AND(ISNUMBER(C45),ISNUMBER(Inputs!C343)),C45-Inputs!C343,"n/a")</f>
        <v>-1285</v>
      </c>
      <c r="D46" s="24">
        <f>IF(AND(ISNUMBER(D45),ISNUMBER(Inputs!F343)),D45-Inputs!F343,"n/a")</f>
        <v>-3336</v>
      </c>
      <c r="E46" s="24">
        <f>IF(AND(ISNUMBER(E45),ISNUMBER(Inputs!D343)),E45-Inputs!D343,"n/a")</f>
        <v>68</v>
      </c>
      <c r="F46" s="24">
        <f>IF(AND(ISNUMBER(F45),ISNUMBER(Inputs!E343)),F45-Inputs!E343,"n/a")</f>
        <v>-56</v>
      </c>
      <c r="G46" s="37">
        <f t="shared" si="2"/>
        <v>-1122.9108740674706</v>
      </c>
      <c r="H46" s="2"/>
    </row>
    <row r="47" ht="15" customHeight="1">
      <c r="A47" s="31" t="s">
        <v>65</v>
      </c>
      <c r="B47" s="24">
        <f>IF(AND(ISNUMBER(B45),ISNUMBER(Inputs!E343)),B45-Inputs!E343,"n/a")</f>
        <v>201</v>
      </c>
      <c r="C47" s="36">
        <f t="shared" si="1"/>
        <v>-533</v>
      </c>
      <c r="D47" s="36"/>
      <c r="E47" s="36">
        <f t="shared" si="3"/>
        <v>-363</v>
      </c>
      <c r="F47" s="36">
        <f t="shared" si="1"/>
        <v>639</v>
      </c>
      <c r="G47" s="37">
        <f t="shared" si="1"/>
        <v>-865.9108740674707</v>
      </c>
      <c r="H47" s="2"/>
    </row>
    <row r="48" ht="15" customHeight="1">
      <c r="A48" s="3" t="s">
        <v>435</v>
      </c>
      <c r="B48" s="72">
        <f t="shared" si="10" ref="B48:G48">B45/B39</f>
        <v>0.3893930799773114</v>
      </c>
      <c r="C48" s="72">
        <f t="shared" si="10"/>
        <v>0.23735518508053122</v>
      </c>
      <c r="D48" s="72">
        <f t="shared" si="10"/>
        <v>1.0753968253968254</v>
      </c>
      <c r="E48" s="72">
        <f t="shared" si="10"/>
        <v>0.13482193329564726</v>
      </c>
      <c r="F48" s="72">
        <f t="shared" si="10"/>
        <v>0.3152542372881356</v>
      </c>
      <c r="G48" s="73">
        <f t="shared" si="10"/>
        <v>0.07056690912317419</v>
      </c>
      <c r="H48" s="2"/>
    </row>
    <row r="49" ht="15" customHeight="1">
      <c r="A49" s="23" t="s">
        <v>72</v>
      </c>
      <c r="B49" s="25">
        <f>IF(AND(ISNUMBER(B48),ISNUMBER(Inputs!B344)),B48-Inputs!B344,"n/a")</f>
        <v>-0.23199668267639179</v>
      </c>
      <c r="C49" s="25">
        <f>IF(AND(ISNUMBER(C48),ISNUMBER(Inputs!C344)),C48-Inputs!C344,"n/a")</f>
        <v>-0.3668529468500915</v>
      </c>
      <c r="D49" s="25">
        <f>IF(AND(ISNUMBER(D48),ISNUMBER(Inputs!F344)),D48-Inputs!F344,"n/a")</f>
        <v>-0.9629107789485147</v>
      </c>
      <c r="E49" s="25">
        <f>IF(AND(ISNUMBER(E48),ISNUMBER(Inputs!D344)),E48-Inputs!D344,"n/a")</f>
        <v>0.018661751529103668</v>
      </c>
      <c r="F49" s="25">
        <f>IF(AND(ISNUMBER(F48),ISNUMBER(Inputs!E344)),F48-Inputs!E344,"n/a")</f>
        <v>-0.01779492440552738</v>
      </c>
      <c r="G49" s="70">
        <f t="shared" si="2"/>
        <v>-0.31882617085413717</v>
      </c>
      <c r="H49" s="2"/>
    </row>
    <row r="50" ht="15" customHeight="1">
      <c r="A50" s="23" t="s">
        <v>65</v>
      </c>
      <c r="B50" s="25">
        <f>IF(AND(ISNUMBER(B48),ISNUMBER(Inputs!E344)),B48-Inputs!E344,"n/a")</f>
        <v>0.056343918283648375</v>
      </c>
      <c r="C50" s="71">
        <f t="shared" si="1"/>
        <v>-0.15203789489678016</v>
      </c>
      <c r="D50" s="71"/>
      <c r="E50" s="71">
        <f t="shared" si="3"/>
        <v>-0.10253325178488396</v>
      </c>
      <c r="F50" s="71">
        <f t="shared" si="1"/>
        <v>0.18043230399248836</v>
      </c>
      <c r="G50" s="70">
        <f t="shared" si="1"/>
        <v>-0.24468732816496142</v>
      </c>
      <c r="H50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6CB6338-1162-1F5E-38F8-CCD54418CFB3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2" width="12.00390625" customWidth="1"/>
    <col min="3" max="3" width="18.00390625" customWidth="1"/>
    <col min="4" max="4" width="12.00390625" customWidth="1"/>
    <col min="5" max="5" width="26.00390625" customWidth="1"/>
    <col min="6" max="9" width="12.00390625" customWidth="1"/>
    <col min="10" max="10" width="18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>
      <c r="A2" s="3" t="s">
        <v>436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15" customHeight="1">
      <c r="A4" s="5" t="s">
        <v>3</v>
      </c>
      <c r="B4" s="6" t="s">
        <v>4</v>
      </c>
      <c r="C4" s="5"/>
      <c r="D4" s="5"/>
      <c r="E4" s="5"/>
      <c r="F4" s="5"/>
      <c r="G4" s="5"/>
      <c r="H4" s="5"/>
      <c r="I4" s="5"/>
      <c r="J4" s="5"/>
    </row>
    <row r="5" ht="15" customHeight="1">
      <c r="A5" s="7" t="s">
        <v>5</v>
      </c>
      <c r="B5" s="8">
        <v>46295</v>
      </c>
      <c r="C5" s="7"/>
      <c r="D5" s="7"/>
      <c r="E5" s="7"/>
      <c r="F5" s="7"/>
      <c r="G5" s="7"/>
      <c r="H5" s="7"/>
      <c r="I5" s="7"/>
      <c r="J5" s="7"/>
    </row>
    <row r="6" ht="15" customHeight="1">
      <c r="A6" s="9" t="s">
        <v>6</v>
      </c>
      <c r="B6" s="10">
        <v>92</v>
      </c>
      <c r="C6" s="9"/>
      <c r="D6" s="9"/>
      <c r="E6" s="9"/>
      <c r="F6" s="9"/>
      <c r="G6" s="9"/>
      <c r="H6" s="9"/>
      <c r="I6" s="9"/>
      <c r="J6" s="9"/>
    </row>
    <row r="7" ht="1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15" customHeight="1">
      <c r="A8" s="83" t="s">
        <v>437</v>
      </c>
      <c r="B8" s="84" t="s">
        <v>438</v>
      </c>
      <c r="C8" s="85" t="s">
        <v>439</v>
      </c>
      <c r="D8" s="84" t="s">
        <v>3</v>
      </c>
      <c r="E8" s="85" t="s">
        <v>440</v>
      </c>
      <c r="F8" s="84" t="s">
        <v>441</v>
      </c>
      <c r="G8" s="84" t="s">
        <v>442</v>
      </c>
      <c r="H8" s="84" t="s">
        <v>443</v>
      </c>
      <c r="I8" s="84" t="s">
        <v>444</v>
      </c>
      <c r="J8" s="84" t="s">
        <v>445</v>
      </c>
    </row>
    <row r="9" ht="15" customHeight="1">
      <c r="A9" s="2" t="s">
        <v>446</v>
      </c>
      <c r="B9" s="86">
        <v>45953</v>
      </c>
      <c r="C9" s="87" t="s">
        <v>447</v>
      </c>
      <c r="D9" s="16" t="s">
        <v>448</v>
      </c>
      <c r="E9" s="87" t="s">
        <v>449</v>
      </c>
      <c r="F9" s="40">
        <v>9000</v>
      </c>
      <c r="G9" s="40">
        <v>9000</v>
      </c>
      <c r="H9" s="14">
        <f t="shared" si="0" ref="H9:H13">IF(AND(ISNUMBER(F9),ISNUMBER(G9)),(F9+G9)/2,"n/a")</f>
        <v>9000</v>
      </c>
      <c r="I9" s="13">
        <f>'Cash Flow Statement'!D58*-1</f>
        <v>8527</v>
      </c>
      <c r="J9" s="16" t="str">
        <f t="shared" si="1" ref="J9:J13">IF(AND(ISNUMBER(I9),ISNUMBER(H9)),IF(I9&gt;=H9,"At/above midpoint","Below midpoint"),"n/a")</f>
        <v>Below midpoint</v>
      </c>
    </row>
    <row r="10" ht="15" customHeight="1">
      <c r="A10" s="2" t="s">
        <v>451</v>
      </c>
      <c r="B10" s="86">
        <v>46051</v>
      </c>
      <c r="C10" s="87" t="s">
        <v>452</v>
      </c>
      <c r="D10" s="16" t="s">
        <v>453</v>
      </c>
      <c r="E10" s="87" t="s">
        <v>449</v>
      </c>
      <c r="F10" s="40">
        <v>20000</v>
      </c>
      <c r="G10" s="14" t="s">
        <v>31</v>
      </c>
      <c r="H10" s="14" t="s">
        <v>31</v>
      </c>
      <c r="I10" s="14" t="s">
        <v>454</v>
      </c>
      <c r="J10" s="16" t="s">
        <v>455</v>
      </c>
    </row>
    <row r="11" ht="15" customHeight="1">
      <c r="A11" s="2" t="s">
        <v>456</v>
      </c>
      <c r="B11" s="86">
        <v>46135</v>
      </c>
      <c r="C11" s="87" t="s">
        <v>457</v>
      </c>
      <c r="D11" s="16" t="s">
        <v>453</v>
      </c>
      <c r="E11" s="87" t="s">
        <v>449</v>
      </c>
      <c r="F11" s="40">
        <v>25000</v>
      </c>
      <c r="G11" s="14" t="s">
        <v>31</v>
      </c>
      <c r="H11" s="14" t="s">
        <v>31</v>
      </c>
      <c r="I11" s="14" t="s">
        <v>454</v>
      </c>
      <c r="J11" s="16" t="s">
        <v>455</v>
      </c>
    </row>
    <row r="12" ht="15" customHeight="1">
      <c r="A12" s="2" t="s">
        <v>458</v>
      </c>
      <c r="B12" s="86">
        <v>46226</v>
      </c>
      <c r="C12" s="87" t="s">
        <v>459</v>
      </c>
      <c r="D12" s="16" t="s">
        <v>453</v>
      </c>
      <c r="E12" s="87" t="s">
        <v>449</v>
      </c>
      <c r="F12" s="40">
        <v>25000</v>
      </c>
      <c r="G12" s="14" t="s">
        <v>31</v>
      </c>
      <c r="H12" s="14" t="s">
        <v>31</v>
      </c>
      <c r="I12" s="14" t="s">
        <v>454</v>
      </c>
      <c r="J12" s="16" t="s">
        <v>455</v>
      </c>
    </row>
    <row r="13" ht="15" customHeight="1">
      <c r="A13" s="4" t="s">
        <v>460</v>
      </c>
      <c r="B13" s="86">
        <v>46225</v>
      </c>
      <c r="C13" s="87" t="s">
        <v>461</v>
      </c>
      <c r="D13" s="16" t="s">
        <v>462</v>
      </c>
      <c r="E13" s="87" t="s">
        <v>463</v>
      </c>
      <c r="F13" s="42">
        <v>0.2</v>
      </c>
      <c r="G13" s="42">
        <v>0.25</v>
      </c>
      <c r="H13" s="15">
        <f t="shared" si="0"/>
        <v>0.225</v>
      </c>
      <c r="I13" s="32">
        <f>'Segment - Energy'!F38</f>
        <v>0.20388658808537752</v>
      </c>
      <c r="J13" s="16" t="str">
        <f t="shared" si="1"/>
        <v>Below midpoint</v>
      </c>
    </row>
    <row r="14" ht="15" customHeight="1">
      <c r="A14" s="2" t="s">
        <v>464</v>
      </c>
      <c r="B14" s="86">
        <v>46225</v>
      </c>
      <c r="C14" s="87" t="s">
        <v>461</v>
      </c>
      <c r="D14" s="16" t="s">
        <v>465</v>
      </c>
      <c r="E14" s="87" t="s">
        <v>203</v>
      </c>
      <c r="F14" s="14" t="s">
        <v>31</v>
      </c>
      <c r="G14" s="14" t="s">
        <v>31</v>
      </c>
      <c r="H14" s="14" t="s">
        <v>31</v>
      </c>
      <c r="I14" s="14" t="s">
        <v>31</v>
      </c>
      <c r="J14" s="16" t="s">
        <v>455</v>
      </c>
    </row>
    <row r="15" ht="15" customHeight="1">
      <c r="A15" s="2" t="s">
        <v>466</v>
      </c>
      <c r="B15" s="86">
        <v>46050</v>
      </c>
      <c r="C15" s="87" t="s">
        <v>467</v>
      </c>
      <c r="D15" s="16" t="s">
        <v>453</v>
      </c>
      <c r="E15" s="87" t="s">
        <v>468</v>
      </c>
      <c r="F15" s="14" t="s">
        <v>31</v>
      </c>
      <c r="G15" s="14" t="s">
        <v>31</v>
      </c>
      <c r="H15" s="14" t="s">
        <v>31</v>
      </c>
      <c r="I15" s="14" t="s">
        <v>31</v>
      </c>
      <c r="J15" s="16" t="s">
        <v>455</v>
      </c>
    </row>
    <row r="16" ht="15" customHeight="1">
      <c r="A16" s="2" t="s">
        <v>469</v>
      </c>
      <c r="B16" s="16" t="s">
        <v>31</v>
      </c>
      <c r="C16" s="87" t="s">
        <v>470</v>
      </c>
      <c r="D16" s="16" t="s">
        <v>471</v>
      </c>
      <c r="E16" s="87" t="s">
        <v>472</v>
      </c>
      <c r="F16" s="14" t="s">
        <v>31</v>
      </c>
      <c r="G16" s="14" t="s">
        <v>31</v>
      </c>
      <c r="H16" s="14" t="s">
        <v>31</v>
      </c>
      <c r="I16" s="14" t="s">
        <v>31</v>
      </c>
      <c r="J16" s="16" t="s">
        <v>455</v>
      </c>
    </row>
    <row r="17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ht="15" customHeight="1">
      <c r="A18" s="3" t="s">
        <v>57</v>
      </c>
      <c r="B18" s="2"/>
      <c r="C18" s="2"/>
      <c r="D18" s="2"/>
      <c r="E18" s="2"/>
      <c r="F18" s="2"/>
      <c r="G18" s="2"/>
      <c r="H18" s="2"/>
      <c r="I18" s="2"/>
      <c r="J18" s="2"/>
    </row>
    <row r="19" ht="15" customHeight="1">
      <c r="A19" s="2" t="s">
        <v>473</v>
      </c>
      <c r="B19" s="2"/>
      <c r="C19" s="2"/>
      <c r="D19" s="2"/>
      <c r="E19" s="2"/>
      <c r="F19" s="2"/>
      <c r="G19" s="2"/>
      <c r="H19" s="2"/>
      <c r="I19" s="2"/>
      <c r="J19" s="2"/>
    </row>
    <row r="20" ht="15" customHeight="1">
      <c r="A20" s="2" t="s">
        <v>474</v>
      </c>
      <c r="B20" s="2"/>
      <c r="C20" s="2"/>
      <c r="D20" s="2"/>
      <c r="E20" s="2"/>
      <c r="F20" s="2"/>
      <c r="G20" s="2"/>
      <c r="H20" s="2"/>
      <c r="I20" s="2"/>
      <c r="J20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257E268-360B-BA7D-F1F3-6B76574E7FAB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2" width="12.00390625" customWidth="1"/>
    <col min="3" max="3" width="28.00390625" customWidth="1"/>
    <col min="4" max="4" width="60.00390625" customWidth="1"/>
    <col min="5" max="8" width="12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</row>
    <row r="2" ht="15" customHeight="1">
      <c r="A2" s="3" t="s">
        <v>475</v>
      </c>
      <c r="B2" s="2"/>
      <c r="C2" s="2"/>
      <c r="D2" s="2"/>
      <c r="E2" s="2"/>
      <c r="F2" s="2"/>
      <c r="G2" s="2"/>
      <c r="H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</row>
    <row r="4" ht="15" customHeight="1">
      <c r="A4" s="5" t="s">
        <v>3</v>
      </c>
      <c r="B4" s="6" t="s">
        <v>4</v>
      </c>
      <c r="C4" s="5"/>
      <c r="D4" s="5"/>
      <c r="E4" s="5"/>
      <c r="F4" s="5"/>
      <c r="G4" s="2"/>
      <c r="H4" s="2"/>
    </row>
    <row r="5" ht="15" customHeight="1">
      <c r="A5" s="7" t="s">
        <v>5</v>
      </c>
      <c r="B5" s="8">
        <v>46295</v>
      </c>
      <c r="C5" s="7"/>
      <c r="D5" s="7"/>
      <c r="E5" s="7"/>
      <c r="F5" s="7"/>
      <c r="G5" s="2"/>
      <c r="H5" s="2"/>
    </row>
    <row r="6" ht="15" customHeight="1">
      <c r="A6" s="9" t="s">
        <v>6</v>
      </c>
      <c r="B6" s="10">
        <v>92</v>
      </c>
      <c r="C6" s="9"/>
      <c r="D6" s="9"/>
      <c r="E6" s="9"/>
      <c r="F6" s="9"/>
      <c r="G6" s="2"/>
      <c r="H6" s="2"/>
    </row>
    <row r="7" ht="15" customHeight="1">
      <c r="A7" s="2"/>
      <c r="B7" s="2"/>
      <c r="C7" s="2"/>
      <c r="D7" s="2"/>
      <c r="E7" s="2"/>
      <c r="F7" s="2"/>
      <c r="G7" s="2"/>
      <c r="H7" s="2"/>
    </row>
    <row r="8" ht="15" customHeight="1">
      <c r="A8" s="83" t="s">
        <v>476</v>
      </c>
      <c r="B8" s="84" t="s">
        <v>477</v>
      </c>
      <c r="C8" s="83" t="s">
        <v>478</v>
      </c>
      <c r="D8" s="83" t="s">
        <v>479</v>
      </c>
      <c r="E8" s="83" t="s">
        <v>480</v>
      </c>
      <c r="F8" s="83"/>
      <c r="G8" s="2"/>
      <c r="H8" s="2"/>
    </row>
    <row r="9" ht="15" customHeight="1">
      <c r="A9" s="88" t="s">
        <v>481</v>
      </c>
      <c r="B9" s="89">
        <v>46313</v>
      </c>
      <c r="C9" s="88" t="s">
        <v>482</v>
      </c>
      <c r="D9" s="90" t="s">
        <v>483</v>
      </c>
      <c r="E9" s="88" t="s">
        <v>484</v>
      </c>
      <c r="F9" s="2"/>
      <c r="G9" s="2"/>
      <c r="H9" s="2"/>
    </row>
    <row r="10" ht="15" customHeight="1">
      <c r="A10" s="88" t="s">
        <v>485</v>
      </c>
      <c r="B10" s="89">
        <v>46313</v>
      </c>
      <c r="C10" s="88" t="s">
        <v>482</v>
      </c>
      <c r="D10" s="90" t="s">
        <v>486</v>
      </c>
      <c r="E10" s="88" t="s">
        <v>487</v>
      </c>
      <c r="F10" s="2"/>
      <c r="G10" s="2"/>
      <c r="H10" s="2"/>
    </row>
    <row r="11" ht="15" customHeight="1">
      <c r="A11" s="88" t="s">
        <v>488</v>
      </c>
      <c r="B11" s="89">
        <v>46225</v>
      </c>
      <c r="C11" s="88" t="s">
        <v>489</v>
      </c>
      <c r="D11" s="90" t="s">
        <v>490</v>
      </c>
      <c r="E11" s="88" t="s">
        <v>491</v>
      </c>
      <c r="F11" s="2"/>
      <c r="G11" s="2"/>
      <c r="H11" s="2"/>
    </row>
    <row r="12" ht="15" customHeight="1">
      <c r="A12" s="88" t="s">
        <v>492</v>
      </c>
      <c r="B12" s="89">
        <v>46050</v>
      </c>
      <c r="C12" s="88" t="s">
        <v>489</v>
      </c>
      <c r="D12" s="90" t="s">
        <v>493</v>
      </c>
      <c r="E12" s="88" t="s">
        <v>494</v>
      </c>
      <c r="F12" s="2"/>
      <c r="G12" s="2"/>
      <c r="H12" s="2"/>
    </row>
    <row r="13" ht="15" customHeight="1">
      <c r="A13" s="88" t="s">
        <v>495</v>
      </c>
      <c r="B13" s="89">
        <v>46134</v>
      </c>
      <c r="C13" s="88" t="s">
        <v>489</v>
      </c>
      <c r="D13" s="90" t="s">
        <v>496</v>
      </c>
      <c r="E13" s="88" t="s">
        <v>497</v>
      </c>
      <c r="F13" s="2"/>
      <c r="G13" s="2"/>
      <c r="H13" s="2"/>
    </row>
    <row r="14" ht="15" customHeight="1">
      <c r="A14" s="88" t="s">
        <v>498</v>
      </c>
      <c r="B14" s="89">
        <v>45952</v>
      </c>
      <c r="C14" s="88" t="s">
        <v>489</v>
      </c>
      <c r="D14" s="90" t="s">
        <v>499</v>
      </c>
      <c r="E14" s="88" t="s">
        <v>500</v>
      </c>
      <c r="F14" s="2"/>
      <c r="G14" s="2"/>
      <c r="H14" s="2"/>
    </row>
    <row r="15" ht="15" customHeight="1">
      <c r="A15" s="88" t="s">
        <v>501</v>
      </c>
      <c r="B15" s="89">
        <v>46226</v>
      </c>
      <c r="C15" s="88" t="s">
        <v>502</v>
      </c>
      <c r="D15" s="90" t="s">
        <v>503</v>
      </c>
      <c r="E15" s="88" t="s">
        <v>504</v>
      </c>
      <c r="F15" s="2"/>
      <c r="G15" s="2"/>
      <c r="H15" s="2"/>
    </row>
    <row r="16" ht="15" customHeight="1">
      <c r="A16" s="88" t="s">
        <v>505</v>
      </c>
      <c r="B16" s="89">
        <v>46135</v>
      </c>
      <c r="C16" s="88" t="s">
        <v>502</v>
      </c>
      <c r="D16" s="90" t="s">
        <v>506</v>
      </c>
      <c r="E16" s="88" t="s">
        <v>507</v>
      </c>
      <c r="F16" s="2"/>
      <c r="G16" s="2"/>
      <c r="H16" s="2"/>
    </row>
    <row r="17" ht="15" customHeight="1">
      <c r="A17" s="88" t="s">
        <v>508</v>
      </c>
      <c r="B17" s="89">
        <v>45953</v>
      </c>
      <c r="C17" s="88" t="s">
        <v>502</v>
      </c>
      <c r="D17" s="90" t="s">
        <v>509</v>
      </c>
      <c r="E17" s="88" t="s">
        <v>510</v>
      </c>
      <c r="F17" s="2"/>
      <c r="G17" s="2"/>
      <c r="H17" s="2"/>
    </row>
    <row r="18" ht="15" customHeight="1">
      <c r="A18" s="88" t="s">
        <v>511</v>
      </c>
      <c r="B18" s="89">
        <v>46051</v>
      </c>
      <c r="C18" s="88" t="s">
        <v>512</v>
      </c>
      <c r="D18" s="90" t="s">
        <v>513</v>
      </c>
      <c r="E18" s="88" t="s">
        <v>514</v>
      </c>
      <c r="F18" s="2"/>
      <c r="G18" s="2"/>
      <c r="H18" s="2"/>
    </row>
    <row r="19" ht="15" customHeight="1">
      <c r="A19" s="88" t="s">
        <v>515</v>
      </c>
      <c r="B19" s="89">
        <v>46297</v>
      </c>
      <c r="C19" s="88" t="s">
        <v>516</v>
      </c>
      <c r="D19" s="90" t="s">
        <v>517</v>
      </c>
      <c r="E19" s="88" t="s">
        <v>518</v>
      </c>
      <c r="F19" s="2"/>
      <c r="G19" s="2"/>
      <c r="H19" s="2"/>
    </row>
    <row r="20" ht="15" customHeight="1">
      <c r="A20" s="88" t="s">
        <v>519</v>
      </c>
      <c r="B20" s="89">
        <v>46225</v>
      </c>
      <c r="C20" s="88" t="s">
        <v>520</v>
      </c>
      <c r="D20" s="90" t="s">
        <v>521</v>
      </c>
      <c r="E20" s="88" t="s">
        <v>522</v>
      </c>
      <c r="F20" s="2"/>
      <c r="G20" s="2"/>
      <c r="H20" s="2"/>
    </row>
    <row r="21" ht="15" customHeight="1">
      <c r="A21" s="88" t="s">
        <v>523</v>
      </c>
      <c r="B21" s="89">
        <v>45686</v>
      </c>
      <c r="C21" s="88" t="s">
        <v>524</v>
      </c>
      <c r="D21" s="90" t="s">
        <v>525</v>
      </c>
      <c r="E21" s="88" t="s">
        <v>526</v>
      </c>
      <c r="F21" s="2"/>
      <c r="G21" s="2"/>
      <c r="H21" s="2"/>
    </row>
    <row r="22" ht="15" customHeight="1">
      <c r="A22" s="88" t="s">
        <v>527</v>
      </c>
      <c r="B22" s="89">
        <v>46308</v>
      </c>
      <c r="C22" s="88" t="s">
        <v>528</v>
      </c>
      <c r="D22" s="90" t="s">
        <v>529</v>
      </c>
      <c r="E22" s="88" t="s">
        <v>530</v>
      </c>
      <c r="F22" s="2"/>
      <c r="G22" s="2"/>
      <c r="H22" s="2"/>
    </row>
    <row r="23" ht="15" customHeight="1">
      <c r="A23" s="88" t="s">
        <v>531</v>
      </c>
      <c r="B23" s="89">
        <v>46310</v>
      </c>
      <c r="C23" s="88" t="s">
        <v>532</v>
      </c>
      <c r="D23" s="90" t="s">
        <v>533</v>
      </c>
      <c r="E23" s="88" t="s">
        <v>534</v>
      </c>
      <c r="F23" s="2"/>
      <c r="G23" s="2"/>
      <c r="H23" s="2"/>
    </row>
    <row r="24" ht="15" customHeight="1">
      <c r="A24" s="88" t="s">
        <v>535</v>
      </c>
      <c r="B24" s="89">
        <v>46294</v>
      </c>
      <c r="C24" s="88" t="s">
        <v>536</v>
      </c>
      <c r="D24" s="90" t="s">
        <v>537</v>
      </c>
      <c r="E24" s="88" t="s">
        <v>538</v>
      </c>
      <c r="F24" s="2"/>
      <c r="G24" s="2"/>
      <c r="H24" s="2"/>
    </row>
    <row r="25" ht="15" customHeight="1">
      <c r="A25" s="88" t="s">
        <v>539</v>
      </c>
      <c r="B25" s="89">
        <v>46300</v>
      </c>
      <c r="C25" s="88" t="s">
        <v>540</v>
      </c>
      <c r="D25" s="90" t="s">
        <v>541</v>
      </c>
      <c r="E25" s="88" t="s">
        <v>542</v>
      </c>
      <c r="F25" s="2"/>
      <c r="G25" s="2"/>
      <c r="H25" s="2"/>
    </row>
    <row r="26" ht="15" customHeight="1">
      <c r="A26" s="88" t="s">
        <v>543</v>
      </c>
      <c r="B26" s="89">
        <v>46272</v>
      </c>
      <c r="C26" s="88" t="s">
        <v>544</v>
      </c>
      <c r="D26" s="90" t="s">
        <v>545</v>
      </c>
      <c r="E26" s="88" t="s">
        <v>546</v>
      </c>
      <c r="F26" s="2"/>
      <c r="G26" s="2"/>
      <c r="H26" s="2"/>
    </row>
    <row r="27" ht="15" customHeight="1">
      <c r="A27" s="88" t="s">
        <v>547</v>
      </c>
      <c r="B27" s="89">
        <v>46304</v>
      </c>
      <c r="C27" s="88" t="s">
        <v>548</v>
      </c>
      <c r="D27" s="90" t="s">
        <v>549</v>
      </c>
      <c r="E27" s="88" t="s">
        <v>550</v>
      </c>
      <c r="F27" s="2"/>
      <c r="G27" s="2"/>
      <c r="H27" s="2"/>
    </row>
    <row r="28" ht="15" customHeight="1">
      <c r="A28" s="88" t="s">
        <v>551</v>
      </c>
      <c r="B28" s="89">
        <v>46296</v>
      </c>
      <c r="C28" s="88" t="s">
        <v>552</v>
      </c>
      <c r="D28" s="90" t="s">
        <v>553</v>
      </c>
      <c r="E28" s="88" t="s">
        <v>554</v>
      </c>
      <c r="F28" s="2"/>
      <c r="G28" s="2"/>
      <c r="H28" s="2"/>
    </row>
    <row r="29" ht="15" customHeight="1">
      <c r="A29" s="88" t="s">
        <v>555</v>
      </c>
      <c r="B29" s="89">
        <v>46311</v>
      </c>
      <c r="C29" s="88" t="s">
        <v>556</v>
      </c>
      <c r="D29" s="90" t="s">
        <v>557</v>
      </c>
      <c r="E29" s="88" t="s">
        <v>558</v>
      </c>
      <c r="F29" s="2"/>
      <c r="G29" s="2"/>
      <c r="H29" s="2"/>
    </row>
    <row r="30" ht="15" customHeight="1">
      <c r="A30" s="88" t="s">
        <v>559</v>
      </c>
      <c r="B30" s="89">
        <v>44151</v>
      </c>
      <c r="C30" s="88" t="s">
        <v>560</v>
      </c>
      <c r="D30" s="90" t="s">
        <v>561</v>
      </c>
      <c r="E30" s="88" t="s">
        <v>562</v>
      </c>
      <c r="F30" s="2"/>
      <c r="G30" s="2"/>
      <c r="H30" s="2"/>
    </row>
    <row r="31" ht="15" customHeight="1">
      <c r="A31" s="88" t="s">
        <v>563</v>
      </c>
      <c r="B31" s="89">
        <v>46310</v>
      </c>
      <c r="C31" s="88" t="s">
        <v>564</v>
      </c>
      <c r="D31" s="90" t="s">
        <v>565</v>
      </c>
      <c r="E31" s="88" t="s">
        <v>566</v>
      </c>
      <c r="F31" s="2"/>
      <c r="G31" s="2"/>
      <c r="H31" s="2"/>
    </row>
    <row r="32" ht="15" customHeight="1">
      <c r="A32" s="88" t="s">
        <v>567</v>
      </c>
      <c r="B32" s="89">
        <v>46296</v>
      </c>
      <c r="C32" s="88" t="s">
        <v>556</v>
      </c>
      <c r="D32" s="90" t="s">
        <v>568</v>
      </c>
      <c r="E32" s="88" t="s">
        <v>569</v>
      </c>
      <c r="F32" s="2"/>
      <c r="G32" s="2"/>
      <c r="H32" s="2"/>
    </row>
    <row r="33" ht="15" customHeight="1">
      <c r="A33" s="88" t="s">
        <v>570</v>
      </c>
      <c r="B33" s="89">
        <v>46296</v>
      </c>
      <c r="C33" s="88" t="s">
        <v>571</v>
      </c>
      <c r="D33" s="90" t="s">
        <v>572</v>
      </c>
      <c r="E33" s="88" t="s">
        <v>573</v>
      </c>
      <c r="F33" s="2"/>
      <c r="G33" s="2"/>
      <c r="H33" s="2"/>
    </row>
    <row r="34" ht="15" customHeight="1">
      <c r="A34" s="88" t="s">
        <v>574</v>
      </c>
      <c r="B34" s="89">
        <v>46295</v>
      </c>
      <c r="C34" s="88" t="s">
        <v>575</v>
      </c>
      <c r="D34" s="90" t="s">
        <v>576</v>
      </c>
      <c r="E34" s="88" t="s">
        <v>577</v>
      </c>
      <c r="F34" s="2"/>
      <c r="G34" s="2"/>
      <c r="H34" s="2"/>
    </row>
    <row r="35" ht="15" customHeight="1">
      <c r="A35" s="88" t="s">
        <v>578</v>
      </c>
      <c r="B35" s="89">
        <v>46226</v>
      </c>
      <c r="C35" s="88" t="s">
        <v>579</v>
      </c>
      <c r="D35" s="90" t="s">
        <v>580</v>
      </c>
      <c r="E35" s="88" t="s">
        <v>581</v>
      </c>
      <c r="F35" s="2"/>
      <c r="G35" s="2"/>
      <c r="H35" s="2"/>
    </row>
    <row r="36" ht="15" customHeight="1">
      <c r="A36" s="2"/>
      <c r="B36" s="2"/>
      <c r="C36" s="2"/>
      <c r="D36" s="2"/>
      <c r="E36" s="2"/>
      <c r="F36" s="2"/>
      <c r="G36" s="2"/>
      <c r="H36" s="2"/>
    </row>
    <row r="37" ht="15" customHeight="1">
      <c r="A37" s="3" t="s">
        <v>582</v>
      </c>
      <c r="B37" s="2"/>
      <c r="C37" s="2"/>
      <c r="D37" s="2"/>
      <c r="E37" s="2"/>
      <c r="F37" s="2"/>
      <c r="G37" s="2"/>
      <c r="H37" s="2"/>
    </row>
    <row r="38" ht="15" customHeight="1">
      <c r="A38" s="2" t="s">
        <v>583</v>
      </c>
      <c r="B38" s="2"/>
      <c r="C38" s="2"/>
      <c r="D38" s="2"/>
      <c r="E38" s="2"/>
      <c r="F38" s="2"/>
      <c r="G38" s="2"/>
      <c r="H38" s="2"/>
    </row>
    <row r="39" ht="15" customHeight="1">
      <c r="A39" s="2" t="s">
        <v>584</v>
      </c>
      <c r="B39" s="2"/>
      <c r="C39" s="2"/>
      <c r="D39" s="2"/>
      <c r="E39" s="2"/>
      <c r="F39" s="2"/>
      <c r="G39" s="2"/>
      <c r="H39" s="2"/>
    </row>
    <row r="40" ht="15" customHeight="1">
      <c r="A40" s="2" t="s">
        <v>585</v>
      </c>
      <c r="B40" s="2"/>
      <c r="C40" s="2"/>
      <c r="D40" s="2"/>
      <c r="E40" s="2"/>
      <c r="F40" s="2"/>
      <c r="G40" s="2"/>
      <c r="H40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DAD8528-222E-F638-28B6-96F802D73149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4.00390625" customWidth="1"/>
    <col min="2" max="2" width="16.00390625" customWidth="1"/>
    <col min="3" max="3" width="14.00390625" customWidth="1"/>
    <col min="4" max="10" width="13.00390625" customWidth="1"/>
    <col min="11" max="11" width="14.00390625" customWidth="1"/>
  </cols>
  <sheetData>
    <row r="1" ht="15" customHeight="1">
      <c r="A1" s="2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" customHeight="1">
      <c r="A2" s="3" t="s">
        <v>586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5" customHeight="1">
      <c r="A4" s="5" t="s">
        <v>3</v>
      </c>
      <c r="B4" s="6" t="s">
        <v>587</v>
      </c>
      <c r="C4" s="6" t="s">
        <v>588</v>
      </c>
      <c r="D4" s="6" t="s">
        <v>589</v>
      </c>
      <c r="E4" s="6" t="s">
        <v>590</v>
      </c>
      <c r="F4" s="6" t="s">
        <v>591</v>
      </c>
      <c r="G4" s="5"/>
      <c r="H4" s="5"/>
      <c r="I4" s="5"/>
      <c r="J4" s="5"/>
      <c r="K4" s="5" t="s">
        <v>592</v>
      </c>
    </row>
    <row r="5" ht="15" customHeight="1">
      <c r="A5" s="7" t="s">
        <v>5</v>
      </c>
      <c r="B5" s="8">
        <v>45565</v>
      </c>
      <c r="C5" s="8">
        <v>45657</v>
      </c>
      <c r="D5" s="8">
        <v>45747</v>
      </c>
      <c r="E5" s="8">
        <v>45838</v>
      </c>
      <c r="F5" s="8">
        <v>45657</v>
      </c>
      <c r="G5" s="7"/>
      <c r="H5" s="7"/>
      <c r="I5" s="7"/>
      <c r="J5" s="7"/>
      <c r="K5" s="7"/>
    </row>
    <row r="6" ht="15" customHeight="1">
      <c r="A6" s="9" t="s">
        <v>6</v>
      </c>
      <c r="B6" s="10">
        <v>92</v>
      </c>
      <c r="C6" s="10">
        <v>92</v>
      </c>
      <c r="D6" s="10">
        <v>90</v>
      </c>
      <c r="E6" s="10">
        <v>91</v>
      </c>
      <c r="F6" s="10">
        <v>366</v>
      </c>
      <c r="G6" s="9"/>
      <c r="H6" s="9"/>
      <c r="I6" s="9"/>
      <c r="J6" s="9"/>
      <c r="K6" s="9"/>
    </row>
    <row r="7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ht="15" customHeight="1">
      <c r="A8" s="3" t="s">
        <v>593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ht="33" customHeight="1">
      <c r="A9" s="91" t="s">
        <v>594</v>
      </c>
      <c r="B9" s="91" t="s">
        <v>595</v>
      </c>
      <c r="C9" s="92" t="s">
        <v>596</v>
      </c>
      <c r="D9" s="92"/>
      <c r="E9" s="92"/>
      <c r="F9" s="92"/>
      <c r="G9" s="92"/>
      <c r="H9" s="92"/>
      <c r="I9" s="92"/>
      <c r="J9" s="92"/>
      <c r="K9" s="92"/>
    </row>
    <row r="10" ht="15" customHeight="1">
      <c r="A10" s="2" t="s">
        <v>597</v>
      </c>
      <c r="B10" s="87" t="s">
        <v>598</v>
      </c>
      <c r="C10" s="2"/>
      <c r="D10" s="2"/>
      <c r="E10" s="2"/>
      <c r="F10" s="2"/>
      <c r="G10" s="2"/>
      <c r="H10" s="2"/>
      <c r="I10" s="2"/>
      <c r="J10" s="2"/>
      <c r="K10" s="2"/>
    </row>
    <row r="11" ht="15" customHeight="1">
      <c r="A11" s="2" t="s">
        <v>599</v>
      </c>
      <c r="B11" s="93" t="s">
        <v>600</v>
      </c>
      <c r="C11" s="2"/>
      <c r="D11" s="2"/>
      <c r="E11" s="2"/>
      <c r="F11" s="2"/>
      <c r="G11" s="2"/>
      <c r="H11" s="2"/>
      <c r="I11" s="2"/>
      <c r="J11" s="2"/>
      <c r="K11" s="2"/>
    </row>
    <row r="12" ht="15" customHeight="1">
      <c r="A12" s="2" t="s">
        <v>601</v>
      </c>
      <c r="B12" s="87" t="s">
        <v>602</v>
      </c>
      <c r="C12" s="2"/>
      <c r="D12" s="2"/>
      <c r="E12" s="2"/>
      <c r="F12" s="2"/>
      <c r="G12" s="2"/>
      <c r="H12" s="2"/>
      <c r="I12" s="2"/>
      <c r="J12" s="2"/>
      <c r="K12" s="2"/>
    </row>
    <row r="13" ht="15" customHeight="1">
      <c r="A13" s="2" t="s">
        <v>603</v>
      </c>
      <c r="B13" s="87" t="s">
        <v>604</v>
      </c>
      <c r="C13" s="2"/>
      <c r="D13" s="2"/>
      <c r="E13" s="2"/>
      <c r="F13" s="2"/>
      <c r="G13" s="2"/>
      <c r="H13" s="2"/>
      <c r="I13" s="2"/>
      <c r="J13" s="2"/>
      <c r="K13" s="2"/>
    </row>
    <row r="14" ht="15" customHeight="1">
      <c r="A14" s="2" t="s">
        <v>605</v>
      </c>
      <c r="B14" s="87" t="s">
        <v>606</v>
      </c>
      <c r="C14" s="2"/>
      <c r="D14" s="2"/>
      <c r="E14" s="2"/>
      <c r="F14" s="2"/>
      <c r="G14" s="2"/>
      <c r="H14" s="2"/>
      <c r="I14" s="2"/>
      <c r="J14" s="2"/>
      <c r="K14" s="2"/>
    </row>
    <row r="15" ht="15" customHeight="1">
      <c r="A15" s="2" t="s">
        <v>607</v>
      </c>
      <c r="B15" s="87" t="s">
        <v>608</v>
      </c>
      <c r="C15" s="2"/>
      <c r="D15" s="2"/>
      <c r="E15" s="2"/>
      <c r="F15" s="2"/>
      <c r="G15" s="2"/>
      <c r="H15" s="2"/>
      <c r="I15" s="2"/>
      <c r="J15" s="2"/>
      <c r="K15" s="2"/>
    </row>
    <row r="16" ht="15" customHeight="1">
      <c r="A16" s="2" t="s">
        <v>609</v>
      </c>
      <c r="B16" s="87" t="s">
        <v>610</v>
      </c>
      <c r="C16" s="2"/>
      <c r="D16" s="2"/>
      <c r="E16" s="2"/>
      <c r="F16" s="2"/>
      <c r="G16" s="2"/>
      <c r="H16" s="2"/>
      <c r="I16" s="2"/>
      <c r="J16" s="2"/>
      <c r="K16" s="2"/>
    </row>
    <row r="17" ht="15" customHeight="1">
      <c r="A17" s="2" t="s">
        <v>611</v>
      </c>
      <c r="B17" s="87" t="s">
        <v>612</v>
      </c>
      <c r="C17" s="2"/>
      <c r="D17" s="2"/>
      <c r="E17" s="2"/>
      <c r="F17" s="2"/>
      <c r="G17" s="2"/>
      <c r="H17" s="2"/>
      <c r="I17" s="2"/>
      <c r="J17" s="2"/>
      <c r="K17" s="2"/>
    </row>
    <row r="18" ht="15" customHeight="1">
      <c r="A18" s="2" t="s">
        <v>613</v>
      </c>
      <c r="B18" s="87" t="s">
        <v>614</v>
      </c>
      <c r="C18" s="2"/>
      <c r="D18" s="2"/>
      <c r="E18" s="2"/>
      <c r="F18" s="2"/>
      <c r="G18" s="2"/>
      <c r="H18" s="2"/>
      <c r="I18" s="2"/>
      <c r="J18" s="2"/>
      <c r="K18" s="2"/>
    </row>
    <row r="19" ht="15" customHeight="1">
      <c r="A19" s="3" t="s">
        <v>615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ht="15" customHeight="1">
      <c r="A20" s="2" t="s">
        <v>616</v>
      </c>
      <c r="B20" s="87" t="s">
        <v>617</v>
      </c>
      <c r="C20" s="2"/>
      <c r="D20" s="2"/>
      <c r="E20" s="2"/>
      <c r="F20" s="2"/>
      <c r="G20" s="2"/>
      <c r="H20" s="2"/>
      <c r="I20" s="2"/>
      <c r="J20" s="2"/>
      <c r="K20" s="2"/>
    </row>
    <row r="21" ht="15" customHeight="1">
      <c r="A21" s="2" t="s">
        <v>618</v>
      </c>
      <c r="B21" s="87" t="s">
        <v>8</v>
      </c>
      <c r="C21" s="2"/>
      <c r="D21" s="2"/>
      <c r="E21" s="2"/>
      <c r="F21" s="2"/>
      <c r="G21" s="2"/>
      <c r="H21" s="2"/>
      <c r="I21" s="2"/>
      <c r="J21" s="2"/>
      <c r="K21" s="2"/>
    </row>
    <row r="22" ht="15" customHeight="1">
      <c r="A22" s="2" t="s">
        <v>619</v>
      </c>
      <c r="B22" s="87" t="s">
        <v>620</v>
      </c>
      <c r="C22" s="2"/>
      <c r="D22" s="2"/>
      <c r="E22" s="2"/>
      <c r="F22" s="2"/>
      <c r="G22" s="2"/>
      <c r="H22" s="2"/>
      <c r="I22" s="2"/>
      <c r="J22" s="2"/>
      <c r="K22" s="2"/>
    </row>
    <row r="23" ht="15" customHeight="1">
      <c r="A23" s="2" t="s">
        <v>621</v>
      </c>
      <c r="B23" s="87" t="s">
        <v>622</v>
      </c>
      <c r="C23" s="2"/>
      <c r="D23" s="2"/>
      <c r="E23" s="2"/>
      <c r="F23" s="2"/>
      <c r="G23" s="2"/>
      <c r="H23" s="2"/>
      <c r="I23" s="2"/>
      <c r="J23" s="2"/>
      <c r="K23" s="2"/>
    </row>
    <row r="24" ht="15" customHeight="1">
      <c r="A24" s="2" t="s">
        <v>623</v>
      </c>
      <c r="B24" s="87" t="s">
        <v>610</v>
      </c>
      <c r="C24" s="2"/>
      <c r="D24" s="2"/>
      <c r="E24" s="2"/>
      <c r="F24" s="2"/>
      <c r="G24" s="2"/>
      <c r="H24" s="2"/>
      <c r="I24" s="2"/>
      <c r="J24" s="2"/>
      <c r="K24" s="2"/>
    </row>
    <row r="25" ht="15" customHeight="1">
      <c r="A25" s="2" t="s">
        <v>624</v>
      </c>
      <c r="B25" s="87" t="s">
        <v>625</v>
      </c>
      <c r="C25" s="2"/>
      <c r="D25" s="2"/>
      <c r="E25" s="2"/>
      <c r="F25" s="2"/>
      <c r="G25" s="2"/>
      <c r="H25" s="2"/>
      <c r="I25" s="2"/>
      <c r="J25" s="2"/>
      <c r="K25" s="2"/>
    </row>
    <row r="26" ht="15" customHeight="1">
      <c r="A26" s="2" t="s">
        <v>626</v>
      </c>
      <c r="B26" s="87" t="s">
        <v>627</v>
      </c>
      <c r="C26" s="2"/>
      <c r="D26" s="2"/>
      <c r="E26" s="2"/>
      <c r="F26" s="2"/>
      <c r="G26" s="2"/>
      <c r="H26" s="2"/>
      <c r="I26" s="2"/>
      <c r="J26" s="2"/>
      <c r="K26" s="2"/>
    </row>
    <row r="27" ht="15" customHeight="1">
      <c r="A27" s="2" t="s">
        <v>628</v>
      </c>
      <c r="B27" s="93" t="s">
        <v>629</v>
      </c>
      <c r="C27" s="2"/>
      <c r="D27" s="2"/>
      <c r="E27" s="2"/>
      <c r="F27" s="2"/>
      <c r="G27" s="2"/>
      <c r="H27" s="2"/>
      <c r="I27" s="2"/>
      <c r="J27" s="2"/>
      <c r="K27" s="2"/>
    </row>
    <row r="28" ht="15" customHeight="1">
      <c r="A28" s="2" t="s">
        <v>630</v>
      </c>
      <c r="B28" s="93" t="s">
        <v>631</v>
      </c>
      <c r="C28" s="2"/>
      <c r="D28" s="2"/>
      <c r="E28" s="2"/>
      <c r="F28" s="2"/>
      <c r="G28" s="2"/>
      <c r="H28" s="2"/>
      <c r="I28" s="2"/>
      <c r="J28" s="2"/>
      <c r="K28" s="2"/>
    </row>
    <row r="29" ht="15" customHeight="1">
      <c r="A29" s="2" t="s">
        <v>607</v>
      </c>
      <c r="B29" s="87" t="s">
        <v>632</v>
      </c>
      <c r="C29" s="2"/>
      <c r="D29" s="2"/>
      <c r="E29" s="2"/>
      <c r="F29" s="2"/>
      <c r="G29" s="2"/>
      <c r="H29" s="2"/>
      <c r="I29" s="2"/>
      <c r="J29" s="2"/>
      <c r="K29" s="2"/>
    </row>
    <row r="30" ht="15" customHeight="1">
      <c r="A30" s="2" t="s">
        <v>633</v>
      </c>
      <c r="B30" s="87" t="s">
        <v>602</v>
      </c>
      <c r="C30" s="94">
        <f t="shared" si="0" ref="C30:C84">IF(B30="","",VALUE(B30))</f>
        <v>25</v>
      </c>
      <c r="D30" s="2"/>
      <c r="E30" s="2"/>
      <c r="F30" s="2"/>
      <c r="G30" s="2"/>
      <c r="H30" s="2"/>
      <c r="I30" s="2"/>
      <c r="J30" s="2"/>
      <c r="K30" s="2"/>
    </row>
    <row r="31" ht="15" customHeight="1">
      <c r="A31" s="2" t="s">
        <v>634</v>
      </c>
      <c r="B31" s="87" t="s">
        <v>635</v>
      </c>
      <c r="C31" s="94">
        <f t="shared" si="0"/>
        <v>27</v>
      </c>
      <c r="D31" s="2"/>
      <c r="E31" s="2"/>
      <c r="F31" s="2"/>
      <c r="G31" s="2"/>
      <c r="H31" s="2"/>
      <c r="I31" s="2"/>
      <c r="J31" s="2"/>
      <c r="K31" s="2"/>
    </row>
    <row r="32" ht="15" customHeight="1">
      <c r="A32" s="2" t="s">
        <v>636</v>
      </c>
      <c r="B32" s="87" t="s">
        <v>637</v>
      </c>
      <c r="C32" s="94">
        <f t="shared" si="0"/>
        <v>47</v>
      </c>
      <c r="D32" s="2"/>
      <c r="E32" s="2"/>
      <c r="F32" s="2"/>
      <c r="G32" s="2"/>
      <c r="H32" s="2"/>
      <c r="I32" s="2"/>
      <c r="J32" s="2"/>
      <c r="K32" s="2"/>
    </row>
    <row r="33" ht="15" customHeight="1">
      <c r="A33" s="2" t="s">
        <v>638</v>
      </c>
      <c r="B33" s="87" t="s">
        <v>604</v>
      </c>
      <c r="C33" s="18">
        <f t="shared" si="0"/>
        <v>0.45</v>
      </c>
      <c r="D33" s="2"/>
      <c r="E33" s="2"/>
      <c r="F33" s="2"/>
      <c r="G33" s="2"/>
      <c r="H33" s="2"/>
      <c r="I33" s="2"/>
      <c r="J33" s="2"/>
      <c r="K33" s="2"/>
    </row>
    <row r="34" ht="15" customHeight="1">
      <c r="A34" s="2" t="s">
        <v>639</v>
      </c>
      <c r="B34" s="87" t="s">
        <v>604</v>
      </c>
      <c r="C34" s="18">
        <f t="shared" si="0"/>
        <v>0.45</v>
      </c>
      <c r="D34" s="2"/>
      <c r="E34" s="2"/>
      <c r="F34" s="2"/>
      <c r="G34" s="2"/>
      <c r="H34" s="2"/>
      <c r="I34" s="2"/>
      <c r="J34" s="2"/>
      <c r="K34" s="2"/>
    </row>
    <row r="35" ht="15" customHeight="1">
      <c r="A35" s="2" t="s">
        <v>640</v>
      </c>
      <c r="B35" s="87" t="s">
        <v>641</v>
      </c>
      <c r="C35" s="18">
        <f t="shared" si="0"/>
        <v>0.7</v>
      </c>
      <c r="D35" s="2"/>
      <c r="E35" s="2"/>
      <c r="F35" s="2"/>
      <c r="G35" s="2"/>
      <c r="H35" s="2"/>
      <c r="I35" s="2"/>
      <c r="J35" s="2"/>
      <c r="K35" s="2"/>
    </row>
    <row r="36" ht="15" customHeight="1">
      <c r="A36" s="2" t="s">
        <v>642</v>
      </c>
      <c r="B36" s="87" t="s">
        <v>643</v>
      </c>
      <c r="C36" s="18">
        <f t="shared" si="0"/>
        <v>0.3</v>
      </c>
      <c r="D36" s="2"/>
      <c r="E36" s="2"/>
      <c r="F36" s="2"/>
      <c r="G36" s="2"/>
      <c r="H36" s="2"/>
      <c r="I36" s="2"/>
      <c r="J36" s="2"/>
      <c r="K36" s="2"/>
    </row>
    <row r="37" ht="15" customHeight="1">
      <c r="A37" s="2" t="s">
        <v>644</v>
      </c>
      <c r="B37" s="87" t="s">
        <v>645</v>
      </c>
      <c r="C37" s="18">
        <f t="shared" si="0"/>
        <v>0.09</v>
      </c>
      <c r="D37" s="2"/>
      <c r="E37" s="2"/>
      <c r="F37" s="2"/>
      <c r="G37" s="2"/>
      <c r="H37" s="2"/>
      <c r="I37" s="2"/>
      <c r="J37" s="2"/>
      <c r="K37" s="2"/>
    </row>
    <row r="38" ht="15" customHeight="1">
      <c r="A38" s="2" t="s">
        <v>646</v>
      </c>
      <c r="B38" s="87" t="s">
        <v>602</v>
      </c>
      <c r="C38" s="94">
        <f t="shared" si="0"/>
        <v>25</v>
      </c>
      <c r="D38" s="2"/>
      <c r="E38" s="2"/>
      <c r="F38" s="2"/>
      <c r="G38" s="2"/>
      <c r="H38" s="2"/>
      <c r="I38" s="2"/>
      <c r="J38" s="2"/>
      <c r="K38" s="2"/>
    </row>
    <row r="39" ht="15" customHeight="1">
      <c r="A39" s="2" t="s">
        <v>647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5" customHeight="1">
      <c r="A40" s="2" t="s">
        <v>648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5" customHeight="1">
      <c r="A41" s="2" t="s">
        <v>649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5" customHeight="1">
      <c r="A42" s="2" t="s">
        <v>650</v>
      </c>
      <c r="B42" s="87" t="s">
        <v>651</v>
      </c>
      <c r="C42" s="18">
        <f t="shared" si="0"/>
        <v>0.26</v>
      </c>
      <c r="D42" s="2"/>
      <c r="E42" s="2"/>
      <c r="F42" s="2"/>
      <c r="G42" s="2"/>
      <c r="H42" s="2"/>
      <c r="I42" s="2"/>
      <c r="J42" s="2"/>
      <c r="K42" s="2"/>
    </row>
    <row r="43" ht="15" customHeight="1">
      <c r="A43" s="2" t="s">
        <v>652</v>
      </c>
      <c r="B43" s="87" t="s">
        <v>653</v>
      </c>
      <c r="C43" s="18">
        <f t="shared" si="0"/>
        <v>0.21</v>
      </c>
      <c r="D43" s="2"/>
      <c r="E43" s="2"/>
      <c r="F43" s="2"/>
      <c r="G43" s="2"/>
      <c r="H43" s="2"/>
      <c r="I43" s="2"/>
      <c r="J43" s="2"/>
      <c r="K43" s="2"/>
    </row>
    <row r="44" ht="15" customHeight="1">
      <c r="A44" s="2" t="s">
        <v>654</v>
      </c>
      <c r="B44" s="87" t="s">
        <v>655</v>
      </c>
      <c r="C44" s="18">
        <f t="shared" si="0"/>
        <v>0.63</v>
      </c>
      <c r="D44" s="2"/>
      <c r="E44" s="2"/>
      <c r="F44" s="2"/>
      <c r="G44" s="2"/>
      <c r="H44" s="2"/>
      <c r="I44" s="2"/>
      <c r="J44" s="2"/>
      <c r="K44" s="2"/>
    </row>
    <row r="45" ht="15" customHeight="1">
      <c r="A45" s="2" t="s">
        <v>656</v>
      </c>
      <c r="B45" s="87" t="s">
        <v>645</v>
      </c>
      <c r="C45" s="18">
        <f t="shared" si="0"/>
        <v>0.09</v>
      </c>
      <c r="D45" s="2"/>
      <c r="E45" s="2"/>
      <c r="F45" s="2"/>
      <c r="G45" s="2"/>
      <c r="H45" s="2"/>
      <c r="I45" s="2"/>
      <c r="J45" s="2"/>
      <c r="K45" s="2"/>
    </row>
    <row r="46" ht="15" customHeight="1">
      <c r="A46" s="2" t="s">
        <v>657</v>
      </c>
      <c r="B46" s="87" t="s">
        <v>658</v>
      </c>
      <c r="C46" s="18">
        <f t="shared" si="0"/>
        <v>0.15</v>
      </c>
      <c r="D46" s="2"/>
      <c r="E46" s="2"/>
      <c r="F46" s="2"/>
      <c r="G46" s="2"/>
      <c r="H46" s="2"/>
      <c r="I46" s="2"/>
      <c r="J46" s="2"/>
      <c r="K46" s="2"/>
    </row>
    <row r="47" ht="15" customHeight="1">
      <c r="A47" s="2" t="s">
        <v>659</v>
      </c>
      <c r="B47" s="87" t="s">
        <v>660</v>
      </c>
      <c r="C47" s="94">
        <f t="shared" si="0"/>
        <v>19</v>
      </c>
      <c r="D47" s="2"/>
      <c r="E47" s="2"/>
      <c r="F47" s="2"/>
      <c r="G47" s="2"/>
      <c r="H47" s="2"/>
      <c r="I47" s="2"/>
      <c r="J47" s="2"/>
      <c r="K47" s="2"/>
    </row>
    <row r="48" ht="15" customHeight="1">
      <c r="A48" s="2" t="s">
        <v>661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5" customHeight="1">
      <c r="A49" s="2" t="s">
        <v>662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5" customHeight="1">
      <c r="A50" s="2" t="s">
        <v>663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5" customHeight="1">
      <c r="A51" s="2" t="s">
        <v>664</v>
      </c>
      <c r="B51" s="87" t="s">
        <v>606</v>
      </c>
      <c r="C51" s="14">
        <f t="shared" si="0"/>
        <v>28111.09</v>
      </c>
      <c r="D51" s="2"/>
      <c r="E51" s="2"/>
      <c r="F51" s="2"/>
      <c r="G51" s="2"/>
      <c r="H51" s="2"/>
      <c r="I51" s="2"/>
      <c r="J51" s="2"/>
      <c r="K51" s="2"/>
    </row>
    <row r="52" ht="15" customHeight="1">
      <c r="A52" s="2" t="s">
        <v>665</v>
      </c>
      <c r="B52" s="87" t="s">
        <v>666</v>
      </c>
      <c r="C52" s="14">
        <f t="shared" si="0"/>
        <v>28201.49</v>
      </c>
      <c r="D52" s="2"/>
      <c r="E52" s="2"/>
      <c r="F52" s="2"/>
      <c r="G52" s="2"/>
      <c r="H52" s="2"/>
      <c r="I52" s="2"/>
      <c r="J52" s="2"/>
      <c r="K52" s="2"/>
    </row>
    <row r="53" ht="15" customHeight="1">
      <c r="A53" s="2" t="s">
        <v>667</v>
      </c>
      <c r="B53" s="87" t="s">
        <v>668</v>
      </c>
      <c r="C53" s="14">
        <f t="shared" si="0"/>
        <v>30584.55</v>
      </c>
      <c r="D53" s="2"/>
      <c r="E53" s="2"/>
      <c r="F53" s="2"/>
      <c r="G53" s="2"/>
      <c r="H53" s="2"/>
      <c r="I53" s="2"/>
      <c r="J53" s="2"/>
      <c r="K53" s="2"/>
    </row>
    <row r="54" ht="15" customHeight="1">
      <c r="A54" s="2" t="s">
        <v>669</v>
      </c>
      <c r="B54" s="87" t="s">
        <v>670</v>
      </c>
      <c r="C54" s="14">
        <f t="shared" si="0"/>
        <v>24286.5</v>
      </c>
      <c r="D54" s="2"/>
      <c r="E54" s="2"/>
      <c r="F54" s="2"/>
      <c r="G54" s="2"/>
      <c r="H54" s="2"/>
      <c r="I54" s="2"/>
      <c r="J54" s="2"/>
      <c r="K54" s="2"/>
    </row>
    <row r="55" ht="15" customHeight="1">
      <c r="A55" s="2" t="s">
        <v>671</v>
      </c>
      <c r="B55" s="87" t="s">
        <v>672</v>
      </c>
      <c r="C55" s="14">
        <f t="shared" si="0"/>
        <v>1200.08</v>
      </c>
      <c r="D55" s="2"/>
      <c r="E55" s="2"/>
      <c r="F55" s="2"/>
      <c r="G55" s="2"/>
      <c r="H55" s="2"/>
      <c r="I55" s="2"/>
      <c r="J55" s="2"/>
      <c r="K55" s="2"/>
    </row>
    <row r="56" ht="15" customHeight="1">
      <c r="A56" s="2" t="s">
        <v>673</v>
      </c>
      <c r="B56" s="87" t="s">
        <v>674</v>
      </c>
      <c r="C56" s="94">
        <f t="shared" si="0"/>
        <v>28</v>
      </c>
      <c r="D56" s="2"/>
      <c r="E56" s="2"/>
      <c r="F56" s="2"/>
      <c r="G56" s="2"/>
      <c r="H56" s="2"/>
      <c r="I56" s="2"/>
      <c r="J56" s="2"/>
      <c r="K56" s="2"/>
    </row>
    <row r="57" ht="15" customHeight="1">
      <c r="A57" s="2" t="s">
        <v>675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5" customHeight="1">
      <c r="A58" s="2" t="s">
        <v>676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5" customHeight="1">
      <c r="A59" s="2" t="s">
        <v>677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5" customHeight="1">
      <c r="A60" s="2" t="s">
        <v>678</v>
      </c>
      <c r="B60" s="87" t="s">
        <v>679</v>
      </c>
      <c r="C60" s="14">
        <f t="shared" si="0"/>
        <v>3790.55</v>
      </c>
      <c r="D60" s="2"/>
      <c r="E60" s="2"/>
      <c r="F60" s="2"/>
      <c r="G60" s="2"/>
      <c r="H60" s="2"/>
      <c r="I60" s="2"/>
      <c r="J60" s="2"/>
      <c r="K60" s="2"/>
    </row>
    <row r="61" ht="15" customHeight="1">
      <c r="A61" s="2" t="s">
        <v>680</v>
      </c>
      <c r="B61" s="87" t="s">
        <v>681</v>
      </c>
      <c r="C61" s="14">
        <f t="shared" si="0"/>
        <v>916.45</v>
      </c>
      <c r="D61" s="2"/>
      <c r="E61" s="2"/>
      <c r="F61" s="2"/>
      <c r="G61" s="2"/>
      <c r="H61" s="2"/>
      <c r="I61" s="2"/>
      <c r="J61" s="2"/>
      <c r="K61" s="2"/>
    </row>
    <row r="62" ht="15" customHeight="1">
      <c r="A62" s="2" t="s">
        <v>682</v>
      </c>
      <c r="B62" s="87" t="s">
        <v>683</v>
      </c>
      <c r="C62" s="14">
        <f t="shared" si="0"/>
        <v>2123.88</v>
      </c>
      <c r="D62" s="2"/>
      <c r="E62" s="2"/>
      <c r="F62" s="2"/>
      <c r="G62" s="2"/>
      <c r="H62" s="2"/>
      <c r="I62" s="2"/>
      <c r="J62" s="2"/>
      <c r="K62" s="2"/>
    </row>
    <row r="63" ht="15" customHeight="1">
      <c r="A63" s="2" t="s">
        <v>684</v>
      </c>
      <c r="B63" s="87" t="s">
        <v>685</v>
      </c>
      <c r="C63" s="14">
        <f t="shared" si="0"/>
        <v>1163.66</v>
      </c>
      <c r="D63" s="2"/>
      <c r="E63" s="2"/>
      <c r="F63" s="2"/>
      <c r="G63" s="2"/>
      <c r="H63" s="2"/>
      <c r="I63" s="2"/>
      <c r="J63" s="2"/>
      <c r="K63" s="2"/>
    </row>
    <row r="64" ht="15" customHeight="1">
      <c r="A64" s="2" t="s">
        <v>686</v>
      </c>
      <c r="B64" s="87" t="s">
        <v>687</v>
      </c>
      <c r="C64" s="14">
        <f t="shared" si="0"/>
        <v>1600.79</v>
      </c>
      <c r="D64" s="2"/>
      <c r="E64" s="2"/>
      <c r="F64" s="2"/>
      <c r="G64" s="2"/>
      <c r="H64" s="2"/>
      <c r="I64" s="2"/>
      <c r="J64" s="2"/>
      <c r="K64" s="2"/>
    </row>
    <row r="65" ht="15" customHeight="1">
      <c r="A65" s="2" t="s">
        <v>688</v>
      </c>
      <c r="B65" s="87" t="s">
        <v>689</v>
      </c>
      <c r="C65" s="14">
        <f t="shared" si="0"/>
        <v>922.77</v>
      </c>
      <c r="D65" s="2"/>
      <c r="E65" s="2"/>
      <c r="F65" s="2"/>
      <c r="G65" s="2"/>
      <c r="H65" s="2"/>
      <c r="I65" s="2"/>
      <c r="J65" s="2"/>
      <c r="K65" s="2"/>
    </row>
    <row r="66" ht="15" customHeight="1">
      <c r="A66" s="2" t="s">
        <v>690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5" customHeight="1">
      <c r="A67" s="2" t="s">
        <v>691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5" customHeight="1">
      <c r="A68" s="2" t="s">
        <v>692</v>
      </c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5" customHeight="1">
      <c r="A69" s="2" t="s">
        <v>693</v>
      </c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5" customHeight="1">
      <c r="A70" s="2" t="s">
        <v>694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5" customHeight="1">
      <c r="A71" s="2" t="s">
        <v>695</v>
      </c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5" customHeight="1">
      <c r="A72" s="2" t="s">
        <v>696</v>
      </c>
      <c r="B72" s="87" t="s">
        <v>697</v>
      </c>
      <c r="C72" s="14">
        <f t="shared" si="0"/>
        <v>-85.33</v>
      </c>
      <c r="D72" s="2"/>
      <c r="E72" s="2"/>
      <c r="F72" s="2"/>
      <c r="G72" s="2"/>
      <c r="H72" s="2"/>
      <c r="I72" s="2"/>
      <c r="J72" s="2"/>
      <c r="K72" s="2"/>
    </row>
    <row r="73" ht="15" customHeight="1">
      <c r="A73" s="2" t="s">
        <v>698</v>
      </c>
      <c r="B73" s="87" t="s">
        <v>699</v>
      </c>
      <c r="C73" s="14">
        <f t="shared" si="0"/>
        <v>-29990.33</v>
      </c>
      <c r="D73" s="2"/>
      <c r="E73" s="2"/>
      <c r="F73" s="2"/>
      <c r="G73" s="2"/>
      <c r="H73" s="2"/>
      <c r="I73" s="2"/>
      <c r="J73" s="2"/>
      <c r="K73" s="2"/>
    </row>
    <row r="74" ht="15" customHeight="1">
      <c r="A74" s="2" t="s">
        <v>700</v>
      </c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5" customHeight="1">
      <c r="A75" s="2" t="s">
        <v>701</v>
      </c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5" customHeight="1">
      <c r="A76" s="2" t="s">
        <v>702</v>
      </c>
      <c r="B76" s="87" t="s">
        <v>703</v>
      </c>
      <c r="C76" s="2"/>
      <c r="D76" s="2"/>
      <c r="E76" s="2"/>
      <c r="F76" s="2"/>
      <c r="G76" s="2"/>
      <c r="H76" s="2"/>
      <c r="I76" s="2"/>
      <c r="J76" s="2"/>
      <c r="K76" s="2"/>
    </row>
    <row r="77" ht="15" customHeight="1">
      <c r="A77" s="2" t="s">
        <v>704</v>
      </c>
      <c r="B77" s="87" t="s">
        <v>705</v>
      </c>
      <c r="C77" s="2"/>
      <c r="D77" s="2"/>
      <c r="E77" s="2"/>
      <c r="F77" s="2"/>
      <c r="G77" s="2"/>
      <c r="H77" s="2"/>
      <c r="I77" s="2"/>
      <c r="J77" s="2"/>
      <c r="K77" s="2"/>
    </row>
    <row r="78" ht="15" customHeight="1">
      <c r="A78" s="2" t="s">
        <v>706</v>
      </c>
      <c r="B78" s="87" t="s">
        <v>707</v>
      </c>
      <c r="C78" s="2"/>
      <c r="D78" s="2"/>
      <c r="E78" s="2"/>
      <c r="F78" s="2"/>
      <c r="G78" s="2"/>
      <c r="H78" s="2"/>
      <c r="I78" s="2"/>
      <c r="J78" s="2"/>
      <c r="K78" s="2"/>
    </row>
    <row r="79" ht="15" customHeight="1">
      <c r="A79" s="2" t="s">
        <v>708</v>
      </c>
      <c r="B79" s="87" t="s">
        <v>709</v>
      </c>
      <c r="C79" s="2"/>
      <c r="D79" s="2"/>
      <c r="E79" s="2"/>
      <c r="F79" s="2"/>
      <c r="G79" s="2"/>
      <c r="H79" s="2"/>
      <c r="I79" s="2"/>
      <c r="J79" s="2"/>
      <c r="K79" s="2"/>
    </row>
    <row r="80" ht="15" customHeight="1">
      <c r="A80" s="2" t="s">
        <v>710</v>
      </c>
      <c r="B80" s="87" t="s">
        <v>711</v>
      </c>
      <c r="C80" s="2"/>
      <c r="D80" s="2"/>
      <c r="E80" s="2"/>
      <c r="F80" s="2"/>
      <c r="G80" s="2"/>
      <c r="H80" s="2"/>
      <c r="I80" s="2"/>
      <c r="J80" s="2"/>
      <c r="K80" s="2"/>
    </row>
    <row r="81" ht="15" customHeight="1">
      <c r="A81" s="2" t="s">
        <v>712</v>
      </c>
      <c r="B81" s="87" t="s">
        <v>713</v>
      </c>
      <c r="C81" s="2"/>
      <c r="D81" s="2"/>
      <c r="E81" s="2"/>
      <c r="F81" s="2"/>
      <c r="G81" s="2"/>
      <c r="H81" s="2"/>
      <c r="I81" s="2"/>
      <c r="J81" s="2"/>
      <c r="K81" s="2"/>
    </row>
    <row r="82" ht="15" customHeight="1">
      <c r="A82" s="2" t="s">
        <v>714</v>
      </c>
      <c r="B82" s="87" t="s">
        <v>715</v>
      </c>
      <c r="C82" s="2"/>
      <c r="D82" s="2"/>
      <c r="E82" s="2"/>
      <c r="F82" s="2"/>
      <c r="G82" s="2"/>
      <c r="H82" s="2"/>
      <c r="I82" s="2"/>
      <c r="J82" s="2"/>
      <c r="K82" s="2"/>
    </row>
    <row r="83" ht="15" customHeight="1">
      <c r="A83" s="2" t="s">
        <v>716</v>
      </c>
      <c r="B83" s="87" t="s">
        <v>717</v>
      </c>
      <c r="C83" s="2"/>
      <c r="D83" s="2"/>
      <c r="E83" s="2"/>
      <c r="F83" s="2"/>
      <c r="G83" s="2"/>
      <c r="H83" s="2"/>
      <c r="I83" s="2"/>
      <c r="J83" s="2"/>
      <c r="K83" s="2"/>
    </row>
    <row r="84" ht="15" customHeight="1">
      <c r="A84" s="2" t="s">
        <v>718</v>
      </c>
      <c r="B84" s="87" t="s">
        <v>719</v>
      </c>
      <c r="C84" s="95">
        <f t="shared" si="0"/>
        <v>354.72</v>
      </c>
      <c r="D84" s="2"/>
      <c r="E84" s="2"/>
      <c r="F84" s="2"/>
      <c r="G84" s="2"/>
      <c r="H84" s="2"/>
      <c r="I84" s="2"/>
      <c r="J84" s="2"/>
      <c r="K84" s="2"/>
    </row>
    <row r="85" ht="15" customHeight="1">
      <c r="A85" s="2" t="s">
        <v>720</v>
      </c>
      <c r="B85" s="87" t="s">
        <v>721</v>
      </c>
      <c r="C85" s="2"/>
      <c r="D85" s="2"/>
      <c r="E85" s="2"/>
      <c r="F85" s="2"/>
      <c r="G85" s="2"/>
      <c r="H85" s="2"/>
      <c r="I85" s="2"/>
      <c r="J85" s="2"/>
      <c r="K85" s="2"/>
    </row>
    <row r="86" ht="15" customHeight="1">
      <c r="A86" s="2" t="s">
        <v>722</v>
      </c>
      <c r="B86" s="93" t="s">
        <v>600</v>
      </c>
      <c r="C86" s="2"/>
      <c r="D86" s="2"/>
      <c r="E86" s="2"/>
      <c r="F86" s="2"/>
      <c r="G86" s="2"/>
      <c r="H86" s="2"/>
      <c r="I86" s="2"/>
      <c r="J86" s="2"/>
      <c r="K86" s="2"/>
    </row>
    <row r="87" ht="15" customHeight="1">
      <c r="A87" s="2" t="s">
        <v>723</v>
      </c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5" customHeight="1">
      <c r="A88" s="2" t="s">
        <v>724</v>
      </c>
      <c r="B88" s="87" t="s">
        <v>725</v>
      </c>
      <c r="C88" s="2"/>
      <c r="D88" s="2"/>
      <c r="E88" s="2"/>
      <c r="F88" s="2"/>
      <c r="G88" s="2"/>
      <c r="H88" s="2"/>
      <c r="I88" s="2"/>
      <c r="J88" s="2"/>
      <c r="K88" s="2"/>
    </row>
    <row r="89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5" customHeight="1">
      <c r="A90" s="3" t="s">
        <v>726</v>
      </c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33" customHeight="1">
      <c r="A91" s="91" t="s">
        <v>727</v>
      </c>
      <c r="B91" s="92" t="s">
        <v>728</v>
      </c>
      <c r="C91" s="92" t="s">
        <v>729</v>
      </c>
      <c r="D91" s="92" t="s">
        <v>730</v>
      </c>
      <c r="E91" s="92" t="s">
        <v>731</v>
      </c>
      <c r="F91" s="92" t="s">
        <v>732</v>
      </c>
      <c r="G91" s="92" t="s">
        <v>733</v>
      </c>
      <c r="H91" s="92" t="s">
        <v>734</v>
      </c>
      <c r="I91" s="92"/>
      <c r="J91" s="92" t="s">
        <v>735</v>
      </c>
      <c r="K91" s="92" t="s">
        <v>736</v>
      </c>
    </row>
    <row r="92" ht="15" customHeight="1">
      <c r="A92" s="93">
        <v>45747</v>
      </c>
      <c r="B92" s="86">
        <v>45769</v>
      </c>
      <c r="C92" s="74">
        <v>0.41</v>
      </c>
      <c r="D92" s="74">
        <v>0.27</v>
      </c>
      <c r="E92" s="74">
        <v>0.35</v>
      </c>
      <c r="F92" s="74">
        <v>0.12</v>
      </c>
      <c r="G92" s="40">
        <v>21326.71</v>
      </c>
      <c r="H92" s="40">
        <v>19335</v>
      </c>
      <c r="I92" s="2"/>
      <c r="J92" s="18">
        <f t="shared" si="1" ref="J92:J97">D92-C92</f>
        <v>-0.13999999999999996</v>
      </c>
      <c r="K92" s="16" t="b">
        <f t="shared" si="2" ref="K92:K97">D92&gt;C92</f>
        <v>0</v>
      </c>
    </row>
    <row r="93" ht="15" customHeight="1">
      <c r="A93" s="93">
        <v>45838</v>
      </c>
      <c r="B93" s="86">
        <v>45861</v>
      </c>
      <c r="C93" s="74">
        <v>0.4</v>
      </c>
      <c r="D93" s="74">
        <v>0.4</v>
      </c>
      <c r="E93" s="74">
        <v>0.3</v>
      </c>
      <c r="F93" s="74">
        <v>0.33</v>
      </c>
      <c r="G93" s="40">
        <v>22087.63</v>
      </c>
      <c r="H93" s="40">
        <v>22496</v>
      </c>
      <c r="I93" s="2"/>
      <c r="J93" s="18">
        <f t="shared" si="1"/>
        <v>0</v>
      </c>
      <c r="K93" s="16" t="b">
        <f t="shared" si="2"/>
        <v>0</v>
      </c>
    </row>
    <row r="94" ht="15" customHeight="1">
      <c r="A94" s="93">
        <v>45930</v>
      </c>
      <c r="B94" s="86">
        <v>45952</v>
      </c>
      <c r="C94" s="74">
        <v>0.56</v>
      </c>
      <c r="D94" s="74">
        <v>0.5</v>
      </c>
      <c r="E94" s="74">
        <v>0.44</v>
      </c>
      <c r="F94" s="74">
        <v>0.39</v>
      </c>
      <c r="G94" s="40">
        <v>26703.56</v>
      </c>
      <c r="H94" s="40">
        <v>28095</v>
      </c>
      <c r="I94" s="2"/>
      <c r="J94" s="18">
        <f t="shared" si="1"/>
        <v>-0.06000000000000005</v>
      </c>
      <c r="K94" s="16" t="b">
        <f t="shared" si="2"/>
        <v>0</v>
      </c>
    </row>
    <row r="95" ht="15" customHeight="1">
      <c r="A95" s="93">
        <v>46022</v>
      </c>
      <c r="B95" s="86">
        <v>46050</v>
      </c>
      <c r="C95" s="74">
        <v>0.45</v>
      </c>
      <c r="D95" s="74">
        <v>0.5</v>
      </c>
      <c r="E95" s="74">
        <v>0.35</v>
      </c>
      <c r="F95" s="74">
        <v>0.24</v>
      </c>
      <c r="G95" s="40">
        <v>24779.93</v>
      </c>
      <c r="H95" s="40">
        <v>24901</v>
      </c>
      <c r="I95" s="2"/>
      <c r="J95" s="18">
        <f t="shared" si="1"/>
        <v>0.04999999999999999</v>
      </c>
      <c r="K95" s="16" t="b">
        <f t="shared" si="2"/>
        <v>1</v>
      </c>
    </row>
    <row r="96" ht="15" customHeight="1">
      <c r="A96" s="93">
        <v>46112</v>
      </c>
      <c r="B96" s="86">
        <v>46134</v>
      </c>
      <c r="C96" s="74">
        <v>0.35</v>
      </c>
      <c r="D96" s="74">
        <v>0.41</v>
      </c>
      <c r="E96" s="74">
        <v>0.2</v>
      </c>
      <c r="F96" s="74">
        <v>0.13</v>
      </c>
      <c r="G96" s="40">
        <v>22208.11</v>
      </c>
      <c r="H96" s="40">
        <v>22387</v>
      </c>
      <c r="I96" s="2"/>
      <c r="J96" s="18">
        <f t="shared" si="1"/>
        <v>0.06</v>
      </c>
      <c r="K96" s="16" t="b">
        <f t="shared" si="2"/>
        <v>1</v>
      </c>
    </row>
    <row r="97" ht="15" customHeight="1">
      <c r="A97" s="93">
        <v>46203</v>
      </c>
      <c r="B97" s="86">
        <v>46225</v>
      </c>
      <c r="C97" s="74">
        <v>0.54</v>
      </c>
      <c r="D97" s="74">
        <v>0.33</v>
      </c>
      <c r="E97" s="74">
        <v>0.32</v>
      </c>
      <c r="F97" s="74">
        <v>0.32</v>
      </c>
      <c r="G97" s="40">
        <v>26485.09</v>
      </c>
      <c r="H97" s="40">
        <v>28236</v>
      </c>
      <c r="I97" s="2"/>
      <c r="J97" s="18">
        <f t="shared" si="1"/>
        <v>-0.21000000000000002</v>
      </c>
      <c r="K97" s="16" t="b">
        <f t="shared" si="2"/>
        <v>0</v>
      </c>
    </row>
    <row r="98" ht="1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5" customHeight="1">
      <c r="A99" s="3" t="s">
        <v>737</v>
      </c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5" customHeight="1">
      <c r="A100" s="2" t="s">
        <v>738</v>
      </c>
      <c r="B100" s="40">
        <v>1400984</v>
      </c>
      <c r="C100" s="2"/>
      <c r="D100" s="2"/>
      <c r="E100" s="2"/>
      <c r="F100" s="2"/>
      <c r="G100" s="2"/>
      <c r="H100" s="2"/>
      <c r="I100" s="2"/>
      <c r="J100" s="2"/>
      <c r="K100" s="2" t="s">
        <v>739</v>
      </c>
    </row>
    <row r="101" ht="15" customHeight="1">
      <c r="A101" s="2" t="s">
        <v>740</v>
      </c>
      <c r="B101" s="87" t="s">
        <v>741</v>
      </c>
      <c r="C101" s="2"/>
      <c r="D101" s="2"/>
      <c r="E101" s="2"/>
      <c r="F101" s="2"/>
      <c r="G101" s="2"/>
      <c r="H101" s="2"/>
      <c r="I101" s="2"/>
      <c r="J101" s="2"/>
      <c r="K101" s="2"/>
    </row>
    <row r="102" ht="15" customHeight="1">
      <c r="A102" s="2" t="s">
        <v>742</v>
      </c>
      <c r="B102" s="87" t="s">
        <v>743</v>
      </c>
      <c r="C102" s="2"/>
      <c r="D102" s="2"/>
      <c r="E102" s="2"/>
      <c r="F102" s="2"/>
      <c r="G102" s="2"/>
      <c r="H102" s="2"/>
      <c r="I102" s="2"/>
      <c r="J102" s="2"/>
      <c r="K102" s="2"/>
    </row>
    <row r="103" ht="15" customHeight="1">
      <c r="A103" s="4" t="s">
        <v>744</v>
      </c>
      <c r="B103" s="42">
        <v>0.78</v>
      </c>
      <c r="C103" s="2"/>
      <c r="D103" s="2"/>
      <c r="E103" s="2"/>
      <c r="F103" s="2"/>
      <c r="G103" s="2"/>
      <c r="H103" s="2"/>
      <c r="I103" s="2"/>
      <c r="J103" s="2"/>
      <c r="K103" s="2" t="s">
        <v>745</v>
      </c>
    </row>
    <row r="104" ht="15" customHeight="1">
      <c r="A104" s="2" t="s">
        <v>746</v>
      </c>
      <c r="B104" s="96">
        <v>8</v>
      </c>
      <c r="C104" s="2"/>
      <c r="D104" s="2"/>
      <c r="E104" s="2"/>
      <c r="F104" s="2"/>
      <c r="G104" s="2"/>
      <c r="H104" s="2"/>
      <c r="I104" s="2"/>
      <c r="J104" s="2"/>
      <c r="K104" s="2"/>
    </row>
    <row r="105" ht="15" customHeight="1">
      <c r="A105" s="2" t="s">
        <v>747</v>
      </c>
      <c r="B105" s="94">
        <f>MIN(COUNT(C92:C97),COUNT(D92:D97))</f>
        <v>6</v>
      </c>
      <c r="C105" s="2"/>
      <c r="D105" s="2"/>
      <c r="E105" s="2"/>
      <c r="F105" s="2"/>
      <c r="G105" s="2"/>
      <c r="H105" s="2"/>
      <c r="I105" s="2"/>
      <c r="J105" s="2"/>
      <c r="K105" s="2"/>
    </row>
    <row r="106" ht="15" customHeight="1">
      <c r="A106" s="2" t="s">
        <v>748</v>
      </c>
      <c r="B106" s="94">
        <f>SUM(IF(D92&gt;C92,1,0),IF(D93&gt;C93,1,0),IF(D94&gt;C94,1,0),IF(D95&gt;C95,1,0),IF(D96&gt;C96,1,0),IF(D97&gt;C97,1,0))</f>
        <v>2</v>
      </c>
      <c r="C106" s="2"/>
      <c r="D106" s="2"/>
      <c r="E106" s="2"/>
      <c r="F106" s="2"/>
      <c r="G106" s="2"/>
      <c r="H106" s="2"/>
      <c r="I106" s="2"/>
      <c r="J106" s="2"/>
      <c r="K106" s="2"/>
    </row>
    <row r="107" ht="15" customHeight="1">
      <c r="A107" s="97" t="s">
        <v>749</v>
      </c>
      <c r="B107" s="98">
        <f>(B104*B103+B106)/(B104+B105)</f>
        <v>0.5885714285714286</v>
      </c>
      <c r="C107" s="2"/>
      <c r="D107" s="2"/>
      <c r="E107" s="2"/>
      <c r="F107" s="2"/>
      <c r="G107" s="2"/>
      <c r="H107" s="2"/>
      <c r="I107" s="2"/>
      <c r="J107" s="2"/>
      <c r="K107" s="2"/>
    </row>
    <row r="108" ht="15" customHeight="1">
      <c r="A108" s="2" t="s">
        <v>750</v>
      </c>
      <c r="B108" s="18">
        <f>AVERAGE(J92:J97)</f>
        <v>-0.05000000000000001</v>
      </c>
      <c r="C108" s="2"/>
      <c r="D108" s="2"/>
      <c r="E108" s="2"/>
      <c r="F108" s="2"/>
      <c r="G108" s="2"/>
      <c r="H108" s="2"/>
      <c r="I108" s="2"/>
      <c r="J108" s="2"/>
      <c r="K108" s="2"/>
    </row>
    <row r="109" ht="15" customHeight="1">
      <c r="A109" s="2" t="s">
        <v>751</v>
      </c>
      <c r="B109" s="18">
        <f>STDEV(J92:J97)</f>
        <v>0.10807404868885037</v>
      </c>
      <c r="C109" s="2"/>
      <c r="D109" s="2"/>
      <c r="E109" s="2"/>
      <c r="F109" s="2"/>
      <c r="G109" s="2"/>
      <c r="H109" s="2"/>
      <c r="I109" s="2"/>
      <c r="J109" s="2"/>
      <c r="K109" s="2"/>
    </row>
    <row r="110" ht="15" customHeight="1">
      <c r="A110" s="4" t="s">
        <v>752</v>
      </c>
      <c r="B110" s="15">
        <f>(B111-B107)</f>
        <v>-0.28857142857142865</v>
      </c>
      <c r="C110" s="2"/>
      <c r="D110" s="2"/>
      <c r="E110" s="2"/>
      <c r="F110" s="2"/>
      <c r="G110" s="2"/>
      <c r="H110" s="2"/>
      <c r="I110" s="2"/>
      <c r="J110" s="2"/>
      <c r="K110" s="2"/>
    </row>
    <row r="111" ht="15" customHeight="1">
      <c r="A111" s="97" t="s">
        <v>753</v>
      </c>
      <c r="B111" s="99">
        <v>0.3</v>
      </c>
      <c r="C111" s="2"/>
      <c r="D111" s="2"/>
      <c r="E111" s="2"/>
      <c r="F111" s="2"/>
      <c r="G111" s="2"/>
      <c r="H111" s="2"/>
      <c r="I111" s="2"/>
      <c r="J111" s="2"/>
      <c r="K111" s="2" t="s">
        <v>754</v>
      </c>
    </row>
    <row r="112" ht="15" customHeight="1">
      <c r="A112" s="2" t="s">
        <v>755</v>
      </c>
      <c r="B112" s="87" t="s">
        <v>43</v>
      </c>
      <c r="C112" s="2"/>
      <c r="D112" s="2"/>
      <c r="E112" s="2"/>
      <c r="F112" s="2"/>
      <c r="G112" s="2"/>
      <c r="H112" s="2"/>
      <c r="I112" s="2"/>
      <c r="J112" s="2"/>
      <c r="K112" s="2"/>
    </row>
    <row r="113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ht="15" customHeight="1">
      <c r="A114" s="3" t="s">
        <v>756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ht="15" customHeight="1">
      <c r="A115" s="2" t="s">
        <v>757</v>
      </c>
      <c r="B115" s="100">
        <v>7.1647</v>
      </c>
      <c r="C115" s="2"/>
      <c r="D115" s="2"/>
      <c r="E115" s="2"/>
      <c r="F115" s="2"/>
      <c r="G115" s="2"/>
      <c r="H115" s="2"/>
      <c r="I115" s="2"/>
      <c r="J115" s="2"/>
      <c r="K115" s="2"/>
    </row>
    <row r="116" ht="15" customHeight="1">
      <c r="A116" s="2" t="s">
        <v>758</v>
      </c>
      <c r="B116" s="100">
        <v>7.121</v>
      </c>
      <c r="C116" s="2"/>
      <c r="D116" s="2"/>
      <c r="E116" s="2"/>
      <c r="F116" s="2"/>
      <c r="G116" s="2"/>
      <c r="H116" s="2"/>
      <c r="I116" s="2"/>
      <c r="J116" s="2"/>
      <c r="K116" s="2"/>
    </row>
    <row r="117" ht="15" customHeight="1">
      <c r="A117" s="2" t="s">
        <v>759</v>
      </c>
      <c r="B117" s="100">
        <v>6.9879</v>
      </c>
      <c r="C117" s="2"/>
      <c r="D117" s="2"/>
      <c r="E117" s="2"/>
      <c r="F117" s="2"/>
      <c r="G117" s="2"/>
      <c r="H117" s="2"/>
      <c r="I117" s="2"/>
      <c r="J117" s="2"/>
      <c r="K117" s="2"/>
    </row>
    <row r="118" ht="15" customHeight="1">
      <c r="A118" s="2" t="s">
        <v>760</v>
      </c>
      <c r="B118" s="100">
        <v>6.8881</v>
      </c>
      <c r="C118" s="2"/>
      <c r="D118" s="2"/>
      <c r="E118" s="2"/>
      <c r="F118" s="2"/>
      <c r="G118" s="2"/>
      <c r="H118" s="2"/>
      <c r="I118" s="2"/>
      <c r="J118" s="2"/>
      <c r="K118" s="2"/>
    </row>
    <row r="119" ht="15" customHeight="1">
      <c r="A119" s="2" t="s">
        <v>761</v>
      </c>
      <c r="B119" s="100">
        <v>6.788</v>
      </c>
      <c r="C119" s="2"/>
      <c r="D119" s="2"/>
      <c r="E119" s="2"/>
      <c r="F119" s="2"/>
      <c r="G119" s="2"/>
      <c r="H119" s="2"/>
      <c r="I119" s="2"/>
      <c r="J119" s="2"/>
      <c r="K119" s="2"/>
    </row>
    <row r="120" ht="15" customHeight="1">
      <c r="A120" s="2" t="s">
        <v>762</v>
      </c>
      <c r="B120" s="100">
        <v>6.703</v>
      </c>
      <c r="C120" s="2"/>
      <c r="D120" s="2"/>
      <c r="E120" s="2"/>
      <c r="F120" s="2"/>
      <c r="G120" s="2"/>
      <c r="H120" s="2"/>
      <c r="I120" s="2"/>
      <c r="J120" s="2"/>
      <c r="K120" s="2"/>
    </row>
    <row r="121" ht="15" customHeight="1">
      <c r="A121" s="2" t="s">
        <v>763</v>
      </c>
      <c r="B121" s="45">
        <v>58558.86</v>
      </c>
      <c r="C121" s="2"/>
      <c r="D121" s="2"/>
      <c r="E121" s="2"/>
      <c r="F121" s="2"/>
      <c r="G121" s="2"/>
      <c r="H121" s="2"/>
      <c r="I121" s="2"/>
      <c r="J121" s="2"/>
      <c r="K121" s="2"/>
    </row>
    <row r="122" ht="15" customHeight="1">
      <c r="A122" s="2" t="s">
        <v>764</v>
      </c>
      <c r="B122" s="45">
        <v>83553.85</v>
      </c>
      <c r="C122" s="2"/>
      <c r="D122" s="2"/>
      <c r="E122" s="2"/>
      <c r="F122" s="2"/>
      <c r="G122" s="2"/>
      <c r="H122" s="2"/>
      <c r="I122" s="2"/>
      <c r="J122" s="2"/>
      <c r="K122" s="2"/>
    </row>
    <row r="123" ht="15" customHeight="1">
      <c r="A123" s="2" t="s">
        <v>765</v>
      </c>
      <c r="B123" s="74">
        <v>170.86</v>
      </c>
      <c r="C123" s="2"/>
      <c r="D123" s="2"/>
      <c r="E123" s="2"/>
      <c r="F123" s="2"/>
      <c r="G123" s="2"/>
      <c r="H123" s="2"/>
      <c r="I123" s="2"/>
      <c r="J123" s="2"/>
      <c r="K123" s="2"/>
    </row>
    <row r="124" ht="15" customHeight="1">
      <c r="A124" s="2" t="s">
        <v>766</v>
      </c>
      <c r="B124" s="74">
        <v>150.86</v>
      </c>
      <c r="C124" s="2"/>
      <c r="D124" s="2"/>
      <c r="E124" s="2"/>
      <c r="F124" s="2"/>
      <c r="G124" s="2"/>
      <c r="H124" s="2"/>
      <c r="I124" s="2"/>
      <c r="J124" s="2"/>
      <c r="K124" s="2"/>
    </row>
    <row r="125" ht="15" customHeight="1">
      <c r="A125" s="2" t="s">
        <v>767</v>
      </c>
      <c r="B125" s="40">
        <v>2002</v>
      </c>
      <c r="C125" s="2"/>
      <c r="D125" s="2"/>
      <c r="E125" s="2"/>
      <c r="F125" s="2"/>
      <c r="G125" s="2"/>
      <c r="H125" s="2"/>
      <c r="I125" s="2"/>
      <c r="J125" s="2"/>
      <c r="K125" s="2"/>
    </row>
    <row r="126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ht="15" customHeight="1">
      <c r="A127" s="3" t="s">
        <v>768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ht="33" customHeight="1">
      <c r="A128" s="91" t="s">
        <v>439</v>
      </c>
      <c r="B128" s="92" t="s">
        <v>769</v>
      </c>
      <c r="C128" s="92" t="s">
        <v>770</v>
      </c>
      <c r="D128" s="92" t="s">
        <v>771</v>
      </c>
      <c r="E128" s="92"/>
      <c r="F128" s="92"/>
      <c r="G128" s="92"/>
      <c r="H128" s="92"/>
      <c r="I128" s="92"/>
      <c r="J128" s="92"/>
      <c r="K128" s="92"/>
    </row>
    <row r="129" ht="15" customHeight="1">
      <c r="A129" s="2" t="s">
        <v>772</v>
      </c>
      <c r="B129" s="74">
        <v>0.44</v>
      </c>
      <c r="C129" s="40">
        <v>27800</v>
      </c>
      <c r="D129" s="86">
        <v>46308</v>
      </c>
      <c r="E129" s="2"/>
      <c r="F129" s="2"/>
      <c r="G129" s="2"/>
      <c r="H129" s="2"/>
      <c r="I129" s="2"/>
      <c r="J129" s="2"/>
      <c r="K129" s="2"/>
    </row>
    <row r="130" ht="15" customHeight="1">
      <c r="A130" s="2" t="s">
        <v>773</v>
      </c>
      <c r="B130" s="74">
        <v>0.38</v>
      </c>
      <c r="C130" s="2"/>
      <c r="D130" s="86">
        <v>46308</v>
      </c>
      <c r="E130" s="2"/>
      <c r="F130" s="2"/>
      <c r="G130" s="2"/>
      <c r="H130" s="2"/>
      <c r="I130" s="2"/>
      <c r="J130" s="2"/>
      <c r="K130" s="2"/>
    </row>
    <row r="131" ht="15" customHeight="1">
      <c r="A131" s="2" t="s">
        <v>774</v>
      </c>
      <c r="B131" s="74">
        <v>0.44</v>
      </c>
      <c r="C131" s="40">
        <v>28040</v>
      </c>
      <c r="D131" s="86">
        <v>46310</v>
      </c>
      <c r="E131" s="2"/>
      <c r="F131" s="2"/>
      <c r="G131" s="2"/>
      <c r="H131" s="2"/>
      <c r="I131" s="2"/>
      <c r="J131" s="2"/>
      <c r="K131" s="2"/>
    </row>
    <row r="132" ht="15" customHeight="1">
      <c r="A132" s="2" t="s">
        <v>775</v>
      </c>
      <c r="B132" s="2"/>
      <c r="C132" s="2"/>
      <c r="D132" s="86">
        <v>46294</v>
      </c>
      <c r="E132" s="2"/>
      <c r="F132" s="2"/>
      <c r="G132" s="2"/>
      <c r="H132" s="2"/>
      <c r="I132" s="2"/>
      <c r="J132" s="2"/>
      <c r="K132" s="2"/>
    </row>
    <row r="133" ht="15" customHeight="1">
      <c r="A133" s="2" t="s">
        <v>776</v>
      </c>
      <c r="B133" s="45">
        <v>461974</v>
      </c>
      <c r="C133" s="2"/>
      <c r="D133" s="2"/>
      <c r="E133" s="2"/>
      <c r="F133" s="2"/>
      <c r="G133" s="2"/>
      <c r="H133" s="2"/>
      <c r="I133" s="2"/>
      <c r="J133" s="2"/>
      <c r="K133" s="2"/>
    </row>
    <row r="134" ht="15" customHeight="1">
      <c r="A134" s="2" t="s">
        <v>777</v>
      </c>
      <c r="B134" s="40">
        <v>15.9</v>
      </c>
      <c r="C134" s="2"/>
      <c r="D134" s="2"/>
      <c r="E134" s="2"/>
      <c r="F134" s="2"/>
      <c r="G134" s="2"/>
      <c r="H134" s="2"/>
      <c r="I134" s="2"/>
      <c r="J134" s="2"/>
      <c r="K134" s="2"/>
    </row>
    <row r="135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ht="15" customHeight="1">
      <c r="A136" s="3" t="s">
        <v>778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ht="33" customHeight="1">
      <c r="A137" s="91" t="s">
        <v>779</v>
      </c>
      <c r="B137" s="92" t="s">
        <v>780</v>
      </c>
      <c r="C137" s="92" t="s">
        <v>781</v>
      </c>
      <c r="D137" s="92" t="s">
        <v>782</v>
      </c>
      <c r="E137" s="92"/>
      <c r="F137" s="92"/>
      <c r="G137" s="92"/>
      <c r="H137" s="92"/>
      <c r="I137" s="92"/>
      <c r="J137" s="92"/>
      <c r="K137" s="92"/>
    </row>
    <row r="138" ht="15" customHeight="1">
      <c r="A138" s="2" t="s">
        <v>783</v>
      </c>
      <c r="B138" s="40">
        <v>12270</v>
      </c>
      <c r="C138" s="40">
        <v>8548</v>
      </c>
      <c r="D138" s="14">
        <f t="shared" si="3" ref="D138:D151">B138-C138</f>
        <v>3722</v>
      </c>
      <c r="E138" s="2"/>
      <c r="F138" s="2"/>
      <c r="G138" s="2"/>
      <c r="H138" s="2"/>
      <c r="I138" s="2"/>
      <c r="J138" s="2"/>
      <c r="K138" s="2"/>
    </row>
    <row r="139" ht="15" customHeight="1">
      <c r="A139" s="2" t="s">
        <v>784</v>
      </c>
      <c r="B139" s="40">
        <v>501</v>
      </c>
      <c r="C139" s="40">
        <v>386</v>
      </c>
      <c r="D139" s="14">
        <f t="shared" si="3"/>
        <v>115</v>
      </c>
      <c r="E139" s="2"/>
      <c r="F139" s="2"/>
      <c r="G139" s="2"/>
      <c r="H139" s="2"/>
      <c r="I139" s="2"/>
      <c r="J139" s="2"/>
      <c r="K139" s="2"/>
    </row>
    <row r="140" ht="15" customHeight="1">
      <c r="A140" s="2" t="s">
        <v>785</v>
      </c>
      <c r="B140" s="40">
        <v>47627</v>
      </c>
      <c r="C140" s="40">
        <v>36740</v>
      </c>
      <c r="D140" s="14">
        <f t="shared" si="3"/>
        <v>10887</v>
      </c>
      <c r="E140" s="2"/>
      <c r="F140" s="2"/>
      <c r="G140" s="2"/>
      <c r="H140" s="2"/>
      <c r="I140" s="2"/>
      <c r="J140" s="2"/>
      <c r="K140" s="2"/>
    </row>
    <row r="141" ht="15" customHeight="1">
      <c r="A141" s="2" t="s">
        <v>786</v>
      </c>
      <c r="B141" s="40">
        <v>20962</v>
      </c>
      <c r="C141" s="40">
        <v>14261</v>
      </c>
      <c r="D141" s="14">
        <f t="shared" si="3"/>
        <v>6701</v>
      </c>
      <c r="E141" s="2"/>
      <c r="F141" s="2"/>
      <c r="G141" s="2"/>
      <c r="H141" s="2"/>
      <c r="I141" s="2"/>
      <c r="J141" s="2"/>
      <c r="K141" s="2"/>
    </row>
    <row r="142" ht="15" customHeight="1">
      <c r="A142" s="2" t="s">
        <v>787</v>
      </c>
      <c r="B142" s="40">
        <v>26238</v>
      </c>
      <c r="C142" s="40">
        <v>18925</v>
      </c>
      <c r="D142" s="14">
        <f t="shared" si="3"/>
        <v>7313</v>
      </c>
      <c r="E142" s="2"/>
      <c r="F142" s="2"/>
      <c r="G142" s="2"/>
      <c r="H142" s="2"/>
      <c r="I142" s="2"/>
      <c r="J142" s="2"/>
      <c r="K142" s="2"/>
    </row>
    <row r="143" ht="15" customHeight="1">
      <c r="A143" s="2" t="s">
        <v>788</v>
      </c>
      <c r="B143" s="40">
        <v>82056</v>
      </c>
      <c r="C143" s="40">
        <v>60992</v>
      </c>
      <c r="D143" s="14">
        <f t="shared" si="3"/>
        <v>21064</v>
      </c>
      <c r="E143" s="2"/>
      <c r="F143" s="2"/>
      <c r="G143" s="2"/>
      <c r="H143" s="2"/>
      <c r="I143" s="2"/>
      <c r="J143" s="2"/>
      <c r="K143" s="2"/>
    </row>
    <row r="144" ht="15" customHeight="1">
      <c r="A144" s="2" t="s">
        <v>789</v>
      </c>
      <c r="B144" s="40">
        <v>68764</v>
      </c>
      <c r="C144" s="40">
        <v>51611</v>
      </c>
      <c r="D144" s="14">
        <f t="shared" si="3"/>
        <v>17153</v>
      </c>
      <c r="E144" s="2"/>
      <c r="F144" s="2"/>
      <c r="G144" s="2"/>
      <c r="H144" s="2"/>
      <c r="I144" s="2"/>
      <c r="J144" s="2"/>
      <c r="K144" s="2"/>
    </row>
    <row r="145" ht="15" customHeight="1">
      <c r="A145" s="2" t="s">
        <v>790</v>
      </c>
      <c r="B145" s="40">
        <v>9564</v>
      </c>
      <c r="C145" s="40">
        <v>6616</v>
      </c>
      <c r="D145" s="14">
        <f t="shared" si="3"/>
        <v>2948</v>
      </c>
      <c r="E145" s="2"/>
      <c r="F145" s="2"/>
      <c r="G145" s="2"/>
      <c r="H145" s="2"/>
      <c r="I145" s="2"/>
      <c r="J145" s="2"/>
      <c r="K145" s="2"/>
    </row>
    <row r="146" ht="15" customHeight="1">
      <c r="A146" s="2" t="s">
        <v>791</v>
      </c>
      <c r="B146" s="40">
        <v>522</v>
      </c>
      <c r="C146" s="40">
        <v>409</v>
      </c>
      <c r="D146" s="14">
        <f t="shared" si="3"/>
        <v>113</v>
      </c>
      <c r="E146" s="2"/>
      <c r="F146" s="2"/>
      <c r="G146" s="2"/>
      <c r="H146" s="2"/>
      <c r="I146" s="2"/>
      <c r="J146" s="2"/>
      <c r="K146" s="2"/>
    </row>
    <row r="147" ht="15" customHeight="1">
      <c r="A147" s="2" t="s">
        <v>792</v>
      </c>
      <c r="B147" s="40">
        <v>47725</v>
      </c>
      <c r="C147" s="40">
        <v>35602</v>
      </c>
      <c r="D147" s="14">
        <f t="shared" si="3"/>
        <v>12123</v>
      </c>
      <c r="E147" s="2"/>
      <c r="F147" s="2"/>
      <c r="G147" s="2"/>
      <c r="H147" s="2"/>
      <c r="I147" s="2"/>
      <c r="J147" s="2"/>
      <c r="K147" s="2"/>
    </row>
    <row r="148" ht="15" customHeight="1">
      <c r="A148" s="2" t="s">
        <v>793</v>
      </c>
      <c r="B148" s="40">
        <v>20944</v>
      </c>
      <c r="C148" s="40">
        <v>14893</v>
      </c>
      <c r="D148" s="14">
        <f t="shared" si="3"/>
        <v>6051</v>
      </c>
      <c r="E148" s="2"/>
      <c r="F148" s="2"/>
      <c r="G148" s="2"/>
      <c r="H148" s="2"/>
      <c r="I148" s="2"/>
      <c r="J148" s="2"/>
      <c r="K148" s="2"/>
    </row>
    <row r="149" ht="15" customHeight="1">
      <c r="A149" s="2" t="s">
        <v>794</v>
      </c>
      <c r="B149" s="40">
        <v>29021</v>
      </c>
      <c r="C149" s="40">
        <v>21488</v>
      </c>
      <c r="D149" s="14">
        <f t="shared" si="3"/>
        <v>7533</v>
      </c>
      <c r="E149" s="2"/>
      <c r="F149" s="2"/>
      <c r="G149" s="2"/>
      <c r="H149" s="2"/>
      <c r="I149" s="2"/>
      <c r="J149" s="2"/>
      <c r="K149" s="2"/>
    </row>
    <row r="150" ht="15" customHeight="1">
      <c r="A150" s="2" t="s">
        <v>795</v>
      </c>
      <c r="B150" s="40">
        <v>87604</v>
      </c>
      <c r="C150" s="40">
        <v>64958</v>
      </c>
      <c r="D150" s="14">
        <f t="shared" si="3"/>
        <v>22646</v>
      </c>
      <c r="E150" s="2"/>
      <c r="F150" s="2"/>
      <c r="G150" s="2"/>
      <c r="H150" s="2"/>
      <c r="I150" s="2"/>
      <c r="J150" s="2"/>
      <c r="K150" s="2"/>
    </row>
    <row r="151" ht="15" customHeight="1">
      <c r="A151" s="2" t="s">
        <v>796</v>
      </c>
      <c r="B151" s="40">
        <v>72794</v>
      </c>
      <c r="C151" s="40">
        <v>53555</v>
      </c>
      <c r="D151" s="14">
        <f t="shared" si="3"/>
        <v>19239</v>
      </c>
      <c r="E151" s="2"/>
      <c r="F151" s="2"/>
      <c r="G151" s="2"/>
      <c r="H151" s="2"/>
      <c r="I151" s="2"/>
      <c r="J151" s="2"/>
      <c r="K151" s="2"/>
    </row>
    <row r="152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ht="15" customHeight="1">
      <c r="A153" s="3" t="s">
        <v>797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ht="33" customHeight="1">
      <c r="A154" s="91" t="s">
        <v>779</v>
      </c>
      <c r="B154" s="92" t="s">
        <v>587</v>
      </c>
      <c r="C154" s="92" t="s">
        <v>588</v>
      </c>
      <c r="D154" s="92" t="s">
        <v>589</v>
      </c>
      <c r="E154" s="92" t="s">
        <v>590</v>
      </c>
      <c r="F154" s="92" t="s">
        <v>591</v>
      </c>
      <c r="G154" s="91" t="s">
        <v>798</v>
      </c>
      <c r="H154" s="92"/>
      <c r="I154" s="92"/>
      <c r="J154" s="92"/>
      <c r="K154" s="92"/>
    </row>
    <row r="155" ht="15" customHeight="1">
      <c r="A155" s="29" t="s">
        <v>59</v>
      </c>
      <c r="B155" s="14">
        <f t="shared" si="4" ref="B155:F155">_xlfn.IFERROR(B201,"n/a")</f>
        <v>22806</v>
      </c>
      <c r="C155" s="14">
        <f t="shared" si="4"/>
        <v>22646</v>
      </c>
      <c r="D155" s="14">
        <f t="shared" si="4"/>
        <v>16605</v>
      </c>
      <c r="E155" s="14">
        <f t="shared" si="4"/>
        <v>19707</v>
      </c>
      <c r="F155" s="14">
        <f t="shared" si="4"/>
        <v>87604</v>
      </c>
      <c r="G155" s="2" t="s">
        <v>799</v>
      </c>
      <c r="H155" s="2"/>
      <c r="I155" s="2"/>
      <c r="J155" s="2"/>
      <c r="K155" s="2"/>
    </row>
    <row r="156" ht="15" customHeight="1">
      <c r="A156" s="29" t="s">
        <v>63</v>
      </c>
      <c r="B156" s="14">
        <f t="shared" si="5" ref="B156:F156">_xlfn.IFERROR(B226,"n/a")</f>
        <v>2376</v>
      </c>
      <c r="C156" s="14">
        <f t="shared" si="5"/>
        <v>3061</v>
      </c>
      <c r="D156" s="14">
        <f t="shared" si="5"/>
        <v>2730</v>
      </c>
      <c r="E156" s="14">
        <f t="shared" si="5"/>
        <v>2789</v>
      </c>
      <c r="F156" s="14">
        <f t="shared" si="5"/>
        <v>10086</v>
      </c>
      <c r="G156" s="2" t="s">
        <v>799</v>
      </c>
      <c r="H156" s="2"/>
      <c r="I156" s="2"/>
      <c r="J156" s="2"/>
      <c r="K156" s="2"/>
    </row>
    <row r="157" ht="15" customHeight="1">
      <c r="A157" s="3" t="s">
        <v>64</v>
      </c>
      <c r="B157" s="34">
        <f t="shared" si="6" ref="B157:F240">_xlfn.IFERROR(B155+B156,"n/a")</f>
        <v>25182</v>
      </c>
      <c r="C157" s="34">
        <f t="shared" si="6"/>
        <v>25707</v>
      </c>
      <c r="D157" s="34">
        <f t="shared" si="6"/>
        <v>19335</v>
      </c>
      <c r="E157" s="34">
        <f t="shared" si="6"/>
        <v>22496</v>
      </c>
      <c r="F157" s="34">
        <f t="shared" si="6"/>
        <v>97690</v>
      </c>
      <c r="G157" s="2" t="s">
        <v>799</v>
      </c>
      <c r="H157" s="2"/>
      <c r="I157" s="2"/>
      <c r="J157" s="2"/>
      <c r="K157" s="2"/>
    </row>
    <row r="158" ht="15" customHeight="1">
      <c r="A158" s="29" t="s">
        <v>78</v>
      </c>
      <c r="B158" s="14">
        <f t="shared" si="7" ref="B158:F159">_xlfn.IFERROR(B194,"n/a")</f>
        <v>18831</v>
      </c>
      <c r="C158" s="14">
        <f t="shared" si="7"/>
        <v>18659</v>
      </c>
      <c r="D158" s="14">
        <f t="shared" si="7"/>
        <v>12925</v>
      </c>
      <c r="E158" s="14">
        <f t="shared" si="7"/>
        <v>15787</v>
      </c>
      <c r="F158" s="14">
        <f t="shared" si="7"/>
        <v>72480</v>
      </c>
      <c r="G158" s="2" t="s">
        <v>799</v>
      </c>
      <c r="H158" s="2"/>
      <c r="I158" s="2"/>
      <c r="J158" s="2"/>
      <c r="K158" s="2"/>
    </row>
    <row r="159" ht="15" customHeight="1">
      <c r="A159" s="29" t="s">
        <v>79</v>
      </c>
      <c r="B159" s="14">
        <f t="shared" si="7"/>
        <v>739</v>
      </c>
      <c r="C159" s="14">
        <f t="shared" si="7"/>
        <v>692</v>
      </c>
      <c r="D159" s="14">
        <f t="shared" si="7"/>
        <v>595</v>
      </c>
      <c r="E159" s="14">
        <f t="shared" si="7"/>
        <v>439</v>
      </c>
      <c r="F159" s="14">
        <f t="shared" si="7"/>
        <v>2763</v>
      </c>
      <c r="G159" s="2" t="s">
        <v>799</v>
      </c>
      <c r="H159" s="2"/>
      <c r="I159" s="2"/>
      <c r="J159" s="2"/>
      <c r="K159" s="2"/>
    </row>
    <row r="160" ht="15" customHeight="1">
      <c r="A160" s="29" t="s">
        <v>80</v>
      </c>
      <c r="B160" s="14">
        <f t="shared" si="8" ref="B160:F160">_xlfn.IFERROR(B197,"n/a")</f>
        <v>446</v>
      </c>
      <c r="C160" s="14">
        <f t="shared" si="8"/>
        <v>447</v>
      </c>
      <c r="D160" s="14">
        <f t="shared" si="8"/>
        <v>447</v>
      </c>
      <c r="E160" s="14">
        <f t="shared" si="8"/>
        <v>435</v>
      </c>
      <c r="F160" s="14">
        <f t="shared" si="8"/>
        <v>1827</v>
      </c>
      <c r="G160" s="2" t="s">
        <v>799</v>
      </c>
      <c r="H160" s="2"/>
      <c r="I160" s="2"/>
      <c r="J160" s="2"/>
      <c r="K160" s="2"/>
    </row>
    <row r="161" ht="15" customHeight="1">
      <c r="A161" s="29" t="s">
        <v>81</v>
      </c>
      <c r="B161" s="14">
        <f t="shared" si="9" ref="B161:F161">_xlfn.IFERROR(B200,"n/a")</f>
        <v>2790</v>
      </c>
      <c r="C161" s="14">
        <f t="shared" si="9"/>
        <v>2848</v>
      </c>
      <c r="D161" s="14">
        <f t="shared" si="9"/>
        <v>2638</v>
      </c>
      <c r="E161" s="14">
        <f t="shared" si="9"/>
        <v>3046</v>
      </c>
      <c r="F161" s="14">
        <f t="shared" si="9"/>
        <v>10534</v>
      </c>
      <c r="G161" s="2" t="s">
        <v>799</v>
      </c>
      <c r="H161" s="2"/>
      <c r="I161" s="2"/>
      <c r="J161" s="2"/>
      <c r="K161" s="2"/>
    </row>
    <row r="162" ht="15" customHeight="1">
      <c r="A162" s="29" t="s">
        <v>82</v>
      </c>
      <c r="B162" s="14">
        <f t="shared" si="10" ref="B162:F163">_xlfn.IFERROR(B224,"n/a")</f>
        <v>2228</v>
      </c>
      <c r="C162" s="14">
        <f t="shared" si="10"/>
        <v>2948</v>
      </c>
      <c r="D162" s="14">
        <f t="shared" si="10"/>
        <v>2621</v>
      </c>
      <c r="E162" s="14">
        <f t="shared" si="10"/>
        <v>2646</v>
      </c>
      <c r="F162" s="14">
        <f t="shared" si="10"/>
        <v>9564</v>
      </c>
      <c r="G162" s="2" t="s">
        <v>799</v>
      </c>
      <c r="H162" s="2"/>
      <c r="I162" s="2"/>
      <c r="J162" s="2"/>
      <c r="K162" s="2"/>
    </row>
    <row r="163" ht="15" customHeight="1">
      <c r="A163" s="29" t="s">
        <v>83</v>
      </c>
      <c r="B163" s="14">
        <f t="shared" si="10"/>
        <v>148</v>
      </c>
      <c r="C163" s="14">
        <f t="shared" si="10"/>
        <v>113</v>
      </c>
      <c r="D163" s="14">
        <f t="shared" si="10"/>
        <v>109</v>
      </c>
      <c r="E163" s="14">
        <f t="shared" si="10"/>
        <v>143</v>
      </c>
      <c r="F163" s="14">
        <f t="shared" si="10"/>
        <v>522</v>
      </c>
      <c r="G163" s="2" t="s">
        <v>799</v>
      </c>
      <c r="H163" s="2"/>
      <c r="I163" s="2"/>
      <c r="J163" s="2"/>
      <c r="K163" s="2"/>
    </row>
    <row r="164" ht="15" customHeight="1">
      <c r="A164" s="3" t="s">
        <v>84</v>
      </c>
      <c r="B164" s="34">
        <f t="shared" si="11" ref="B164:F164">_xlfn.IFERROR(B158+B159+B160+B161+B162+B163,"n/a")</f>
        <v>25182</v>
      </c>
      <c r="C164" s="34">
        <f t="shared" si="11"/>
        <v>25707</v>
      </c>
      <c r="D164" s="34">
        <f t="shared" si="11"/>
        <v>19335</v>
      </c>
      <c r="E164" s="34">
        <f t="shared" si="11"/>
        <v>22496</v>
      </c>
      <c r="F164" s="34">
        <f t="shared" si="11"/>
        <v>97690</v>
      </c>
      <c r="G164" s="2" t="s">
        <v>799</v>
      </c>
      <c r="H164" s="2"/>
      <c r="I164" s="2"/>
      <c r="J164" s="2"/>
      <c r="K164" s="2"/>
    </row>
    <row r="165" ht="15" customHeight="1">
      <c r="A165" s="29" t="s">
        <v>90</v>
      </c>
      <c r="B165" s="45">
        <v>443668</v>
      </c>
      <c r="C165" s="45">
        <v>436718</v>
      </c>
      <c r="D165" s="45">
        <v>345454</v>
      </c>
      <c r="E165" s="45">
        <v>396835</v>
      </c>
      <c r="F165" s="45">
        <v>1679338</v>
      </c>
      <c r="G165" s="2" t="s">
        <v>800</v>
      </c>
      <c r="H165" s="2"/>
      <c r="I165" s="2"/>
      <c r="J165" s="2"/>
      <c r="K165" s="2"/>
    </row>
    <row r="166" ht="15" customHeight="1">
      <c r="A166" s="29" t="s">
        <v>91</v>
      </c>
      <c r="B166" s="45">
        <v>26128</v>
      </c>
      <c r="C166" s="45">
        <v>22727</v>
      </c>
      <c r="D166" s="45">
        <v>17161</v>
      </c>
      <c r="E166" s="45">
        <v>13409</v>
      </c>
      <c r="F166" s="45">
        <v>94105</v>
      </c>
      <c r="G166" s="2" t="s">
        <v>800</v>
      </c>
      <c r="H166" s="2"/>
      <c r="I166" s="2"/>
      <c r="J166" s="2"/>
      <c r="K166" s="2"/>
    </row>
    <row r="167" ht="15" customHeight="1">
      <c r="A167" s="3" t="s">
        <v>92</v>
      </c>
      <c r="B167" s="49">
        <f t="shared" si="6"/>
        <v>469796</v>
      </c>
      <c r="C167" s="49">
        <f t="shared" si="6"/>
        <v>459445</v>
      </c>
      <c r="D167" s="49">
        <f t="shared" si="6"/>
        <v>362615</v>
      </c>
      <c r="E167" s="49">
        <f t="shared" si="6"/>
        <v>410244</v>
      </c>
      <c r="F167" s="49">
        <f t="shared" si="6"/>
        <v>1773443</v>
      </c>
      <c r="G167" s="2" t="s">
        <v>800</v>
      </c>
      <c r="H167" s="2"/>
      <c r="I167" s="2"/>
      <c r="J167" s="2"/>
      <c r="K167" s="2"/>
    </row>
    <row r="168" ht="15" customHeight="1">
      <c r="A168" s="29" t="s">
        <v>94</v>
      </c>
      <c r="B168" s="45">
        <v>439975</v>
      </c>
      <c r="C168" s="45">
        <v>471930</v>
      </c>
      <c r="D168" s="45">
        <v>323800</v>
      </c>
      <c r="E168" s="45">
        <v>373728</v>
      </c>
      <c r="F168" s="45">
        <v>1704093</v>
      </c>
      <c r="G168" s="2" t="s">
        <v>800</v>
      </c>
      <c r="H168" s="2"/>
      <c r="I168" s="2"/>
      <c r="J168" s="2"/>
      <c r="K168" s="2"/>
    </row>
    <row r="169" ht="15" customHeight="1">
      <c r="A169" s="29" t="s">
        <v>95</v>
      </c>
      <c r="B169" s="45">
        <v>22915</v>
      </c>
      <c r="C169" s="45">
        <v>23640</v>
      </c>
      <c r="D169" s="45">
        <v>12881</v>
      </c>
      <c r="E169" s="45">
        <v>10394</v>
      </c>
      <c r="F169" s="45">
        <v>85133</v>
      </c>
      <c r="G169" s="2" t="s">
        <v>800</v>
      </c>
      <c r="H169" s="2"/>
      <c r="I169" s="2"/>
      <c r="J169" s="2"/>
      <c r="K169" s="2"/>
    </row>
    <row r="170" ht="15" customHeight="1">
      <c r="A170" s="3" t="s">
        <v>96</v>
      </c>
      <c r="B170" s="49">
        <f t="shared" si="6"/>
        <v>462890</v>
      </c>
      <c r="C170" s="49">
        <f t="shared" si="6"/>
        <v>495570</v>
      </c>
      <c r="D170" s="49">
        <f t="shared" si="6"/>
        <v>336681</v>
      </c>
      <c r="E170" s="49">
        <f t="shared" si="6"/>
        <v>384122</v>
      </c>
      <c r="F170" s="49">
        <f t="shared" si="6"/>
        <v>1789226</v>
      </c>
      <c r="G170" s="2" t="s">
        <v>800</v>
      </c>
      <c r="H170" s="2"/>
      <c r="I170" s="2"/>
      <c r="J170" s="2"/>
      <c r="K170" s="2"/>
    </row>
    <row r="171" ht="15" customHeight="1">
      <c r="A171" s="23" t="s">
        <v>97</v>
      </c>
      <c r="B171" s="15">
        <f t="shared" si="12" ref="B171:F342">_xlfn.IFERROR(B169/B170,"n/a")</f>
        <v>0.049504201862213486</v>
      </c>
      <c r="C171" s="15">
        <f t="shared" si="12"/>
        <v>0.04770264543858587</v>
      </c>
      <c r="D171" s="15">
        <f t="shared" si="12"/>
        <v>0.038258767201000354</v>
      </c>
      <c r="E171" s="15">
        <f t="shared" si="12"/>
        <v>0.027059111428140017</v>
      </c>
      <c r="F171" s="15">
        <f t="shared" si="12"/>
        <v>0.04758090928703249</v>
      </c>
      <c r="G171" s="2" t="s">
        <v>800</v>
      </c>
      <c r="H171" s="2"/>
      <c r="I171" s="2"/>
      <c r="J171" s="2"/>
      <c r="K171" s="2"/>
    </row>
    <row r="172" ht="15" customHeight="1">
      <c r="A172" s="29" t="s">
        <v>98</v>
      </c>
      <c r="B172" s="51">
        <f t="shared" si="13" ref="B172:F172">_xlfn.IFERROR(B167-B170,"n/a")</f>
        <v>6906</v>
      </c>
      <c r="C172" s="51">
        <f t="shared" si="13"/>
        <v>-36125</v>
      </c>
      <c r="D172" s="51">
        <f t="shared" si="13"/>
        <v>25934</v>
      </c>
      <c r="E172" s="51">
        <f t="shared" si="13"/>
        <v>26122</v>
      </c>
      <c r="F172" s="51">
        <f t="shared" si="13"/>
        <v>-15783</v>
      </c>
      <c r="G172" s="2" t="s">
        <v>800</v>
      </c>
      <c r="H172" s="2"/>
      <c r="I172" s="2"/>
      <c r="J172" s="2"/>
      <c r="K172" s="2"/>
    </row>
    <row r="173" ht="15" customHeight="1">
      <c r="A173" s="29" t="s">
        <v>99</v>
      </c>
      <c r="B173" s="45">
        <v>19</v>
      </c>
      <c r="C173" s="45">
        <v>12</v>
      </c>
      <c r="D173" s="45">
        <v>22</v>
      </c>
      <c r="E173" s="45">
        <v>24</v>
      </c>
      <c r="F173" s="51"/>
      <c r="G173" s="2" t="s">
        <v>800</v>
      </c>
      <c r="H173" s="2"/>
      <c r="I173" s="2"/>
      <c r="J173" s="2"/>
      <c r="K173" s="2"/>
    </row>
    <row r="174" ht="15" customHeight="1">
      <c r="A174" s="29" t="s">
        <v>105</v>
      </c>
      <c r="B174" s="45">
        <v>14449</v>
      </c>
      <c r="C174" s="45">
        <v>26962</v>
      </c>
      <c r="D174" s="45">
        <v>13721</v>
      </c>
      <c r="E174" s="45">
        <v>6670</v>
      </c>
      <c r="F174" s="45">
        <v>60003</v>
      </c>
      <c r="G174" s="2" t="s">
        <v>800</v>
      </c>
      <c r="H174" s="2"/>
      <c r="I174" s="2"/>
      <c r="J174" s="2"/>
      <c r="K174" s="2"/>
    </row>
    <row r="175" ht="15" customHeight="1">
      <c r="A175" s="23" t="s">
        <v>106</v>
      </c>
      <c r="B175" s="15">
        <f t="shared" si="14" ref="B175:F175">_xlfn.IFERROR(B174/B170,"n/a")</f>
        <v>0.031214759446088702</v>
      </c>
      <c r="C175" s="15">
        <f t="shared" si="14"/>
        <v>0.054406037492180724</v>
      </c>
      <c r="D175" s="15">
        <f t="shared" si="14"/>
        <v>0.04075371048559319</v>
      </c>
      <c r="E175" s="15">
        <f t="shared" si="14"/>
        <v>0.01736427489183124</v>
      </c>
      <c r="F175" s="15">
        <f t="shared" si="14"/>
        <v>0.03353572997486064</v>
      </c>
      <c r="G175" s="2" t="s">
        <v>800</v>
      </c>
      <c r="H175" s="2"/>
      <c r="I175" s="2"/>
      <c r="J175" s="2"/>
      <c r="K175" s="2"/>
    </row>
    <row r="176" ht="15" customHeight="1">
      <c r="A176" s="3" t="s">
        <v>107</v>
      </c>
      <c r="B176" s="49">
        <f t="shared" si="15" ref="B176:F176">_xlfn.IFERROR(B170-B174,"n/a")</f>
        <v>448441</v>
      </c>
      <c r="C176" s="49">
        <f t="shared" si="15"/>
        <v>468608</v>
      </c>
      <c r="D176" s="49">
        <f t="shared" si="15"/>
        <v>322960</v>
      </c>
      <c r="E176" s="49">
        <f t="shared" si="15"/>
        <v>377452</v>
      </c>
      <c r="F176" s="49">
        <f t="shared" si="15"/>
        <v>1729223</v>
      </c>
      <c r="G176" s="2" t="s">
        <v>800</v>
      </c>
      <c r="H176" s="2"/>
      <c r="I176" s="2"/>
      <c r="J176" s="2"/>
      <c r="K176" s="2"/>
    </row>
    <row r="177" ht="15" customHeight="1">
      <c r="A177" s="29" t="s">
        <v>109</v>
      </c>
      <c r="B177" s="51" t="s">
        <v>31</v>
      </c>
      <c r="C177" s="51" t="s">
        <v>31</v>
      </c>
      <c r="D177" s="51">
        <f t="shared" si="16" ref="D177:E177">_xlfn.IFERROR(C181,"n/a")</f>
        <v>180523</v>
      </c>
      <c r="E177" s="51">
        <f t="shared" si="16"/>
        <v>179930</v>
      </c>
      <c r="F177" s="51" t="s">
        <v>31</v>
      </c>
      <c r="G177" s="2" t="s">
        <v>800</v>
      </c>
      <c r="H177" s="2"/>
      <c r="I177" s="2"/>
      <c r="J177" s="2"/>
      <c r="K177" s="2"/>
    </row>
    <row r="178" ht="15" customHeight="1">
      <c r="A178" s="29" t="s">
        <v>110</v>
      </c>
      <c r="B178" s="51">
        <f t="shared" si="17" ref="B178:F178">_xlfn.IFERROR(B174,"n/a")</f>
        <v>14449</v>
      </c>
      <c r="C178" s="51">
        <f t="shared" si="17"/>
        <v>26962</v>
      </c>
      <c r="D178" s="51">
        <f t="shared" si="17"/>
        <v>13721</v>
      </c>
      <c r="E178" s="51">
        <f t="shared" si="17"/>
        <v>6670</v>
      </c>
      <c r="F178" s="51">
        <f t="shared" si="17"/>
        <v>60003</v>
      </c>
      <c r="G178" s="2" t="s">
        <v>800</v>
      </c>
      <c r="H178" s="2"/>
      <c r="I178" s="2"/>
      <c r="J178" s="2"/>
      <c r="K178" s="2"/>
    </row>
    <row r="179" ht="15" customHeight="1">
      <c r="A179" s="29" t="s">
        <v>111</v>
      </c>
      <c r="B179" s="51" t="s">
        <v>31</v>
      </c>
      <c r="C179" s="51" t="s">
        <v>31</v>
      </c>
      <c r="D179" s="51">
        <f t="shared" si="18" ref="D179:E179">_xlfn.IFERROR(D177+D178-D181,"n/a")</f>
        <v>14314</v>
      </c>
      <c r="E179" s="51">
        <f t="shared" si="18"/>
        <v>13718</v>
      </c>
      <c r="F179" s="51" t="s">
        <v>31</v>
      </c>
      <c r="G179" s="2" t="s">
        <v>800</v>
      </c>
      <c r="H179" s="2"/>
      <c r="I179" s="2"/>
      <c r="J179" s="2"/>
      <c r="K179" s="2"/>
    </row>
    <row r="180" ht="15" customHeight="1">
      <c r="A180" s="29" t="s">
        <v>113</v>
      </c>
      <c r="B180" s="51" t="s">
        <v>31</v>
      </c>
      <c r="C180" s="51" t="s">
        <v>31</v>
      </c>
      <c r="D180" s="51">
        <f t="shared" si="19" ref="D180:E180">_xlfn.IFERROR(D178-D179,"n/a")</f>
        <v>-593</v>
      </c>
      <c r="E180" s="51">
        <f t="shared" si="19"/>
        <v>-7048</v>
      </c>
      <c r="F180" s="51" t="s">
        <v>31</v>
      </c>
      <c r="G180" s="2" t="s">
        <v>800</v>
      </c>
      <c r="H180" s="2"/>
      <c r="I180" s="2"/>
      <c r="J180" s="2"/>
      <c r="K180" s="2"/>
    </row>
    <row r="181" ht="15" customHeight="1">
      <c r="A181" s="3" t="s">
        <v>114</v>
      </c>
      <c r="B181" s="49"/>
      <c r="C181" s="53">
        <v>180523</v>
      </c>
      <c r="D181" s="53">
        <v>179930</v>
      </c>
      <c r="E181" s="53">
        <v>172882</v>
      </c>
      <c r="F181" s="49">
        <f t="shared" si="24" ref="F181:F192">C181</f>
        <v>180523</v>
      </c>
      <c r="G181" s="2" t="s">
        <v>800</v>
      </c>
      <c r="H181" s="2"/>
      <c r="I181" s="2"/>
      <c r="J181" s="2"/>
      <c r="K181" s="2"/>
    </row>
    <row r="182" ht="15" customHeight="1">
      <c r="A182" s="29" t="s">
        <v>116</v>
      </c>
      <c r="B182" s="51" t="s">
        <v>31</v>
      </c>
      <c r="C182" s="51" t="s">
        <v>31</v>
      </c>
      <c r="D182" s="51">
        <f t="shared" si="20" ref="D182:E182">_xlfn.IFERROR((D177+D181)/2,"n/a")</f>
        <v>180226.5</v>
      </c>
      <c r="E182" s="51">
        <f t="shared" si="20"/>
        <v>176406</v>
      </c>
      <c r="F182" s="51" t="s">
        <v>31</v>
      </c>
      <c r="G182" s="2" t="s">
        <v>800</v>
      </c>
      <c r="H182" s="2"/>
      <c r="I182" s="2"/>
      <c r="J182" s="2"/>
      <c r="K182" s="2"/>
    </row>
    <row r="183" ht="15" customHeight="1">
      <c r="A183" s="23" t="s">
        <v>118</v>
      </c>
      <c r="B183" s="15" t="s">
        <v>31</v>
      </c>
      <c r="C183" s="15" t="s">
        <v>31</v>
      </c>
      <c r="D183" s="15">
        <f t="shared" si="21" ref="D183:E183">_xlfn.IFERROR(D179/D177,"n/a")</f>
        <v>0.07929183538939637</v>
      </c>
      <c r="E183" s="15">
        <f t="shared" si="21"/>
        <v>0.07624076029567053</v>
      </c>
      <c r="F183" s="15" t="s">
        <v>31</v>
      </c>
      <c r="G183" s="2" t="s">
        <v>800</v>
      </c>
      <c r="H183" s="2"/>
      <c r="I183" s="2"/>
      <c r="J183" s="2"/>
      <c r="K183" s="2"/>
    </row>
    <row r="184" ht="15" customHeight="1">
      <c r="A184" s="29" t="s">
        <v>121</v>
      </c>
      <c r="B184" s="55" t="s">
        <v>31</v>
      </c>
      <c r="C184" s="55" t="s">
        <v>31</v>
      </c>
      <c r="D184" s="55">
        <f t="shared" si="22" ref="D184:E184">_xlfn.IFERROR(C186,"n/a")</f>
        <v>0.8</v>
      </c>
      <c r="E184" s="55">
        <f t="shared" si="22"/>
        <v>0.8</v>
      </c>
      <c r="F184" s="55" t="s">
        <v>31</v>
      </c>
      <c r="G184" s="2" t="s">
        <v>800</v>
      </c>
      <c r="H184" s="2"/>
      <c r="I184" s="2"/>
      <c r="J184" s="2"/>
      <c r="K184" s="2"/>
    </row>
    <row r="185" ht="15" customHeight="1">
      <c r="A185" s="29" t="s">
        <v>113</v>
      </c>
      <c r="B185" s="55" t="s">
        <v>31</v>
      </c>
      <c r="C185" s="55" t="s">
        <v>31</v>
      </c>
      <c r="D185" s="55">
        <f t="shared" si="23" ref="D185:E185">_xlfn.IFERROR(D186-D184,"n/a")</f>
        <v>0</v>
      </c>
      <c r="E185" s="55">
        <f t="shared" si="23"/>
        <v>0.1499999999999999</v>
      </c>
      <c r="F185" s="55" t="s">
        <v>31</v>
      </c>
      <c r="G185" s="2" t="s">
        <v>800</v>
      </c>
      <c r="H185" s="2"/>
      <c r="I185" s="2"/>
      <c r="J185" s="2"/>
      <c r="K185" s="2"/>
    </row>
    <row r="186" ht="15" customHeight="1">
      <c r="A186" s="3" t="s">
        <v>125</v>
      </c>
      <c r="B186" s="62"/>
      <c r="C186" s="61">
        <v>0.8</v>
      </c>
      <c r="D186" s="61">
        <v>0.8</v>
      </c>
      <c r="E186" s="61">
        <v>0.95</v>
      </c>
      <c r="F186" s="62">
        <f t="shared" si="24"/>
        <v>0.8</v>
      </c>
      <c r="G186" s="2" t="s">
        <v>800</v>
      </c>
      <c r="H186" s="2"/>
      <c r="I186" s="2"/>
      <c r="J186" s="2"/>
      <c r="K186" s="2"/>
    </row>
    <row r="187" ht="15" customHeight="1">
      <c r="A187" s="29" t="s">
        <v>126</v>
      </c>
      <c r="B187" s="55" t="s">
        <v>31</v>
      </c>
      <c r="C187" s="55" t="s">
        <v>31</v>
      </c>
      <c r="D187" s="55">
        <f t="shared" si="25" ref="D187:E187">_xlfn.IFERROR((D184+D186)/2,"n/a")</f>
        <v>0.8</v>
      </c>
      <c r="E187" s="55">
        <f t="shared" si="25"/>
        <v>0.875</v>
      </c>
      <c r="F187" s="55" t="s">
        <v>31</v>
      </c>
      <c r="G187" s="2" t="s">
        <v>800</v>
      </c>
      <c r="H187" s="2"/>
      <c r="I187" s="2"/>
      <c r="J187" s="2"/>
      <c r="K187" s="2"/>
    </row>
    <row r="188" ht="15" customHeight="1">
      <c r="A188" s="29" t="s">
        <v>129</v>
      </c>
      <c r="B188" s="55"/>
      <c r="C188" s="64">
        <v>7.3</v>
      </c>
      <c r="D188" s="64">
        <v>7.6</v>
      </c>
      <c r="E188" s="64">
        <v>8</v>
      </c>
      <c r="F188" s="55">
        <f t="shared" si="24"/>
        <v>7.3</v>
      </c>
      <c r="G188" s="2" t="s">
        <v>800</v>
      </c>
      <c r="H188" s="2"/>
      <c r="I188" s="2"/>
      <c r="J188" s="2"/>
      <c r="K188" s="2"/>
    </row>
    <row r="189" ht="15" customHeight="1">
      <c r="A189" s="29" t="s">
        <v>131</v>
      </c>
      <c r="B189" s="55" t="s">
        <v>31</v>
      </c>
      <c r="C189" s="55" t="s">
        <v>31</v>
      </c>
      <c r="D189" s="55">
        <f t="shared" si="26" ref="D189:E189">_xlfn.IFERROR((C188+D188)/2,"n/a")</f>
        <v>7.449999999999999</v>
      </c>
      <c r="E189" s="55">
        <f t="shared" si="26"/>
        <v>7.8</v>
      </c>
      <c r="F189" s="55" t="s">
        <v>31</v>
      </c>
      <c r="G189" s="2" t="s">
        <v>800</v>
      </c>
      <c r="H189" s="2"/>
      <c r="I189" s="2"/>
      <c r="J189" s="2"/>
      <c r="K189" s="2"/>
    </row>
    <row r="190" ht="15" customHeight="1">
      <c r="A190" s="29" t="s">
        <v>132</v>
      </c>
      <c r="B190" s="51" t="s">
        <v>31</v>
      </c>
      <c r="C190" s="51">
        <f t="shared" si="27" ref="C190:E190">_xlfn.IFERROR(B192,"n/a")</f>
        <v>62421</v>
      </c>
      <c r="D190" s="51">
        <f t="shared" si="27"/>
        <v>65495</v>
      </c>
      <c r="E190" s="51">
        <f t="shared" si="27"/>
        <v>67316</v>
      </c>
      <c r="F190" s="51" t="s">
        <v>31</v>
      </c>
      <c r="G190" s="2" t="s">
        <v>800</v>
      </c>
      <c r="H190" s="2"/>
      <c r="I190" s="2"/>
      <c r="J190" s="2"/>
      <c r="K190" s="2"/>
    </row>
    <row r="191" ht="15" customHeight="1">
      <c r="A191" s="29" t="s">
        <v>133</v>
      </c>
      <c r="B191" s="51" t="s">
        <v>31</v>
      </c>
      <c r="C191" s="51">
        <f t="shared" si="28" ref="C191:E191">_xlfn.IFERROR(C192-C190,"n/a")</f>
        <v>3074</v>
      </c>
      <c r="D191" s="51">
        <f t="shared" si="28"/>
        <v>1821</v>
      </c>
      <c r="E191" s="51">
        <f t="shared" si="28"/>
        <v>2912</v>
      </c>
      <c r="F191" s="51" t="s">
        <v>31</v>
      </c>
      <c r="G191" s="2" t="s">
        <v>800</v>
      </c>
      <c r="H191" s="2"/>
      <c r="I191" s="2"/>
      <c r="J191" s="2"/>
      <c r="K191" s="2"/>
    </row>
    <row r="192" ht="15" customHeight="1">
      <c r="A192" s="3" t="s">
        <v>135</v>
      </c>
      <c r="B192" s="53">
        <v>62421</v>
      </c>
      <c r="C192" s="53">
        <v>65495</v>
      </c>
      <c r="D192" s="53">
        <v>67316</v>
      </c>
      <c r="E192" s="53">
        <v>70228</v>
      </c>
      <c r="F192" s="49">
        <f t="shared" si="24"/>
        <v>65495</v>
      </c>
      <c r="G192" s="2" t="s">
        <v>800</v>
      </c>
      <c r="H192" s="2"/>
      <c r="I192" s="2"/>
      <c r="J192" s="2"/>
      <c r="K192" s="2"/>
    </row>
    <row r="193" ht="15" customHeight="1">
      <c r="A193" s="29" t="s">
        <v>137</v>
      </c>
      <c r="B193" s="51">
        <f t="shared" si="29" ref="B193:F193">_xlfn.IFERROR(B194*1000000/B176,"n/a")</f>
        <v>41992.14612401631</v>
      </c>
      <c r="C193" s="51">
        <f t="shared" si="29"/>
        <v>39817.92884457798</v>
      </c>
      <c r="D193" s="51">
        <f t="shared" si="29"/>
        <v>40020.43596730245</v>
      </c>
      <c r="E193" s="51">
        <f t="shared" si="29"/>
        <v>41825.185718978835</v>
      </c>
      <c r="F193" s="51">
        <f t="shared" si="29"/>
        <v>41914.77906551093</v>
      </c>
      <c r="G193" s="2" t="s">
        <v>800</v>
      </c>
      <c r="H193" s="2"/>
      <c r="I193" s="2"/>
      <c r="J193" s="2"/>
      <c r="K193" s="2"/>
    </row>
    <row r="194" ht="15" customHeight="1">
      <c r="A194" s="29" t="s">
        <v>78</v>
      </c>
      <c r="B194" s="40">
        <v>18831</v>
      </c>
      <c r="C194" s="40">
        <v>18659</v>
      </c>
      <c r="D194" s="40">
        <v>12925</v>
      </c>
      <c r="E194" s="40">
        <v>15787</v>
      </c>
      <c r="F194" s="40">
        <v>72480</v>
      </c>
      <c r="G194" s="2" t="s">
        <v>800</v>
      </c>
      <c r="H194" s="2"/>
      <c r="I194" s="2"/>
      <c r="J194" s="2"/>
      <c r="K194" s="2"/>
    </row>
    <row r="195" ht="15" customHeight="1">
      <c r="A195" s="29" t="s">
        <v>79</v>
      </c>
      <c r="B195" s="40">
        <v>739</v>
      </c>
      <c r="C195" s="40">
        <v>692</v>
      </c>
      <c r="D195" s="40">
        <v>595</v>
      </c>
      <c r="E195" s="40">
        <v>439</v>
      </c>
      <c r="F195" s="40">
        <v>2763</v>
      </c>
      <c r="G195" s="2" t="s">
        <v>800</v>
      </c>
      <c r="H195" s="2"/>
      <c r="I195" s="2"/>
      <c r="J195" s="2"/>
      <c r="K195" s="2"/>
    </row>
    <row r="196" ht="15" customHeight="1">
      <c r="A196" s="29" t="s">
        <v>143</v>
      </c>
      <c r="B196" s="51" t="s">
        <v>31</v>
      </c>
      <c r="C196" s="51" t="s">
        <v>31</v>
      </c>
      <c r="D196" s="51">
        <f t="shared" si="30" ref="D196:E196">_xlfn.IFERROR(D197*1000000/D182,"n/a")</f>
        <v>2480.212399397425</v>
      </c>
      <c r="E196" s="51">
        <f t="shared" si="30"/>
        <v>2465.902520322438</v>
      </c>
      <c r="F196" s="51" t="s">
        <v>31</v>
      </c>
      <c r="G196" s="2" t="s">
        <v>800</v>
      </c>
      <c r="H196" s="2"/>
      <c r="I196" s="2"/>
      <c r="J196" s="2"/>
      <c r="K196" s="2"/>
    </row>
    <row r="197" ht="15" customHeight="1">
      <c r="A197" s="29" t="s">
        <v>80</v>
      </c>
      <c r="B197" s="40">
        <v>446</v>
      </c>
      <c r="C197" s="40">
        <v>447</v>
      </c>
      <c r="D197" s="40">
        <v>447</v>
      </c>
      <c r="E197" s="40">
        <v>435</v>
      </c>
      <c r="F197" s="40">
        <v>1827</v>
      </c>
      <c r="G197" s="2" t="s">
        <v>800</v>
      </c>
      <c r="H197" s="2"/>
      <c r="I197" s="2"/>
      <c r="J197" s="2"/>
      <c r="K197" s="2"/>
    </row>
    <row r="198" ht="15" customHeight="1">
      <c r="A198" s="3" t="s">
        <v>145</v>
      </c>
      <c r="B198" s="34">
        <f t="shared" si="31" ref="B198:F198">_xlfn.IFERROR(B194+B195+B197,"n/a")</f>
        <v>20016</v>
      </c>
      <c r="C198" s="34">
        <f t="shared" si="31"/>
        <v>19798</v>
      </c>
      <c r="D198" s="34">
        <f t="shared" si="31"/>
        <v>13967</v>
      </c>
      <c r="E198" s="34">
        <f t="shared" si="31"/>
        <v>16661</v>
      </c>
      <c r="F198" s="34">
        <f t="shared" si="31"/>
        <v>77070</v>
      </c>
      <c r="G198" s="2" t="s">
        <v>800</v>
      </c>
      <c r="H198" s="2"/>
      <c r="I198" s="2"/>
      <c r="J198" s="2"/>
      <c r="K198" s="2"/>
    </row>
    <row r="199" ht="15" customHeight="1">
      <c r="A199" s="29" t="s">
        <v>146</v>
      </c>
      <c r="B199" s="51" t="s">
        <v>31</v>
      </c>
      <c r="C199" s="51" t="s">
        <v>31</v>
      </c>
      <c r="D199" s="51">
        <f t="shared" si="32" ref="D199:E199">_xlfn.IFERROR(D200/D189,"n/a")</f>
        <v>354.09395973154363</v>
      </c>
      <c r="E199" s="51">
        <f t="shared" si="32"/>
        <v>390.5128205128205</v>
      </c>
      <c r="F199" s="51" t="s">
        <v>31</v>
      </c>
      <c r="G199" s="2" t="s">
        <v>800</v>
      </c>
      <c r="H199" s="2"/>
      <c r="I199" s="2"/>
      <c r="J199" s="2"/>
      <c r="K199" s="2"/>
    </row>
    <row r="200" ht="15" customHeight="1">
      <c r="A200" s="29" t="s">
        <v>81</v>
      </c>
      <c r="B200" s="40">
        <v>2790</v>
      </c>
      <c r="C200" s="40">
        <v>2848</v>
      </c>
      <c r="D200" s="40">
        <v>2638</v>
      </c>
      <c r="E200" s="40">
        <v>3046</v>
      </c>
      <c r="F200" s="40">
        <v>10534</v>
      </c>
      <c r="G200" s="2" t="s">
        <v>800</v>
      </c>
      <c r="H200" s="2"/>
      <c r="I200" s="2"/>
      <c r="J200" s="2"/>
      <c r="K200" s="2"/>
    </row>
    <row r="201" ht="15" customHeight="1">
      <c r="A201" s="3" t="s">
        <v>148</v>
      </c>
      <c r="B201" s="34">
        <f t="shared" si="33" ref="B201:F269">_xlfn.IFERROR(B198+B200,"n/a")</f>
        <v>22806</v>
      </c>
      <c r="C201" s="34">
        <f t="shared" si="33"/>
        <v>22646</v>
      </c>
      <c r="D201" s="34">
        <f t="shared" si="33"/>
        <v>16605</v>
      </c>
      <c r="E201" s="34">
        <f t="shared" si="33"/>
        <v>19707</v>
      </c>
      <c r="F201" s="34">
        <f t="shared" si="33"/>
        <v>87604</v>
      </c>
      <c r="G201" s="2" t="s">
        <v>800</v>
      </c>
      <c r="H201" s="2"/>
      <c r="I201" s="2"/>
      <c r="J201" s="2"/>
      <c r="K201" s="2"/>
    </row>
    <row r="202" ht="15" customHeight="1">
      <c r="A202" s="29" t="s">
        <v>149</v>
      </c>
      <c r="B202" s="40">
        <v>22806</v>
      </c>
      <c r="C202" s="14">
        <f>B150-C150</f>
        <v>22646</v>
      </c>
      <c r="D202" s="40">
        <v>16605</v>
      </c>
      <c r="E202" s="40">
        <v>19707</v>
      </c>
      <c r="F202" s="14">
        <f>B150</f>
        <v>87604</v>
      </c>
      <c r="G202" s="2" t="s">
        <v>800</v>
      </c>
      <c r="H202" s="2"/>
      <c r="I202" s="2"/>
      <c r="J202" s="2"/>
      <c r="K202" s="2"/>
    </row>
    <row r="203" ht="15" customHeight="1">
      <c r="A203" s="29" t="s">
        <v>153</v>
      </c>
      <c r="B203" s="51">
        <f t="shared" si="34" ref="B203:F203">_xlfn.IFERROR(B204*1000000/B176,"n/a")</f>
        <v>35106.067464839296</v>
      </c>
      <c r="C203" s="51">
        <f t="shared" si="34"/>
        <v>34715.58317399618</v>
      </c>
      <c r="D203" s="51">
        <f t="shared" si="34"/>
        <v>35487.366856576664</v>
      </c>
      <c r="E203" s="51">
        <f t="shared" si="34"/>
        <v>35943.64316522366</v>
      </c>
      <c r="F203" s="51">
        <f t="shared" si="34"/>
        <v>35779.07534193103</v>
      </c>
      <c r="G203" s="2" t="s">
        <v>800</v>
      </c>
      <c r="H203" s="2"/>
      <c r="I203" s="2"/>
      <c r="J203" s="2"/>
      <c r="K203" s="2"/>
    </row>
    <row r="204" ht="15" customHeight="1">
      <c r="A204" s="29" t="s">
        <v>155</v>
      </c>
      <c r="B204" s="40">
        <v>15743</v>
      </c>
      <c r="C204" s="40">
        <v>16268</v>
      </c>
      <c r="D204" s="40">
        <v>11461</v>
      </c>
      <c r="E204" s="40">
        <v>13567</v>
      </c>
      <c r="F204" s="40">
        <v>61870</v>
      </c>
      <c r="G204" s="2" t="s">
        <v>800</v>
      </c>
      <c r="H204" s="2"/>
      <c r="I204" s="2"/>
      <c r="J204" s="2"/>
      <c r="K204" s="2"/>
    </row>
    <row r="205" ht="15" customHeight="1">
      <c r="A205" s="23" t="s">
        <v>156</v>
      </c>
      <c r="B205" s="15">
        <f t="shared" si="35" ref="B205:F205">_xlfn.IFERROR(B213/B197,"n/a")</f>
        <v>0.4461883408071749</v>
      </c>
      <c r="C205" s="15">
        <f t="shared" si="35"/>
        <v>0.45861297539149887</v>
      </c>
      <c r="D205" s="15">
        <f t="shared" si="35"/>
        <v>0.465324384787472</v>
      </c>
      <c r="E205" s="15">
        <f t="shared" si="35"/>
        <v>0.47586206896551725</v>
      </c>
      <c r="F205" s="15">
        <f t="shared" si="35"/>
        <v>0.45101258894362345</v>
      </c>
      <c r="G205" s="2" t="s">
        <v>800</v>
      </c>
      <c r="H205" s="2"/>
      <c r="I205" s="2"/>
      <c r="J205" s="2"/>
      <c r="K205" s="2"/>
    </row>
    <row r="206" ht="15" customHeight="1">
      <c r="A206" s="29" t="s">
        <v>158</v>
      </c>
      <c r="B206" s="40">
        <v>247</v>
      </c>
      <c r="C206" s="40">
        <v>242</v>
      </c>
      <c r="D206" s="40">
        <v>239</v>
      </c>
      <c r="E206" s="40">
        <v>228</v>
      </c>
      <c r="F206" s="40">
        <v>1003</v>
      </c>
      <c r="G206" s="2" t="s">
        <v>800</v>
      </c>
      <c r="H206" s="2"/>
      <c r="I206" s="2"/>
      <c r="J206" s="2"/>
      <c r="K206" s="2"/>
    </row>
    <row r="207" ht="15" customHeight="1">
      <c r="A207" s="3" t="s">
        <v>159</v>
      </c>
      <c r="B207" s="34">
        <f t="shared" si="33"/>
        <v>15990</v>
      </c>
      <c r="C207" s="34">
        <f t="shared" si="33"/>
        <v>16510</v>
      </c>
      <c r="D207" s="34">
        <f t="shared" si="33"/>
        <v>11700</v>
      </c>
      <c r="E207" s="34">
        <f t="shared" si="33"/>
        <v>13795</v>
      </c>
      <c r="F207" s="34">
        <f t="shared" si="33"/>
        <v>62873</v>
      </c>
      <c r="G207" s="2" t="s">
        <v>800</v>
      </c>
      <c r="H207" s="2"/>
      <c r="I207" s="2"/>
      <c r="J207" s="2"/>
      <c r="K207" s="2"/>
    </row>
    <row r="208" ht="15" customHeight="1">
      <c r="A208" s="23" t="s">
        <v>160</v>
      </c>
      <c r="B208" s="15">
        <f t="shared" si="36" ref="B208:F208">_xlfn.IFERROR(B217/B200,"n/a")</f>
        <v>0.08817204301075268</v>
      </c>
      <c r="C208" s="15">
        <f t="shared" si="36"/>
        <v>0.04178370786516854</v>
      </c>
      <c r="D208" s="15">
        <f t="shared" si="36"/>
        <v>0.03828658074298711</v>
      </c>
      <c r="E208" s="15">
        <f t="shared" si="36"/>
        <v>0.054497701904136574</v>
      </c>
      <c r="F208" s="15">
        <f t="shared" si="36"/>
        <v>0.058192519460793624</v>
      </c>
      <c r="G208" s="2" t="s">
        <v>800</v>
      </c>
      <c r="H208" s="2"/>
      <c r="I208" s="2"/>
      <c r="J208" s="2"/>
      <c r="K208" s="2"/>
    </row>
    <row r="209" ht="15" customHeight="1">
      <c r="A209" s="29" t="s">
        <v>162</v>
      </c>
      <c r="B209" s="40">
        <v>2544</v>
      </c>
      <c r="C209" s="40">
        <v>2729</v>
      </c>
      <c r="D209" s="40">
        <v>2537</v>
      </c>
      <c r="E209" s="40">
        <v>2880</v>
      </c>
      <c r="F209" s="40">
        <v>9921</v>
      </c>
      <c r="G209" s="2" t="s">
        <v>800</v>
      </c>
      <c r="H209" s="2"/>
      <c r="I209" s="2"/>
      <c r="J209" s="2"/>
      <c r="K209" s="2"/>
    </row>
    <row r="210" ht="15" customHeight="1">
      <c r="A210" s="3" t="s">
        <v>163</v>
      </c>
      <c r="B210" s="34">
        <f t="shared" si="33"/>
        <v>18534</v>
      </c>
      <c r="C210" s="34">
        <f t="shared" si="33"/>
        <v>19239</v>
      </c>
      <c r="D210" s="34">
        <f t="shared" si="33"/>
        <v>14237</v>
      </c>
      <c r="E210" s="34">
        <f t="shared" si="33"/>
        <v>16675</v>
      </c>
      <c r="F210" s="34">
        <f t="shared" si="33"/>
        <v>72794</v>
      </c>
      <c r="G210" s="2" t="s">
        <v>800</v>
      </c>
      <c r="H210" s="2"/>
      <c r="I210" s="2"/>
      <c r="J210" s="2"/>
      <c r="K210" s="2"/>
    </row>
    <row r="211" ht="15" customHeight="1">
      <c r="A211" s="29" t="s">
        <v>164</v>
      </c>
      <c r="B211" s="14">
        <f t="shared" si="37" ref="B211:F211">_xlfn.IFERROR(B194-B204,"n/a")</f>
        <v>3088</v>
      </c>
      <c r="C211" s="14">
        <f t="shared" si="37"/>
        <v>2391</v>
      </c>
      <c r="D211" s="14">
        <f t="shared" si="37"/>
        <v>1464</v>
      </c>
      <c r="E211" s="14">
        <f t="shared" si="37"/>
        <v>2220</v>
      </c>
      <c r="F211" s="14">
        <f t="shared" si="37"/>
        <v>10610</v>
      </c>
      <c r="G211" s="2" t="s">
        <v>800</v>
      </c>
      <c r="H211" s="2"/>
      <c r="I211" s="2"/>
      <c r="J211" s="2"/>
      <c r="K211" s="2"/>
    </row>
    <row r="212" ht="15" customHeight="1">
      <c r="A212" s="23" t="s">
        <v>165</v>
      </c>
      <c r="B212" s="15">
        <f t="shared" si="38" ref="B212:F219">_xlfn.IFERROR(B211/B194,"n/a")</f>
        <v>0.16398491848547608</v>
      </c>
      <c r="C212" s="15">
        <f t="shared" si="38"/>
        <v>0.12814191542955142</v>
      </c>
      <c r="D212" s="15">
        <f t="shared" si="38"/>
        <v>0.1132688588007737</v>
      </c>
      <c r="E212" s="15">
        <f t="shared" si="38"/>
        <v>0.14062203078482297</v>
      </c>
      <c r="F212" s="15">
        <f t="shared" si="38"/>
        <v>0.1463852097130243</v>
      </c>
      <c r="G212" s="2" t="s">
        <v>800</v>
      </c>
      <c r="H212" s="2"/>
      <c r="I212" s="2"/>
      <c r="J212" s="2"/>
      <c r="K212" s="2"/>
    </row>
    <row r="213" ht="15" customHeight="1">
      <c r="A213" s="29" t="s">
        <v>166</v>
      </c>
      <c r="B213" s="14">
        <f t="shared" si="39" ref="B213:F214">_xlfn.IFERROR(B197-B206,"n/a")</f>
        <v>199</v>
      </c>
      <c r="C213" s="14">
        <f t="shared" si="39"/>
        <v>205</v>
      </c>
      <c r="D213" s="14">
        <f t="shared" si="39"/>
        <v>208</v>
      </c>
      <c r="E213" s="14">
        <f t="shared" si="39"/>
        <v>207</v>
      </c>
      <c r="F213" s="14">
        <f t="shared" si="39"/>
        <v>824</v>
      </c>
      <c r="G213" s="2" t="s">
        <v>800</v>
      </c>
      <c r="H213" s="2"/>
      <c r="I213" s="2"/>
      <c r="J213" s="2"/>
      <c r="K213" s="2"/>
    </row>
    <row r="214" ht="15" customHeight="1">
      <c r="A214" s="3" t="s">
        <v>167</v>
      </c>
      <c r="B214" s="34">
        <f t="shared" si="39"/>
        <v>4026</v>
      </c>
      <c r="C214" s="34">
        <f t="shared" si="39"/>
        <v>3288</v>
      </c>
      <c r="D214" s="34">
        <f t="shared" si="39"/>
        <v>2267</v>
      </c>
      <c r="E214" s="34">
        <f t="shared" si="39"/>
        <v>2866</v>
      </c>
      <c r="F214" s="34">
        <f t="shared" si="39"/>
        <v>14197</v>
      </c>
      <c r="G214" s="2" t="s">
        <v>800</v>
      </c>
      <c r="H214" s="2"/>
      <c r="I214" s="2"/>
      <c r="J214" s="2"/>
      <c r="K214" s="2"/>
    </row>
    <row r="215" ht="15" customHeight="1">
      <c r="A215" s="23" t="s">
        <v>168</v>
      </c>
      <c r="B215" s="15">
        <f t="shared" si="40" ref="B215:F215">_xlfn.IFERROR(B214/B198,"n/a")</f>
        <v>0.20113908872901679</v>
      </c>
      <c r="C215" s="15">
        <f t="shared" si="40"/>
        <v>0.16607738155369228</v>
      </c>
      <c r="D215" s="15">
        <f t="shared" si="40"/>
        <v>0.16231116202477266</v>
      </c>
      <c r="E215" s="15">
        <f t="shared" si="40"/>
        <v>0.172018486285337</v>
      </c>
      <c r="F215" s="15">
        <f t="shared" si="40"/>
        <v>0.18420916050343844</v>
      </c>
      <c r="G215" s="2" t="s">
        <v>800</v>
      </c>
      <c r="H215" s="2"/>
      <c r="I215" s="2"/>
      <c r="J215" s="2"/>
      <c r="K215" s="2"/>
    </row>
    <row r="216" ht="15" customHeight="1">
      <c r="A216" s="23" t="s">
        <v>169</v>
      </c>
      <c r="B216" s="15">
        <f t="shared" si="41" ref="B216:F216">_xlfn.IFERROR((B214-B195)/(B198-B195),"n/a")</f>
        <v>0.1705140841417233</v>
      </c>
      <c r="C216" s="15">
        <f t="shared" si="41"/>
        <v>0.1358735475766775</v>
      </c>
      <c r="D216" s="15">
        <f t="shared" si="41"/>
        <v>0.12503739156446306</v>
      </c>
      <c r="E216" s="15">
        <f t="shared" si="41"/>
        <v>0.1496116385155961</v>
      </c>
      <c r="F216" s="15">
        <f t="shared" si="41"/>
        <v>0.15387513962345406</v>
      </c>
      <c r="G216" s="2" t="s">
        <v>800</v>
      </c>
      <c r="H216" s="2"/>
      <c r="I216" s="2"/>
      <c r="J216" s="2"/>
      <c r="K216" s="2"/>
    </row>
    <row r="217" ht="15" customHeight="1">
      <c r="A217" s="29" t="s">
        <v>170</v>
      </c>
      <c r="B217" s="14">
        <f t="shared" si="42" ref="B217:F218">_xlfn.IFERROR(B200-B209,"n/a")</f>
        <v>246</v>
      </c>
      <c r="C217" s="14">
        <f t="shared" si="42"/>
        <v>119</v>
      </c>
      <c r="D217" s="14">
        <f t="shared" si="42"/>
        <v>101</v>
      </c>
      <c r="E217" s="14">
        <f t="shared" si="42"/>
        <v>166</v>
      </c>
      <c r="F217" s="14">
        <f t="shared" si="42"/>
        <v>613</v>
      </c>
      <c r="G217" s="2" t="s">
        <v>800</v>
      </c>
      <c r="H217" s="2"/>
      <c r="I217" s="2"/>
      <c r="J217" s="2"/>
      <c r="K217" s="2"/>
    </row>
    <row r="218" ht="15" customHeight="1">
      <c r="A218" s="3" t="s">
        <v>171</v>
      </c>
      <c r="B218" s="34">
        <f t="shared" si="42"/>
        <v>4272</v>
      </c>
      <c r="C218" s="34">
        <f t="shared" si="42"/>
        <v>3407</v>
      </c>
      <c r="D218" s="34">
        <f t="shared" si="42"/>
        <v>2368</v>
      </c>
      <c r="E218" s="34">
        <f t="shared" si="42"/>
        <v>3032</v>
      </c>
      <c r="F218" s="34">
        <f t="shared" si="42"/>
        <v>14810</v>
      </c>
      <c r="G218" s="2" t="s">
        <v>800</v>
      </c>
      <c r="H218" s="2"/>
      <c r="I218" s="2"/>
      <c r="J218" s="2"/>
      <c r="K218" s="2"/>
    </row>
    <row r="219" ht="15" customHeight="1">
      <c r="A219" s="23" t="s">
        <v>172</v>
      </c>
      <c r="B219" s="15">
        <f t="shared" si="38"/>
        <v>0.1873191265456459</v>
      </c>
      <c r="C219" s="15">
        <f t="shared" si="38"/>
        <v>0.1504459948776826</v>
      </c>
      <c r="D219" s="15">
        <f t="shared" si="38"/>
        <v>0.1426076482987052</v>
      </c>
      <c r="E219" s="15">
        <f t="shared" si="38"/>
        <v>0.15385396052164205</v>
      </c>
      <c r="F219" s="15">
        <f t="shared" si="38"/>
        <v>0.16905620747911054</v>
      </c>
      <c r="G219" s="2" t="s">
        <v>800</v>
      </c>
      <c r="H219" s="2"/>
      <c r="I219" s="2"/>
      <c r="J219" s="2"/>
      <c r="K219" s="2"/>
    </row>
    <row r="220" ht="15" customHeight="1">
      <c r="A220" s="29" t="s">
        <v>174</v>
      </c>
      <c r="B220" s="51">
        <f t="shared" si="43" ref="B220:F220">_xlfn.IFERROR(B211*1000000/B176,"n/a")</f>
        <v>6886.078659177016</v>
      </c>
      <c r="C220" s="51">
        <f t="shared" si="43"/>
        <v>5102.345670581808</v>
      </c>
      <c r="D220" s="51">
        <f t="shared" si="43"/>
        <v>4533.069110725786</v>
      </c>
      <c r="E220" s="51">
        <f t="shared" si="43"/>
        <v>5881.542553755179</v>
      </c>
      <c r="F220" s="51">
        <f t="shared" si="43"/>
        <v>6135.703723579897</v>
      </c>
      <c r="G220" s="2" t="s">
        <v>800</v>
      </c>
      <c r="H220" s="2"/>
      <c r="I220" s="2"/>
      <c r="J220" s="2"/>
      <c r="K220" s="2"/>
    </row>
    <row r="221" ht="15" customHeight="1">
      <c r="A221" s="29" t="s">
        <v>175</v>
      </c>
      <c r="B221" s="40">
        <v>938</v>
      </c>
      <c r="C221" s="14"/>
      <c r="D221" s="40">
        <v>954</v>
      </c>
      <c r="E221" s="40">
        <v>891</v>
      </c>
      <c r="F221" s="40">
        <v>3680</v>
      </c>
      <c r="G221" s="2" t="s">
        <v>800</v>
      </c>
      <c r="H221" s="2"/>
      <c r="I221" s="2"/>
      <c r="J221" s="2"/>
      <c r="K221" s="2"/>
    </row>
    <row r="222" ht="15" customHeight="1">
      <c r="A222" s="29" t="s">
        <v>179</v>
      </c>
      <c r="B222" s="40">
        <v>6.9</v>
      </c>
      <c r="C222" s="40">
        <v>11</v>
      </c>
      <c r="D222" s="40">
        <v>10.4</v>
      </c>
      <c r="E222" s="40">
        <v>9.6</v>
      </c>
      <c r="F222" s="40">
        <v>31.4</v>
      </c>
      <c r="G222" s="2" t="s">
        <v>801</v>
      </c>
      <c r="H222" s="2"/>
      <c r="I222" s="2"/>
      <c r="J222" s="2"/>
      <c r="K222" s="2"/>
    </row>
    <row r="223" ht="15" customHeight="1">
      <c r="A223" s="29" t="s">
        <v>181</v>
      </c>
      <c r="B223" s="14">
        <f t="shared" si="44" ref="B223:F223">_xlfn.IFERROR(B224/B222,"n/a")</f>
        <v>322.8985507246377</v>
      </c>
      <c r="C223" s="14">
        <f t="shared" si="44"/>
        <v>268</v>
      </c>
      <c r="D223" s="14">
        <f t="shared" si="44"/>
        <v>252.01923076923077</v>
      </c>
      <c r="E223" s="14">
        <f t="shared" si="44"/>
        <v>275.625</v>
      </c>
      <c r="F223" s="14">
        <f t="shared" si="44"/>
        <v>304.5859872611465</v>
      </c>
      <c r="G223" s="2" t="s">
        <v>801</v>
      </c>
      <c r="H223" s="2"/>
      <c r="I223" s="2"/>
      <c r="J223" s="2"/>
      <c r="K223" s="2"/>
    </row>
    <row r="224" ht="15" customHeight="1">
      <c r="A224" s="29" t="s">
        <v>82</v>
      </c>
      <c r="B224" s="40">
        <v>2228</v>
      </c>
      <c r="C224" s="14">
        <f t="shared" si="45" ref="C224:C225">B145-C145</f>
        <v>2948</v>
      </c>
      <c r="D224" s="40">
        <v>2621</v>
      </c>
      <c r="E224" s="40">
        <v>2646</v>
      </c>
      <c r="F224" s="14">
        <f t="shared" si="46" ref="F224:F225">B145</f>
        <v>9564</v>
      </c>
      <c r="G224" s="2" t="s">
        <v>801</v>
      </c>
      <c r="H224" s="2"/>
      <c r="I224" s="2"/>
      <c r="J224" s="2"/>
      <c r="K224" s="2"/>
    </row>
    <row r="225" ht="15" customHeight="1">
      <c r="A225" s="29" t="s">
        <v>83</v>
      </c>
      <c r="B225" s="40">
        <v>148</v>
      </c>
      <c r="C225" s="14">
        <f t="shared" si="45"/>
        <v>113</v>
      </c>
      <c r="D225" s="40">
        <v>109</v>
      </c>
      <c r="E225" s="40">
        <v>143</v>
      </c>
      <c r="F225" s="14">
        <f t="shared" si="46"/>
        <v>522</v>
      </c>
      <c r="G225" s="2" t="s">
        <v>801</v>
      </c>
      <c r="H225" s="2"/>
      <c r="I225" s="2"/>
      <c r="J225" s="2"/>
      <c r="K225" s="2"/>
    </row>
    <row r="226" ht="15" customHeight="1">
      <c r="A226" s="3" t="s">
        <v>184</v>
      </c>
      <c r="B226" s="34">
        <f t="shared" si="6"/>
        <v>2376</v>
      </c>
      <c r="C226" s="34">
        <f t="shared" si="6"/>
        <v>3061</v>
      </c>
      <c r="D226" s="34">
        <f t="shared" si="6"/>
        <v>2730</v>
      </c>
      <c r="E226" s="34">
        <f t="shared" si="6"/>
        <v>2789</v>
      </c>
      <c r="F226" s="34">
        <f t="shared" si="6"/>
        <v>10086</v>
      </c>
      <c r="G226" s="2" t="s">
        <v>801</v>
      </c>
      <c r="H226" s="2"/>
      <c r="I226" s="2"/>
      <c r="J226" s="2"/>
      <c r="K226" s="2"/>
    </row>
    <row r="227" ht="15" customHeight="1">
      <c r="A227" s="23" t="s">
        <v>188</v>
      </c>
      <c r="B227" s="15">
        <f t="shared" si="47" ref="B227:F227">_xlfn.IFERROR(B229/B226,"n/a")</f>
        <v>0.30513468013468015</v>
      </c>
      <c r="C227" s="15">
        <f t="shared" si="47"/>
        <v>0.25220516171185886</v>
      </c>
      <c r="D227" s="15">
        <f t="shared" si="47"/>
        <v>0.2875457875457875</v>
      </c>
      <c r="E227" s="15">
        <f t="shared" si="47"/>
        <v>0.30333452850484044</v>
      </c>
      <c r="F227" s="15">
        <f t="shared" si="47"/>
        <v>0.26174895895300415</v>
      </c>
      <c r="G227" s="2" t="s">
        <v>801</v>
      </c>
      <c r="H227" s="2"/>
      <c r="I227" s="2"/>
      <c r="J227" s="2"/>
      <c r="K227" s="2"/>
    </row>
    <row r="228" ht="15" customHeight="1">
      <c r="A228" s="29" t="s">
        <v>190</v>
      </c>
      <c r="B228" s="40">
        <v>1651</v>
      </c>
      <c r="C228" s="40">
        <v>2289</v>
      </c>
      <c r="D228" s="40">
        <v>1945</v>
      </c>
      <c r="E228" s="40">
        <v>1943</v>
      </c>
      <c r="F228" s="40">
        <v>7446</v>
      </c>
      <c r="G228" s="2" t="s">
        <v>801</v>
      </c>
      <c r="H228" s="2"/>
      <c r="I228" s="2"/>
      <c r="J228" s="2"/>
      <c r="K228" s="2"/>
    </row>
    <row r="229" ht="15" customHeight="1">
      <c r="A229" s="3" t="s">
        <v>191</v>
      </c>
      <c r="B229" s="34">
        <f t="shared" si="48" ref="B229:F229">_xlfn.IFERROR(B226-B228,"n/a")</f>
        <v>725</v>
      </c>
      <c r="C229" s="34">
        <f t="shared" si="48"/>
        <v>772</v>
      </c>
      <c r="D229" s="34">
        <f t="shared" si="48"/>
        <v>785</v>
      </c>
      <c r="E229" s="34">
        <f t="shared" si="48"/>
        <v>846</v>
      </c>
      <c r="F229" s="34">
        <f t="shared" si="48"/>
        <v>2640</v>
      </c>
      <c r="G229" s="2" t="s">
        <v>801</v>
      </c>
      <c r="H229" s="2"/>
      <c r="I229" s="2"/>
      <c r="J229" s="2"/>
      <c r="K229" s="2"/>
    </row>
    <row r="230" ht="15" customHeight="1">
      <c r="A230" s="29" t="s">
        <v>175</v>
      </c>
      <c r="B230" s="40">
        <v>95</v>
      </c>
      <c r="C230" s="14"/>
      <c r="D230" s="40">
        <v>83</v>
      </c>
      <c r="E230" s="40">
        <v>87</v>
      </c>
      <c r="F230" s="40">
        <v>377</v>
      </c>
      <c r="G230" s="2" t="s">
        <v>801</v>
      </c>
      <c r="H230" s="2"/>
      <c r="I230" s="2"/>
      <c r="J230" s="2"/>
      <c r="K230" s="2"/>
    </row>
    <row r="231" ht="15" customHeight="1">
      <c r="A231" s="29" t="s">
        <v>78</v>
      </c>
      <c r="B231" s="14">
        <f t="shared" si="49" ref="B231:F232">_xlfn.IFERROR(B194,"n/a")</f>
        <v>18831</v>
      </c>
      <c r="C231" s="14">
        <f t="shared" si="49"/>
        <v>18659</v>
      </c>
      <c r="D231" s="14">
        <f t="shared" si="49"/>
        <v>12925</v>
      </c>
      <c r="E231" s="14">
        <f t="shared" si="49"/>
        <v>15787</v>
      </c>
      <c r="F231" s="14">
        <f t="shared" si="49"/>
        <v>72480</v>
      </c>
      <c r="G231" s="2" t="s">
        <v>802</v>
      </c>
      <c r="H231" s="2"/>
      <c r="I231" s="2"/>
      <c r="J231" s="2"/>
      <c r="K231" s="2"/>
    </row>
    <row r="232" ht="15" customHeight="1">
      <c r="A232" s="29" t="s">
        <v>79</v>
      </c>
      <c r="B232" s="14">
        <f t="shared" si="49"/>
        <v>739</v>
      </c>
      <c r="C232" s="14">
        <f t="shared" si="49"/>
        <v>692</v>
      </c>
      <c r="D232" s="14">
        <f t="shared" si="49"/>
        <v>595</v>
      </c>
      <c r="E232" s="14">
        <f t="shared" si="49"/>
        <v>439</v>
      </c>
      <c r="F232" s="14">
        <f t="shared" si="49"/>
        <v>2763</v>
      </c>
      <c r="G232" s="2" t="s">
        <v>802</v>
      </c>
      <c r="H232" s="2"/>
      <c r="I232" s="2"/>
      <c r="J232" s="2"/>
      <c r="K232" s="2"/>
    </row>
    <row r="233" ht="15" customHeight="1">
      <c r="A233" s="29" t="s">
        <v>80</v>
      </c>
      <c r="B233" s="14">
        <f t="shared" si="50" ref="B233:F236">_xlfn.IFERROR(B197,"n/a")</f>
        <v>446</v>
      </c>
      <c r="C233" s="14">
        <f t="shared" si="50"/>
        <v>447</v>
      </c>
      <c r="D233" s="14">
        <f t="shared" si="50"/>
        <v>447</v>
      </c>
      <c r="E233" s="14">
        <f t="shared" si="50"/>
        <v>435</v>
      </c>
      <c r="F233" s="14">
        <f t="shared" si="50"/>
        <v>1827</v>
      </c>
      <c r="G233" s="2" t="s">
        <v>802</v>
      </c>
      <c r="H233" s="2"/>
      <c r="I233" s="2"/>
      <c r="J233" s="2"/>
      <c r="K233" s="2"/>
    </row>
    <row r="234" ht="15" customHeight="1">
      <c r="A234" s="3" t="s">
        <v>145</v>
      </c>
      <c r="B234" s="34">
        <f t="shared" si="51" ref="B234:F243">_xlfn.IFERROR(B231+B232+B233,"n/a")</f>
        <v>20016</v>
      </c>
      <c r="C234" s="34">
        <f t="shared" si="51"/>
        <v>19798</v>
      </c>
      <c r="D234" s="34">
        <f t="shared" si="51"/>
        <v>13967</v>
      </c>
      <c r="E234" s="34">
        <f t="shared" si="51"/>
        <v>16661</v>
      </c>
      <c r="F234" s="34">
        <f t="shared" si="51"/>
        <v>77070</v>
      </c>
      <c r="G234" s="2" t="s">
        <v>802</v>
      </c>
      <c r="H234" s="2"/>
      <c r="I234" s="2"/>
      <c r="J234" s="2"/>
      <c r="K234" s="2"/>
    </row>
    <row r="235" ht="15" customHeight="1">
      <c r="A235" s="29" t="s">
        <v>198</v>
      </c>
      <c r="B235" s="14">
        <f t="shared" si="52" ref="B235:F235">_xlfn.IFERROR(B226,"n/a")</f>
        <v>2376</v>
      </c>
      <c r="C235" s="14">
        <f t="shared" si="52"/>
        <v>3061</v>
      </c>
      <c r="D235" s="14">
        <f t="shared" si="52"/>
        <v>2730</v>
      </c>
      <c r="E235" s="14">
        <f t="shared" si="52"/>
        <v>2789</v>
      </c>
      <c r="F235" s="14">
        <f t="shared" si="52"/>
        <v>10086</v>
      </c>
      <c r="G235" s="2" t="s">
        <v>802</v>
      </c>
      <c r="H235" s="2"/>
      <c r="I235" s="2"/>
      <c r="J235" s="2"/>
      <c r="K235" s="2"/>
    </row>
    <row r="236" ht="15" customHeight="1">
      <c r="A236" s="29" t="s">
        <v>81</v>
      </c>
      <c r="B236" s="14">
        <f t="shared" si="50"/>
        <v>2790</v>
      </c>
      <c r="C236" s="14">
        <f t="shared" si="50"/>
        <v>2848</v>
      </c>
      <c r="D236" s="14">
        <f t="shared" si="50"/>
        <v>2638</v>
      </c>
      <c r="E236" s="14">
        <f t="shared" si="50"/>
        <v>3046</v>
      </c>
      <c r="F236" s="14">
        <f t="shared" si="50"/>
        <v>10534</v>
      </c>
      <c r="G236" s="2" t="s">
        <v>802</v>
      </c>
      <c r="H236" s="2"/>
      <c r="I236" s="2"/>
      <c r="J236" s="2"/>
      <c r="K236" s="2"/>
    </row>
    <row r="237" ht="15" customHeight="1">
      <c r="A237" s="3" t="s">
        <v>64</v>
      </c>
      <c r="B237" s="34">
        <f t="shared" si="51"/>
        <v>25182</v>
      </c>
      <c r="C237" s="34">
        <f t="shared" si="51"/>
        <v>25707</v>
      </c>
      <c r="D237" s="34">
        <f t="shared" si="51"/>
        <v>19335</v>
      </c>
      <c r="E237" s="34">
        <f t="shared" si="51"/>
        <v>22496</v>
      </c>
      <c r="F237" s="34">
        <f t="shared" si="51"/>
        <v>97690</v>
      </c>
      <c r="G237" s="2" t="s">
        <v>802</v>
      </c>
      <c r="H237" s="2"/>
      <c r="I237" s="2"/>
      <c r="J237" s="2"/>
      <c r="K237" s="2"/>
    </row>
    <row r="238" ht="15" customHeight="1">
      <c r="A238" s="29" t="s">
        <v>78</v>
      </c>
      <c r="B238" s="14">
        <f t="shared" si="53" ref="B238:F238">_xlfn.IFERROR(B204,"n/a")</f>
        <v>15743</v>
      </c>
      <c r="C238" s="14">
        <f t="shared" si="53"/>
        <v>16268</v>
      </c>
      <c r="D238" s="14">
        <f t="shared" si="53"/>
        <v>11461</v>
      </c>
      <c r="E238" s="14">
        <f t="shared" si="53"/>
        <v>13567</v>
      </c>
      <c r="F238" s="14">
        <f t="shared" si="53"/>
        <v>61870</v>
      </c>
      <c r="G238" s="2" t="s">
        <v>802</v>
      </c>
      <c r="H238" s="2"/>
      <c r="I238" s="2"/>
      <c r="J238" s="2"/>
      <c r="K238" s="2"/>
    </row>
    <row r="239" ht="15" customHeight="1">
      <c r="A239" s="29" t="s">
        <v>80</v>
      </c>
      <c r="B239" s="14">
        <f t="shared" si="54" ref="B239:F242">_xlfn.IFERROR(B206,"n/a")</f>
        <v>247</v>
      </c>
      <c r="C239" s="14">
        <f t="shared" si="54"/>
        <v>242</v>
      </c>
      <c r="D239" s="14">
        <f t="shared" si="54"/>
        <v>239</v>
      </c>
      <c r="E239" s="14">
        <f t="shared" si="54"/>
        <v>228</v>
      </c>
      <c r="F239" s="14">
        <f t="shared" si="54"/>
        <v>1003</v>
      </c>
      <c r="G239" s="2" t="s">
        <v>802</v>
      </c>
      <c r="H239" s="2"/>
      <c r="I239" s="2"/>
      <c r="J239" s="2"/>
      <c r="K239" s="2"/>
    </row>
    <row r="240" ht="15" customHeight="1">
      <c r="A240" s="3" t="s">
        <v>159</v>
      </c>
      <c r="B240" s="34">
        <f t="shared" si="6"/>
        <v>15990</v>
      </c>
      <c r="C240" s="34">
        <f t="shared" si="6"/>
        <v>16510</v>
      </c>
      <c r="D240" s="34">
        <f t="shared" si="6"/>
        <v>11700</v>
      </c>
      <c r="E240" s="34">
        <f t="shared" si="6"/>
        <v>13795</v>
      </c>
      <c r="F240" s="34">
        <f t="shared" si="6"/>
        <v>62873</v>
      </c>
      <c r="G240" s="2" t="s">
        <v>802</v>
      </c>
      <c r="H240" s="2"/>
      <c r="I240" s="2"/>
      <c r="J240" s="2"/>
      <c r="K240" s="2"/>
    </row>
    <row r="241" ht="15" customHeight="1">
      <c r="A241" s="29" t="s">
        <v>198</v>
      </c>
      <c r="B241" s="14">
        <f t="shared" si="55" ref="B241:F241">_xlfn.IFERROR(B228,"n/a")</f>
        <v>1651</v>
      </c>
      <c r="C241" s="14">
        <f t="shared" si="55"/>
        <v>2289</v>
      </c>
      <c r="D241" s="14">
        <f t="shared" si="55"/>
        <v>1945</v>
      </c>
      <c r="E241" s="14">
        <f t="shared" si="55"/>
        <v>1943</v>
      </c>
      <c r="F241" s="14">
        <f t="shared" si="55"/>
        <v>7446</v>
      </c>
      <c r="G241" s="2" t="s">
        <v>802</v>
      </c>
      <c r="H241" s="2"/>
      <c r="I241" s="2"/>
      <c r="J241" s="2"/>
      <c r="K241" s="2"/>
    </row>
    <row r="242" ht="15" customHeight="1">
      <c r="A242" s="29" t="s">
        <v>81</v>
      </c>
      <c r="B242" s="14">
        <f t="shared" si="54"/>
        <v>2544</v>
      </c>
      <c r="C242" s="14">
        <f t="shared" si="54"/>
        <v>2729</v>
      </c>
      <c r="D242" s="14">
        <f t="shared" si="54"/>
        <v>2537</v>
      </c>
      <c r="E242" s="14">
        <f t="shared" si="54"/>
        <v>2880</v>
      </c>
      <c r="F242" s="14">
        <f t="shared" si="54"/>
        <v>9921</v>
      </c>
      <c r="G242" s="2" t="s">
        <v>802</v>
      </c>
      <c r="H242" s="2"/>
      <c r="I242" s="2"/>
      <c r="J242" s="2"/>
      <c r="K242" s="2"/>
    </row>
    <row r="243" ht="15" customHeight="1">
      <c r="A243" s="3" t="s">
        <v>200</v>
      </c>
      <c r="B243" s="34">
        <f t="shared" si="51"/>
        <v>20185</v>
      </c>
      <c r="C243" s="34">
        <f t="shared" si="51"/>
        <v>21528</v>
      </c>
      <c r="D243" s="34">
        <f t="shared" si="51"/>
        <v>16182</v>
      </c>
      <c r="E243" s="34">
        <f t="shared" si="51"/>
        <v>18618</v>
      </c>
      <c r="F243" s="34">
        <f t="shared" si="51"/>
        <v>80240</v>
      </c>
      <c r="G243" s="2" t="s">
        <v>802</v>
      </c>
      <c r="H243" s="2"/>
      <c r="I243" s="2"/>
      <c r="J243" s="2"/>
      <c r="K243" s="2"/>
    </row>
    <row r="244" ht="15" customHeight="1">
      <c r="A244" s="3" t="s">
        <v>201</v>
      </c>
      <c r="B244" s="34">
        <f t="shared" si="56" ref="B244:F244">_xlfn.IFERROR(B237-B243,"n/a")</f>
        <v>4997</v>
      </c>
      <c r="C244" s="34">
        <f t="shared" si="56"/>
        <v>4179</v>
      </c>
      <c r="D244" s="34">
        <f t="shared" si="56"/>
        <v>3153</v>
      </c>
      <c r="E244" s="34">
        <f t="shared" si="56"/>
        <v>3878</v>
      </c>
      <c r="F244" s="34">
        <f t="shared" si="56"/>
        <v>17450</v>
      </c>
      <c r="G244" s="2" t="s">
        <v>802</v>
      </c>
      <c r="H244" s="2"/>
      <c r="I244" s="2"/>
      <c r="J244" s="2"/>
      <c r="K244" s="2"/>
    </row>
    <row r="245" ht="15" customHeight="1">
      <c r="A245" s="23" t="s">
        <v>202</v>
      </c>
      <c r="B245" s="15">
        <f t="shared" si="57" ref="B245:F245">_xlfn.IFERROR(B244/B237,"n/a")</f>
        <v>0.19843539035819235</v>
      </c>
      <c r="C245" s="15">
        <f t="shared" si="57"/>
        <v>0.16256272610572994</v>
      </c>
      <c r="D245" s="15">
        <f t="shared" si="57"/>
        <v>0.1630721489526765</v>
      </c>
      <c r="E245" s="15">
        <f t="shared" si="57"/>
        <v>0.17238620199146515</v>
      </c>
      <c r="F245" s="15">
        <f t="shared" si="57"/>
        <v>0.17862626676220697</v>
      </c>
      <c r="G245" s="2" t="s">
        <v>802</v>
      </c>
      <c r="H245" s="2"/>
      <c r="I245" s="2"/>
      <c r="J245" s="2"/>
      <c r="K245" s="2"/>
    </row>
    <row r="246" ht="15" customHeight="1">
      <c r="A246" s="29" t="s">
        <v>204</v>
      </c>
      <c r="B246" s="40">
        <v>1039</v>
      </c>
      <c r="C246" s="40">
        <v>1276</v>
      </c>
      <c r="D246" s="40">
        <v>1409</v>
      </c>
      <c r="E246" s="40">
        <v>1589</v>
      </c>
      <c r="F246" s="40">
        <v>4540</v>
      </c>
      <c r="G246" s="2" t="s">
        <v>802</v>
      </c>
      <c r="H246" s="2"/>
      <c r="I246" s="2"/>
      <c r="J246" s="2"/>
      <c r="K246" s="2"/>
    </row>
    <row r="247" ht="15" customHeight="1">
      <c r="A247" s="31" t="s">
        <v>206</v>
      </c>
      <c r="B247" s="15">
        <f t="shared" si="58" ref="B247:F247">_xlfn.IFERROR(B246/B237,"n/a")</f>
        <v>0.041259629894368995</v>
      </c>
      <c r="C247" s="15">
        <f t="shared" si="58"/>
        <v>0.049636285836542574</v>
      </c>
      <c r="D247" s="15">
        <f t="shared" si="58"/>
        <v>0.07287302818722524</v>
      </c>
      <c r="E247" s="15">
        <f t="shared" si="58"/>
        <v>0.07063477951635846</v>
      </c>
      <c r="F247" s="15">
        <f t="shared" si="58"/>
        <v>0.04647353874500972</v>
      </c>
      <c r="G247" s="2" t="s">
        <v>802</v>
      </c>
      <c r="H247" s="2"/>
      <c r="I247" s="2"/>
      <c r="J247" s="2"/>
      <c r="K247" s="2"/>
    </row>
    <row r="248" ht="15" customHeight="1">
      <c r="A248" s="29" t="s">
        <v>207</v>
      </c>
      <c r="B248" s="40">
        <v>1186</v>
      </c>
      <c r="C248" s="40">
        <v>1313</v>
      </c>
      <c r="D248" s="40">
        <v>1251</v>
      </c>
      <c r="E248" s="40">
        <v>1366</v>
      </c>
      <c r="F248" s="40">
        <v>5150</v>
      </c>
      <c r="G248" s="2" t="s">
        <v>802</v>
      </c>
      <c r="H248" s="2"/>
      <c r="I248" s="2"/>
      <c r="J248" s="2"/>
      <c r="K248" s="2"/>
    </row>
    <row r="249" ht="15" customHeight="1">
      <c r="A249" s="31" t="s">
        <v>209</v>
      </c>
      <c r="B249" s="15">
        <f t="shared" si="59" ref="B249:F249">_xlfn.IFERROR(B248/B237,"n/a")</f>
        <v>0.04709713287268684</v>
      </c>
      <c r="C249" s="15">
        <f t="shared" si="59"/>
        <v>0.05107558252616019</v>
      </c>
      <c r="D249" s="15">
        <f t="shared" si="59"/>
        <v>0.06470131885182312</v>
      </c>
      <c r="E249" s="15">
        <f t="shared" si="59"/>
        <v>0.06072190611664296</v>
      </c>
      <c r="F249" s="15">
        <f t="shared" si="59"/>
        <v>0.052717780734977994</v>
      </c>
      <c r="G249" s="2" t="s">
        <v>802</v>
      </c>
      <c r="H249" s="2"/>
      <c r="I249" s="2"/>
      <c r="J249" s="2"/>
      <c r="K249" s="2"/>
    </row>
    <row r="250" ht="15" customHeight="1">
      <c r="A250" s="29" t="s">
        <v>210</v>
      </c>
      <c r="B250" s="40">
        <v>55</v>
      </c>
      <c r="C250" s="40">
        <v>7</v>
      </c>
      <c r="D250" s="40">
        <v>94</v>
      </c>
      <c r="E250" s="40">
        <v>0</v>
      </c>
      <c r="F250" s="40">
        <v>684</v>
      </c>
      <c r="G250" s="2" t="s">
        <v>802</v>
      </c>
      <c r="H250" s="2"/>
      <c r="I250" s="2"/>
      <c r="J250" s="2"/>
      <c r="K250" s="2"/>
    </row>
    <row r="251" ht="15" customHeight="1">
      <c r="A251" s="3" t="s">
        <v>212</v>
      </c>
      <c r="B251" s="34">
        <f t="shared" si="60" ref="B251:F251">_xlfn.IFERROR(B246+B248+B250,"n/a")</f>
        <v>2280</v>
      </c>
      <c r="C251" s="34">
        <f t="shared" si="60"/>
        <v>2596</v>
      </c>
      <c r="D251" s="34">
        <f t="shared" si="60"/>
        <v>2754</v>
      </c>
      <c r="E251" s="34">
        <f t="shared" si="60"/>
        <v>2955</v>
      </c>
      <c r="F251" s="34">
        <f t="shared" si="60"/>
        <v>10374</v>
      </c>
      <c r="G251" s="2" t="s">
        <v>802</v>
      </c>
      <c r="H251" s="2"/>
      <c r="I251" s="2"/>
      <c r="J251" s="2"/>
      <c r="K251" s="2"/>
    </row>
    <row r="252" ht="15" customHeight="1">
      <c r="A252" s="3" t="s">
        <v>213</v>
      </c>
      <c r="B252" s="34">
        <f t="shared" si="61" ref="B252:F252">_xlfn.IFERROR(B244-B251,"n/a")</f>
        <v>2717</v>
      </c>
      <c r="C252" s="34">
        <f t="shared" si="61"/>
        <v>1583</v>
      </c>
      <c r="D252" s="34">
        <f t="shared" si="61"/>
        <v>399</v>
      </c>
      <c r="E252" s="34">
        <f t="shared" si="61"/>
        <v>923</v>
      </c>
      <c r="F252" s="34">
        <f t="shared" si="61"/>
        <v>7076</v>
      </c>
      <c r="G252" s="2" t="s">
        <v>802</v>
      </c>
      <c r="H252" s="2"/>
      <c r="I252" s="2"/>
      <c r="J252" s="2"/>
      <c r="K252" s="2"/>
    </row>
    <row r="253" ht="15" customHeight="1">
      <c r="A253" s="23" t="s">
        <v>214</v>
      </c>
      <c r="B253" s="15">
        <f t="shared" si="62" ref="B253:F253">_xlfn.IFERROR(B252/B237,"n/a")</f>
        <v>0.10789452783734413</v>
      </c>
      <c r="C253" s="15">
        <f t="shared" si="62"/>
        <v>0.06157855836931575</v>
      </c>
      <c r="D253" s="15">
        <f t="shared" si="62"/>
        <v>0.020636152055857254</v>
      </c>
      <c r="E253" s="15">
        <f t="shared" si="62"/>
        <v>0.041029516358463726</v>
      </c>
      <c r="F253" s="15">
        <f t="shared" si="62"/>
        <v>0.07243320708363189</v>
      </c>
      <c r="G253" s="2" t="s">
        <v>802</v>
      </c>
      <c r="H253" s="2"/>
      <c r="I253" s="2"/>
      <c r="J253" s="2"/>
      <c r="K253" s="2"/>
    </row>
    <row r="254" ht="15" customHeight="1">
      <c r="A254" s="29" t="s">
        <v>216</v>
      </c>
      <c r="B254" s="40">
        <v>429</v>
      </c>
      <c r="C254" s="40">
        <v>442</v>
      </c>
      <c r="D254" s="40">
        <v>400</v>
      </c>
      <c r="E254" s="40">
        <v>392</v>
      </c>
      <c r="F254" s="40">
        <v>1569</v>
      </c>
      <c r="G254" s="2" t="s">
        <v>802</v>
      </c>
      <c r="H254" s="2"/>
      <c r="I254" s="2"/>
      <c r="J254" s="2"/>
      <c r="K254" s="2"/>
    </row>
    <row r="255" ht="15" customHeight="1">
      <c r="A255" s="29" t="s">
        <v>218</v>
      </c>
      <c r="B255" s="40">
        <v>-92</v>
      </c>
      <c r="C255" s="40">
        <v>-96</v>
      </c>
      <c r="D255" s="40">
        <v>-91</v>
      </c>
      <c r="E255" s="40">
        <v>-86</v>
      </c>
      <c r="F255" s="40">
        <v>-350</v>
      </c>
      <c r="G255" s="2" t="s">
        <v>802</v>
      </c>
      <c r="H255" s="2"/>
      <c r="I255" s="2"/>
      <c r="J255" s="2"/>
      <c r="K255" s="2"/>
    </row>
    <row r="256" ht="15" customHeight="1">
      <c r="A256" s="29" t="s">
        <v>220</v>
      </c>
      <c r="B256" s="40">
        <v>-263</v>
      </c>
      <c r="C256" s="40">
        <v>595</v>
      </c>
      <c r="D256" s="40">
        <v>-119</v>
      </c>
      <c r="E256" s="40">
        <v>320</v>
      </c>
      <c r="F256" s="40">
        <v>695</v>
      </c>
      <c r="G256" s="2" t="s">
        <v>802</v>
      </c>
      <c r="H256" s="2"/>
      <c r="I256" s="2"/>
      <c r="J256" s="2"/>
      <c r="K256" s="2"/>
    </row>
    <row r="257" ht="15" customHeight="1">
      <c r="A257" s="68" t="s">
        <v>221</v>
      </c>
      <c r="B257" s="14"/>
      <c r="C257" s="14"/>
      <c r="D257" s="40">
        <v>30</v>
      </c>
      <c r="E257" s="40">
        <v>24</v>
      </c>
      <c r="F257" s="40">
        <v>-73</v>
      </c>
      <c r="G257" s="2" t="s">
        <v>802</v>
      </c>
      <c r="H257" s="2"/>
      <c r="I257" s="2"/>
      <c r="J257" s="2"/>
      <c r="K257" s="2"/>
    </row>
    <row r="258" ht="15" customHeight="1">
      <c r="A258" s="68" t="s">
        <v>223</v>
      </c>
      <c r="B258" s="40">
        <v>-7</v>
      </c>
      <c r="C258" s="40">
        <v>-347</v>
      </c>
      <c r="D258" s="40">
        <v>125</v>
      </c>
      <c r="E258" s="40">
        <v>-284</v>
      </c>
      <c r="F258" s="40">
        <v>-589</v>
      </c>
      <c r="G258" s="2" t="s">
        <v>802</v>
      </c>
      <c r="H258" s="2"/>
      <c r="I258" s="2"/>
      <c r="J258" s="2"/>
      <c r="K258" s="2"/>
    </row>
    <row r="259" ht="15" customHeight="1">
      <c r="A259" s="68" t="s">
        <v>224</v>
      </c>
      <c r="B259" s="40">
        <v>0</v>
      </c>
      <c r="C259" s="40">
        <v>0</v>
      </c>
      <c r="D259" s="40">
        <v>0</v>
      </c>
      <c r="E259" s="40">
        <v>0</v>
      </c>
      <c r="F259" s="40">
        <v>0</v>
      </c>
      <c r="G259" s="2" t="s">
        <v>802</v>
      </c>
      <c r="H259" s="2"/>
      <c r="I259" s="2"/>
      <c r="J259" s="2"/>
      <c r="K259" s="2"/>
    </row>
    <row r="260" ht="15" customHeight="1">
      <c r="A260" s="68" t="s">
        <v>226</v>
      </c>
      <c r="B260" s="14" t="s">
        <v>31</v>
      </c>
      <c r="C260" s="14" t="s">
        <v>31</v>
      </c>
      <c r="D260" s="14">
        <f t="shared" si="63" ref="D260:F260">_xlfn.IFERROR(D256+D257+D258-D259,"n/a")</f>
        <v>36</v>
      </c>
      <c r="E260" s="14">
        <f t="shared" si="63"/>
        <v>60</v>
      </c>
      <c r="F260" s="14">
        <f t="shared" si="63"/>
        <v>33</v>
      </c>
      <c r="G260" s="2" t="s">
        <v>802</v>
      </c>
      <c r="H260" s="2"/>
      <c r="I260" s="2"/>
      <c r="J260" s="2"/>
      <c r="K260" s="2"/>
    </row>
    <row r="261" ht="15" customHeight="1">
      <c r="A261" s="3" t="s">
        <v>228</v>
      </c>
      <c r="B261" s="34">
        <f t="shared" si="64" ref="B261:F261">_xlfn.IFERROR(B252+B254+B255+B256,"n/a")</f>
        <v>2791</v>
      </c>
      <c r="C261" s="34">
        <f t="shared" si="64"/>
        <v>2524</v>
      </c>
      <c r="D261" s="34">
        <f t="shared" si="64"/>
        <v>589</v>
      </c>
      <c r="E261" s="34">
        <f t="shared" si="64"/>
        <v>1549</v>
      </c>
      <c r="F261" s="34">
        <f t="shared" si="64"/>
        <v>8990</v>
      </c>
      <c r="G261" s="2" t="s">
        <v>802</v>
      </c>
      <c r="H261" s="2"/>
      <c r="I261" s="2"/>
      <c r="J261" s="2"/>
      <c r="K261" s="2"/>
    </row>
    <row r="262" ht="15" customHeight="1">
      <c r="A262" s="29" t="s">
        <v>229</v>
      </c>
      <c r="B262" s="40">
        <v>602</v>
      </c>
      <c r="C262" s="40">
        <v>381</v>
      </c>
      <c r="D262" s="40">
        <v>169</v>
      </c>
      <c r="E262" s="40">
        <v>359</v>
      </c>
      <c r="F262" s="40">
        <v>1837</v>
      </c>
      <c r="G262" s="2" t="s">
        <v>802</v>
      </c>
      <c r="H262" s="2"/>
      <c r="I262" s="2"/>
      <c r="J262" s="2"/>
      <c r="K262" s="2"/>
    </row>
    <row r="263" ht="15" customHeight="1">
      <c r="A263" s="31" t="s">
        <v>231</v>
      </c>
      <c r="B263" s="15">
        <f t="shared" si="65" ref="B263:F290">_xlfn.IFERROR(B262/B261,"n/a")</f>
        <v>0.21569329989251165</v>
      </c>
      <c r="C263" s="15">
        <f t="shared" si="65"/>
        <v>0.15095087163232965</v>
      </c>
      <c r="D263" s="15">
        <f t="shared" si="65"/>
        <v>0.2869269949066214</v>
      </c>
      <c r="E263" s="15">
        <f t="shared" si="65"/>
        <v>0.2317624273724984</v>
      </c>
      <c r="F263" s="15">
        <f t="shared" si="65"/>
        <v>0.20433815350389323</v>
      </c>
      <c r="G263" s="2" t="s">
        <v>802</v>
      </c>
      <c r="H263" s="2"/>
      <c r="I263" s="2"/>
      <c r="J263" s="2"/>
      <c r="K263" s="2"/>
    </row>
    <row r="264" ht="15" customHeight="1">
      <c r="A264" s="3" t="s">
        <v>232</v>
      </c>
      <c r="B264" s="34">
        <f t="shared" si="66" ref="B264:F264">_xlfn.IFERROR(B261-B262,"n/a")</f>
        <v>2189</v>
      </c>
      <c r="C264" s="34">
        <f t="shared" si="66"/>
        <v>2143</v>
      </c>
      <c r="D264" s="34">
        <f t="shared" si="66"/>
        <v>420</v>
      </c>
      <c r="E264" s="34">
        <f t="shared" si="66"/>
        <v>1190</v>
      </c>
      <c r="F264" s="34">
        <f t="shared" si="66"/>
        <v>7153</v>
      </c>
      <c r="G264" s="2" t="s">
        <v>802</v>
      </c>
      <c r="H264" s="2"/>
      <c r="I264" s="2"/>
      <c r="J264" s="2"/>
      <c r="K264" s="2"/>
    </row>
    <row r="265" ht="15" customHeight="1">
      <c r="A265" s="29" t="s">
        <v>233</v>
      </c>
      <c r="B265" s="40">
        <v>16</v>
      </c>
      <c r="C265" s="40">
        <v>15</v>
      </c>
      <c r="D265" s="40">
        <v>11</v>
      </c>
      <c r="E265" s="40">
        <v>18</v>
      </c>
      <c r="F265" s="40">
        <v>62</v>
      </c>
      <c r="G265" s="2" t="s">
        <v>802</v>
      </c>
      <c r="H265" s="2"/>
      <c r="I265" s="2"/>
      <c r="J265" s="2"/>
      <c r="K265" s="2"/>
    </row>
    <row r="266" ht="15" customHeight="1">
      <c r="A266" s="3" t="s">
        <v>235</v>
      </c>
      <c r="B266" s="34">
        <f t="shared" si="67" ref="B266:F266">_xlfn.IFERROR(B264-B265,"n/a")</f>
        <v>2173</v>
      </c>
      <c r="C266" s="34">
        <f t="shared" si="67"/>
        <v>2128</v>
      </c>
      <c r="D266" s="34">
        <f t="shared" si="67"/>
        <v>409</v>
      </c>
      <c r="E266" s="34">
        <f t="shared" si="67"/>
        <v>1172</v>
      </c>
      <c r="F266" s="34">
        <f t="shared" si="67"/>
        <v>7091</v>
      </c>
      <c r="G266" s="2" t="s">
        <v>802</v>
      </c>
      <c r="H266" s="2"/>
      <c r="I266" s="2"/>
      <c r="J266" s="2"/>
      <c r="K266" s="2"/>
    </row>
    <row r="267" ht="15" customHeight="1">
      <c r="A267" s="29" t="s">
        <v>236</v>
      </c>
      <c r="B267" s="40">
        <v>2173</v>
      </c>
      <c r="C267" s="40">
        <v>2128</v>
      </c>
      <c r="D267" s="40">
        <v>409</v>
      </c>
      <c r="E267" s="40">
        <v>1172</v>
      </c>
      <c r="F267" s="40">
        <v>7091</v>
      </c>
      <c r="G267" s="2" t="s">
        <v>802</v>
      </c>
      <c r="H267" s="2"/>
      <c r="I267" s="2"/>
      <c r="J267" s="2"/>
      <c r="K267" s="2"/>
    </row>
    <row r="268" ht="15" customHeight="1">
      <c r="A268" s="29" t="s">
        <v>238</v>
      </c>
      <c r="B268" s="40">
        <v>0</v>
      </c>
      <c r="C268" s="40">
        <v>-3</v>
      </c>
      <c r="D268" s="40">
        <v>0</v>
      </c>
      <c r="E268" s="40">
        <v>0</v>
      </c>
      <c r="F268" s="40">
        <v>39</v>
      </c>
      <c r="G268" s="2" t="s">
        <v>802</v>
      </c>
      <c r="H268" s="2"/>
      <c r="I268" s="2"/>
      <c r="J268" s="2"/>
      <c r="K268" s="2"/>
    </row>
    <row r="269" ht="15" customHeight="1">
      <c r="A269" s="3" t="s">
        <v>240</v>
      </c>
      <c r="B269" s="34">
        <f t="shared" si="33"/>
        <v>2173</v>
      </c>
      <c r="C269" s="34">
        <f t="shared" si="33"/>
        <v>2125</v>
      </c>
      <c r="D269" s="34">
        <f t="shared" si="33"/>
        <v>409</v>
      </c>
      <c r="E269" s="34">
        <f t="shared" si="33"/>
        <v>1172</v>
      </c>
      <c r="F269" s="34">
        <f t="shared" si="33"/>
        <v>7130</v>
      </c>
      <c r="G269" s="2" t="s">
        <v>802</v>
      </c>
      <c r="H269" s="2"/>
      <c r="I269" s="2"/>
      <c r="J269" s="2"/>
      <c r="K269" s="2"/>
    </row>
    <row r="270" ht="15" customHeight="1">
      <c r="A270" s="29" t="s">
        <v>241</v>
      </c>
      <c r="B270" s="14">
        <f t="shared" si="68" ref="B270:F271">_xlfn.IFERROR(B337,"n/a")</f>
        <v>3198</v>
      </c>
      <c r="C270" s="14">
        <f t="shared" si="68"/>
        <v>3213</v>
      </c>
      <c r="D270" s="14">
        <f t="shared" si="68"/>
        <v>3218</v>
      </c>
      <c r="E270" s="14">
        <f t="shared" si="68"/>
        <v>3223</v>
      </c>
      <c r="F270" s="14">
        <f t="shared" si="68"/>
        <v>3197</v>
      </c>
      <c r="G270" s="2" t="s">
        <v>802</v>
      </c>
      <c r="H270" s="2"/>
      <c r="I270" s="2"/>
      <c r="J270" s="2"/>
      <c r="K270" s="2"/>
    </row>
    <row r="271" ht="15" customHeight="1">
      <c r="A271" s="29" t="s">
        <v>242</v>
      </c>
      <c r="B271" s="14">
        <f t="shared" si="68"/>
        <v>3497</v>
      </c>
      <c r="C271" s="14">
        <f t="shared" si="68"/>
        <v>3517</v>
      </c>
      <c r="D271" s="14">
        <f t="shared" si="68"/>
        <v>3521</v>
      </c>
      <c r="E271" s="14">
        <f t="shared" si="68"/>
        <v>3519</v>
      </c>
      <c r="F271" s="14">
        <f t="shared" si="68"/>
        <v>3498</v>
      </c>
      <c r="G271" s="2" t="s">
        <v>802</v>
      </c>
      <c r="H271" s="2"/>
      <c r="I271" s="2"/>
      <c r="J271" s="2"/>
      <c r="K271" s="2"/>
    </row>
    <row r="272" ht="15" customHeight="1">
      <c r="A272" s="29" t="s">
        <v>243</v>
      </c>
      <c r="B272" s="18">
        <f t="shared" si="69" ref="B272:F272">_xlfn.IFERROR(B269/B270,"n/a")</f>
        <v>0.6794871794871795</v>
      </c>
      <c r="C272" s="18">
        <f t="shared" si="69"/>
        <v>0.6613756613756614</v>
      </c>
      <c r="D272" s="18">
        <f t="shared" si="69"/>
        <v>0.12709757613424488</v>
      </c>
      <c r="E272" s="18">
        <f t="shared" si="69"/>
        <v>0.36363636363636365</v>
      </c>
      <c r="F272" s="18">
        <f t="shared" si="69"/>
        <v>2.2302158273381294</v>
      </c>
      <c r="G272" s="2" t="s">
        <v>802</v>
      </c>
      <c r="H272" s="2"/>
      <c r="I272" s="2"/>
      <c r="J272" s="2"/>
      <c r="K272" s="2"/>
    </row>
    <row r="273" ht="15" customHeight="1">
      <c r="A273" s="3" t="s">
        <v>244</v>
      </c>
      <c r="B273" s="72">
        <f t="shared" si="70" ref="B273:F273">_xlfn.IFERROR(B269/B271,"n/a")</f>
        <v>0.6213897626537032</v>
      </c>
      <c r="C273" s="72">
        <f t="shared" si="70"/>
        <v>0.6042081319306227</v>
      </c>
      <c r="D273" s="72">
        <f t="shared" si="70"/>
        <v>0.1161601817665436</v>
      </c>
      <c r="E273" s="72">
        <f t="shared" si="70"/>
        <v>0.333049161693663</v>
      </c>
      <c r="F273" s="72">
        <f t="shared" si="70"/>
        <v>2.03830760434534</v>
      </c>
      <c r="G273" s="2" t="s">
        <v>802</v>
      </c>
      <c r="H273" s="2"/>
      <c r="I273" s="2"/>
      <c r="J273" s="2"/>
      <c r="K273" s="2"/>
    </row>
    <row r="274" ht="15" customHeight="1">
      <c r="A274" s="29" t="s">
        <v>245</v>
      </c>
      <c r="B274" s="74">
        <v>0.62</v>
      </c>
      <c r="C274" s="74">
        <v>0.6</v>
      </c>
      <c r="D274" s="74">
        <v>0.12</v>
      </c>
      <c r="E274" s="74">
        <v>0.33</v>
      </c>
      <c r="F274" s="74">
        <v>2.04</v>
      </c>
      <c r="G274" s="2" t="s">
        <v>802</v>
      </c>
      <c r="H274" s="2"/>
      <c r="I274" s="2"/>
      <c r="J274" s="2"/>
      <c r="K274" s="2"/>
    </row>
    <row r="275" ht="15" customHeight="1">
      <c r="A275" s="23" t="s">
        <v>249</v>
      </c>
      <c r="B275" s="15">
        <f t="shared" si="71" ref="B275:F275">_xlfn.IFERROR(B261/B237,"n/a")</f>
        <v>0.11083313477881027</v>
      </c>
      <c r="C275" s="15">
        <f t="shared" si="71"/>
        <v>0.09818337417823939</v>
      </c>
      <c r="D275" s="15">
        <f t="shared" si="71"/>
        <v>0.030462891130074995</v>
      </c>
      <c r="E275" s="15">
        <f t="shared" si="71"/>
        <v>0.06885668563300142</v>
      </c>
      <c r="F275" s="15">
        <f t="shared" si="71"/>
        <v>0.09202579588494217</v>
      </c>
      <c r="G275" s="2" t="s">
        <v>802</v>
      </c>
      <c r="H275" s="2"/>
      <c r="I275" s="2"/>
      <c r="J275" s="2"/>
      <c r="K275" s="2"/>
    </row>
    <row r="276" ht="15" customHeight="1">
      <c r="A276" s="23" t="s">
        <v>250</v>
      </c>
      <c r="B276" s="15">
        <f t="shared" si="72" ref="B276:F276">_xlfn.IFERROR(B266/B237,"n/a")</f>
        <v>0.08629179572710666</v>
      </c>
      <c r="C276" s="15">
        <f t="shared" si="72"/>
        <v>0.0827790096082779</v>
      </c>
      <c r="D276" s="15">
        <f t="shared" si="72"/>
        <v>0.021153348849237134</v>
      </c>
      <c r="E276" s="15">
        <f t="shared" si="72"/>
        <v>0.05209815078236131</v>
      </c>
      <c r="F276" s="15">
        <f t="shared" si="72"/>
        <v>0.07258675401781145</v>
      </c>
      <c r="G276" s="2" t="s">
        <v>802</v>
      </c>
      <c r="H276" s="2"/>
      <c r="I276" s="2"/>
      <c r="J276" s="2"/>
      <c r="K276" s="2"/>
    </row>
    <row r="277" ht="15" customHeight="1">
      <c r="A277" s="29" t="s">
        <v>235</v>
      </c>
      <c r="B277" s="14">
        <f t="shared" si="73" ref="B277:F277">_xlfn.IFERROR(B266,"n/a")</f>
        <v>2173</v>
      </c>
      <c r="C277" s="14">
        <f t="shared" si="73"/>
        <v>2128</v>
      </c>
      <c r="D277" s="14">
        <f t="shared" si="73"/>
        <v>409</v>
      </c>
      <c r="E277" s="14">
        <f t="shared" si="73"/>
        <v>1172</v>
      </c>
      <c r="F277" s="14">
        <f t="shared" si="73"/>
        <v>7091</v>
      </c>
      <c r="G277" s="2" t="s">
        <v>802</v>
      </c>
      <c r="H277" s="2"/>
      <c r="I277" s="2"/>
      <c r="J277" s="2"/>
      <c r="K277" s="2"/>
    </row>
    <row r="278" ht="15" customHeight="1">
      <c r="A278" s="29" t="s">
        <v>252</v>
      </c>
      <c r="B278" s="40">
        <v>338</v>
      </c>
      <c r="C278" s="40">
        <v>249</v>
      </c>
      <c r="D278" s="40">
        <v>428</v>
      </c>
      <c r="E278" s="40">
        <v>443</v>
      </c>
      <c r="F278" s="40">
        <v>1328</v>
      </c>
      <c r="G278" s="2" t="s">
        <v>802</v>
      </c>
      <c r="H278" s="2"/>
      <c r="I278" s="2"/>
      <c r="J278" s="2"/>
      <c r="K278" s="2"/>
    </row>
    <row r="279" ht="15" customHeight="1">
      <c r="A279" s="29" t="s">
        <v>253</v>
      </c>
      <c r="B279" s="40">
        <v>-6</v>
      </c>
      <c r="C279" s="40">
        <v>-270</v>
      </c>
      <c r="D279" s="40">
        <v>97</v>
      </c>
      <c r="E279" s="40">
        <v>-222</v>
      </c>
      <c r="F279" s="40">
        <v>-459</v>
      </c>
      <c r="G279" s="2" t="s">
        <v>802</v>
      </c>
      <c r="H279" s="2"/>
      <c r="I279" s="2"/>
      <c r="J279" s="2"/>
      <c r="K279" s="2"/>
    </row>
    <row r="280" ht="15" customHeight="1">
      <c r="A280" s="29" t="s">
        <v>254</v>
      </c>
      <c r="B280" s="40">
        <v>0</v>
      </c>
      <c r="C280" s="40">
        <v>0</v>
      </c>
      <c r="D280" s="40">
        <v>0</v>
      </c>
      <c r="E280" s="40">
        <v>0</v>
      </c>
      <c r="F280" s="40">
        <v>0</v>
      </c>
      <c r="G280" s="2" t="s">
        <v>802</v>
      </c>
      <c r="H280" s="2"/>
      <c r="I280" s="2"/>
      <c r="J280" s="2"/>
      <c r="K280" s="2"/>
    </row>
    <row r="281" ht="15" customHeight="1">
      <c r="A281" s="29" t="s">
        <v>255</v>
      </c>
      <c r="B281" s="40">
        <v>0</v>
      </c>
      <c r="C281" s="40">
        <v>0</v>
      </c>
      <c r="D281" s="40">
        <v>0</v>
      </c>
      <c r="E281" s="40">
        <v>0</v>
      </c>
      <c r="F281" s="40">
        <v>0</v>
      </c>
      <c r="G281" s="2" t="s">
        <v>802</v>
      </c>
      <c r="H281" s="2"/>
      <c r="I281" s="2"/>
      <c r="J281" s="2"/>
      <c r="K281" s="2"/>
    </row>
    <row r="282" ht="15" customHeight="1">
      <c r="A282" s="3" t="s">
        <v>256</v>
      </c>
      <c r="B282" s="34">
        <f t="shared" si="74" ref="B282:F282">_xlfn.IFERROR(B277+B278+B279-B280+B281,"n/a")</f>
        <v>2505</v>
      </c>
      <c r="C282" s="34">
        <f t="shared" si="74"/>
        <v>2107</v>
      </c>
      <c r="D282" s="34">
        <f t="shared" si="74"/>
        <v>934</v>
      </c>
      <c r="E282" s="34">
        <f t="shared" si="74"/>
        <v>1393</v>
      </c>
      <c r="F282" s="34">
        <f t="shared" si="74"/>
        <v>7960</v>
      </c>
      <c r="G282" s="2" t="s">
        <v>802</v>
      </c>
      <c r="H282" s="2"/>
      <c r="I282" s="2"/>
      <c r="J282" s="2"/>
      <c r="K282" s="2"/>
    </row>
    <row r="283" ht="15" customHeight="1">
      <c r="A283" s="29" t="s">
        <v>257</v>
      </c>
      <c r="B283" s="40">
        <v>2505</v>
      </c>
      <c r="C283" s="40">
        <v>2107</v>
      </c>
      <c r="D283" s="40">
        <v>934</v>
      </c>
      <c r="E283" s="40">
        <v>1393</v>
      </c>
      <c r="F283" s="40">
        <v>7960</v>
      </c>
      <c r="G283" s="2" t="s">
        <v>802</v>
      </c>
      <c r="H283" s="2"/>
      <c r="I283" s="2"/>
      <c r="J283" s="2"/>
      <c r="K283" s="2"/>
    </row>
    <row r="284" ht="15" customHeight="1">
      <c r="A284" s="3" t="s">
        <v>259</v>
      </c>
      <c r="B284" s="34">
        <f t="shared" si="75" ref="B284:F284">_xlfn.IFERROR(B282+B268,"n/a")</f>
        <v>2505</v>
      </c>
      <c r="C284" s="34">
        <f t="shared" si="75"/>
        <v>2104</v>
      </c>
      <c r="D284" s="34">
        <f t="shared" si="75"/>
        <v>934</v>
      </c>
      <c r="E284" s="34">
        <f t="shared" si="75"/>
        <v>1393</v>
      </c>
      <c r="F284" s="34">
        <f t="shared" si="75"/>
        <v>7999</v>
      </c>
      <c r="G284" s="2" t="s">
        <v>802</v>
      </c>
      <c r="H284" s="2"/>
      <c r="I284" s="2"/>
      <c r="J284" s="2"/>
      <c r="K284" s="2"/>
    </row>
    <row r="285" ht="15" customHeight="1">
      <c r="A285" s="3" t="s">
        <v>260</v>
      </c>
      <c r="B285" s="72">
        <f t="shared" si="76" ref="B285:F285">_xlfn.IFERROR(B284/B271,"n/a")</f>
        <v>0.7163282813840435</v>
      </c>
      <c r="C285" s="72">
        <f t="shared" si="76"/>
        <v>0.5982371339209553</v>
      </c>
      <c r="D285" s="72">
        <f t="shared" si="76"/>
        <v>0.26526554955978415</v>
      </c>
      <c r="E285" s="72">
        <f t="shared" si="76"/>
        <v>0.39585109406081276</v>
      </c>
      <c r="F285" s="72">
        <f t="shared" si="76"/>
        <v>2.286735277301315</v>
      </c>
      <c r="G285" s="2" t="s">
        <v>802</v>
      </c>
      <c r="H285" s="2"/>
      <c r="I285" s="2"/>
      <c r="J285" s="2"/>
      <c r="K285" s="2"/>
    </row>
    <row r="286" ht="15" customHeight="1">
      <c r="A286" s="29" t="s">
        <v>261</v>
      </c>
      <c r="B286" s="74">
        <v>0.72</v>
      </c>
      <c r="C286" s="74">
        <v>0.6</v>
      </c>
      <c r="D286" s="74">
        <v>0.27</v>
      </c>
      <c r="E286" s="74">
        <v>0.4</v>
      </c>
      <c r="F286" s="74">
        <v>2.29</v>
      </c>
      <c r="G286" s="2" t="s">
        <v>802</v>
      </c>
      <c r="H286" s="2"/>
      <c r="I286" s="2"/>
      <c r="J286" s="2"/>
      <c r="K286" s="2"/>
    </row>
    <row r="287" ht="15" customHeight="1">
      <c r="A287" s="29" t="s">
        <v>264</v>
      </c>
      <c r="B287" s="40">
        <v>457</v>
      </c>
      <c r="C287" s="40">
        <v>579</v>
      </c>
      <c r="D287" s="40">
        <v>573</v>
      </c>
      <c r="E287" s="40">
        <v>635</v>
      </c>
      <c r="F287" s="40">
        <v>1999</v>
      </c>
      <c r="G287" s="2" t="s">
        <v>802</v>
      </c>
      <c r="H287" s="2"/>
      <c r="I287" s="2"/>
      <c r="J287" s="2"/>
      <c r="K287" s="2"/>
    </row>
    <row r="288" ht="15" customHeight="1">
      <c r="A288" s="3" t="s">
        <v>274</v>
      </c>
      <c r="B288" s="34">
        <f t="shared" si="77" ref="B288:F288">_xlfn.IFERROR(B261+B287+B258-B259,"n/a")</f>
        <v>3241</v>
      </c>
      <c r="C288" s="34">
        <f t="shared" si="77"/>
        <v>2756</v>
      </c>
      <c r="D288" s="34">
        <f t="shared" si="77"/>
        <v>1287</v>
      </c>
      <c r="E288" s="34">
        <f t="shared" si="77"/>
        <v>1900</v>
      </c>
      <c r="F288" s="34">
        <f t="shared" si="77"/>
        <v>10400</v>
      </c>
      <c r="G288" s="2" t="s">
        <v>802</v>
      </c>
      <c r="H288" s="2"/>
      <c r="I288" s="2"/>
      <c r="J288" s="2"/>
      <c r="K288" s="2"/>
    </row>
    <row r="289" ht="15" customHeight="1">
      <c r="A289" s="29" t="s">
        <v>275</v>
      </c>
      <c r="B289" s="14">
        <f t="shared" si="78" ref="B289:F289">_xlfn.IFERROR(B288-B282-B265,"n/a")</f>
        <v>720</v>
      </c>
      <c r="C289" s="14">
        <f t="shared" si="78"/>
        <v>634</v>
      </c>
      <c r="D289" s="14">
        <f t="shared" si="78"/>
        <v>342</v>
      </c>
      <c r="E289" s="14">
        <f t="shared" si="78"/>
        <v>489</v>
      </c>
      <c r="F289" s="14">
        <f t="shared" si="78"/>
        <v>2378</v>
      </c>
      <c r="G289" s="2" t="s">
        <v>802</v>
      </c>
      <c r="H289" s="2"/>
      <c r="I289" s="2"/>
      <c r="J289" s="2"/>
      <c r="K289" s="2"/>
    </row>
    <row r="290" ht="15" customHeight="1">
      <c r="A290" s="31" t="s">
        <v>276</v>
      </c>
      <c r="B290" s="15">
        <f t="shared" si="65"/>
        <v>0.22215365627892625</v>
      </c>
      <c r="C290" s="15">
        <f t="shared" si="65"/>
        <v>0.23004354136429608</v>
      </c>
      <c r="D290" s="15">
        <f t="shared" si="65"/>
        <v>0.26573426573426573</v>
      </c>
      <c r="E290" s="15">
        <f t="shared" si="65"/>
        <v>0.2573684210526316</v>
      </c>
      <c r="F290" s="15">
        <f t="shared" si="65"/>
        <v>0.22865384615384615</v>
      </c>
      <c r="G290" s="2" t="s">
        <v>802</v>
      </c>
      <c r="H290" s="2"/>
      <c r="I290" s="2"/>
      <c r="J290" s="2"/>
      <c r="K290" s="2"/>
    </row>
    <row r="291" ht="15" customHeight="1">
      <c r="A291" s="29" t="s">
        <v>280</v>
      </c>
      <c r="B291" s="14">
        <f t="shared" si="79" ref="B291:F291">_xlfn.IFERROR(B296,"n/a")</f>
        <v>1348</v>
      </c>
      <c r="C291" s="14">
        <f t="shared" si="79"/>
        <v>1496</v>
      </c>
      <c r="D291" s="14">
        <f t="shared" si="79"/>
        <v>1447</v>
      </c>
      <c r="E291" s="14">
        <f t="shared" si="79"/>
        <v>1433</v>
      </c>
      <c r="F291" s="14">
        <f t="shared" si="79"/>
        <v>5368</v>
      </c>
      <c r="G291" s="2" t="s">
        <v>802</v>
      </c>
      <c r="H291" s="2"/>
      <c r="I291" s="2"/>
      <c r="J291" s="2"/>
      <c r="K291" s="2"/>
    </row>
    <row r="292" ht="15" customHeight="1">
      <c r="A292" s="3" t="s">
        <v>281</v>
      </c>
      <c r="B292" s="34">
        <f t="shared" si="80" ref="B292:F292">_xlfn.IFERROR(B266-B255+B262+B291+B287+B258-B259,"n/a")</f>
        <v>4665</v>
      </c>
      <c r="C292" s="34">
        <f t="shared" si="80"/>
        <v>4333</v>
      </c>
      <c r="D292" s="34">
        <f t="shared" si="80"/>
        <v>2814</v>
      </c>
      <c r="E292" s="34">
        <f t="shared" si="80"/>
        <v>3401</v>
      </c>
      <c r="F292" s="34">
        <f t="shared" si="80"/>
        <v>16056</v>
      </c>
      <c r="G292" s="2" t="s">
        <v>802</v>
      </c>
      <c r="H292" s="2"/>
      <c r="I292" s="2"/>
      <c r="J292" s="2"/>
      <c r="K292" s="2"/>
    </row>
    <row r="293" ht="15" customHeight="1">
      <c r="A293" s="23" t="s">
        <v>282</v>
      </c>
      <c r="B293" s="15">
        <f t="shared" si="81" ref="B293:F293">_xlfn.IFERROR(B292/B237,"n/a")</f>
        <v>0.1852513700262092</v>
      </c>
      <c r="C293" s="15">
        <f t="shared" si="81"/>
        <v>0.16855331232738166</v>
      </c>
      <c r="D293" s="15">
        <f t="shared" si="81"/>
        <v>0.14553917765709853</v>
      </c>
      <c r="E293" s="15">
        <f t="shared" si="81"/>
        <v>0.15118243243243243</v>
      </c>
      <c r="F293" s="15">
        <f t="shared" si="81"/>
        <v>0.1643566383457877</v>
      </c>
      <c r="G293" s="2" t="s">
        <v>802</v>
      </c>
      <c r="H293" s="2"/>
      <c r="I293" s="2"/>
      <c r="J293" s="2"/>
      <c r="K293" s="2"/>
    </row>
    <row r="294" ht="15" customHeight="1">
      <c r="A294" s="29" t="s">
        <v>283</v>
      </c>
      <c r="B294" s="40">
        <v>4665</v>
      </c>
      <c r="C294" s="40">
        <v>4333</v>
      </c>
      <c r="D294" s="40">
        <v>2814</v>
      </c>
      <c r="E294" s="40">
        <v>3401</v>
      </c>
      <c r="F294" s="40">
        <v>16056</v>
      </c>
      <c r="G294" s="2" t="s">
        <v>802</v>
      </c>
      <c r="H294" s="2"/>
      <c r="I294" s="2"/>
      <c r="J294" s="2"/>
      <c r="K294" s="2"/>
    </row>
    <row r="295" ht="15" customHeight="1">
      <c r="A295" s="29" t="s">
        <v>232</v>
      </c>
      <c r="B295" s="14">
        <f t="shared" si="82" ref="B295:F295">_xlfn.IFERROR(B264,"n/a")</f>
        <v>2189</v>
      </c>
      <c r="C295" s="14">
        <f t="shared" si="82"/>
        <v>2143</v>
      </c>
      <c r="D295" s="14">
        <f t="shared" si="82"/>
        <v>420</v>
      </c>
      <c r="E295" s="14">
        <f t="shared" si="82"/>
        <v>1190</v>
      </c>
      <c r="F295" s="14">
        <f t="shared" si="82"/>
        <v>7153</v>
      </c>
      <c r="G295" s="2" t="s">
        <v>803</v>
      </c>
      <c r="H295" s="2"/>
      <c r="I295" s="2"/>
      <c r="J295" s="2"/>
      <c r="K295" s="2"/>
    </row>
    <row r="296" ht="15" customHeight="1">
      <c r="A296" s="29" t="s">
        <v>280</v>
      </c>
      <c r="B296" s="40">
        <v>1348</v>
      </c>
      <c r="C296" s="40">
        <v>1496</v>
      </c>
      <c r="D296" s="40">
        <v>1447</v>
      </c>
      <c r="E296" s="40">
        <v>1433</v>
      </c>
      <c r="F296" s="40">
        <v>5368</v>
      </c>
      <c r="G296" s="2" t="s">
        <v>803</v>
      </c>
      <c r="H296" s="2"/>
      <c r="I296" s="2"/>
      <c r="J296" s="2"/>
      <c r="K296" s="2"/>
    </row>
    <row r="297" ht="15" customHeight="1">
      <c r="A297" s="29" t="s">
        <v>349</v>
      </c>
      <c r="B297" s="14">
        <f t="shared" si="83" ref="B297:F297">_xlfn.IFERROR(B287,"n/a")</f>
        <v>457</v>
      </c>
      <c r="C297" s="14">
        <f t="shared" si="83"/>
        <v>579</v>
      </c>
      <c r="D297" s="14">
        <f t="shared" si="83"/>
        <v>573</v>
      </c>
      <c r="E297" s="14">
        <f t="shared" si="83"/>
        <v>635</v>
      </c>
      <c r="F297" s="14">
        <f t="shared" si="83"/>
        <v>1999</v>
      </c>
      <c r="G297" s="2" t="s">
        <v>803</v>
      </c>
      <c r="H297" s="2"/>
      <c r="I297" s="2"/>
      <c r="J297" s="2"/>
      <c r="K297" s="2"/>
    </row>
    <row r="298" ht="15" customHeight="1">
      <c r="A298" s="29" t="s">
        <v>350</v>
      </c>
      <c r="B298" s="14"/>
      <c r="C298" s="14"/>
      <c r="D298" s="40">
        <v>112</v>
      </c>
      <c r="E298" s="40">
        <v>136</v>
      </c>
      <c r="F298" s="14"/>
      <c r="G298" s="2" t="s">
        <v>803</v>
      </c>
      <c r="H298" s="2"/>
      <c r="I298" s="2"/>
      <c r="J298" s="2"/>
      <c r="K298" s="2"/>
    </row>
    <row r="299" ht="15" customHeight="1">
      <c r="A299" s="29" t="s">
        <v>352</v>
      </c>
      <c r="B299" s="14" t="s">
        <v>31</v>
      </c>
      <c r="C299" s="14" t="s">
        <v>31</v>
      </c>
      <c r="D299" s="14">
        <f t="shared" si="84" ref="D299:F299">_xlfn.IFERROR(D257,"n/a")</f>
        <v>30</v>
      </c>
      <c r="E299" s="14">
        <f t="shared" si="84"/>
        <v>24</v>
      </c>
      <c r="F299" s="14">
        <f t="shared" si="84"/>
        <v>-73</v>
      </c>
      <c r="G299" s="2" t="s">
        <v>803</v>
      </c>
      <c r="H299" s="2"/>
      <c r="I299" s="2"/>
      <c r="J299" s="2"/>
      <c r="K299" s="2"/>
    </row>
    <row r="300" ht="15" customHeight="1">
      <c r="A300" s="29" t="s">
        <v>353</v>
      </c>
      <c r="B300" s="14"/>
      <c r="C300" s="14"/>
      <c r="D300" s="40">
        <v>-43</v>
      </c>
      <c r="E300" s="40">
        <v>52</v>
      </c>
      <c r="F300" s="14"/>
      <c r="G300" s="2" t="s">
        <v>803</v>
      </c>
      <c r="H300" s="2"/>
      <c r="I300" s="2"/>
      <c r="J300" s="2"/>
      <c r="K300" s="2"/>
    </row>
    <row r="301" ht="15" customHeight="1">
      <c r="A301" s="29" t="s">
        <v>355</v>
      </c>
      <c r="B301" s="14"/>
      <c r="C301" s="14"/>
      <c r="D301" s="40">
        <v>46</v>
      </c>
      <c r="E301" s="40">
        <v>27</v>
      </c>
      <c r="F301" s="14"/>
      <c r="G301" s="2" t="s">
        <v>803</v>
      </c>
      <c r="H301" s="2"/>
      <c r="I301" s="2"/>
      <c r="J301" s="2"/>
      <c r="K301" s="2"/>
    </row>
    <row r="302" ht="15" customHeight="1">
      <c r="A302" s="29" t="s">
        <v>357</v>
      </c>
      <c r="B302" s="14">
        <f t="shared" si="85" ref="B302:F302">_xlfn.IFERROR(-B259,"n/a")</f>
        <v>0</v>
      </c>
      <c r="C302" s="14">
        <f t="shared" si="85"/>
        <v>0</v>
      </c>
      <c r="D302" s="14">
        <f t="shared" si="85"/>
        <v>0</v>
      </c>
      <c r="E302" s="14">
        <f t="shared" si="85"/>
        <v>0</v>
      </c>
      <c r="F302" s="14">
        <f t="shared" si="85"/>
        <v>0</v>
      </c>
      <c r="G302" s="2" t="s">
        <v>803</v>
      </c>
      <c r="H302" s="2"/>
      <c r="I302" s="2"/>
      <c r="J302" s="2"/>
      <c r="K302" s="2"/>
    </row>
    <row r="303" ht="15" customHeight="1">
      <c r="A303" s="29" t="s">
        <v>358</v>
      </c>
      <c r="B303" s="14">
        <f t="shared" si="86" ref="B303:F303">_xlfn.IFERROR(B258,"n/a")</f>
        <v>-7</v>
      </c>
      <c r="C303" s="14">
        <f t="shared" si="86"/>
        <v>-347</v>
      </c>
      <c r="D303" s="14">
        <f t="shared" si="86"/>
        <v>125</v>
      </c>
      <c r="E303" s="14">
        <f t="shared" si="86"/>
        <v>-284</v>
      </c>
      <c r="F303" s="14">
        <f t="shared" si="86"/>
        <v>-589</v>
      </c>
      <c r="G303" s="2" t="s">
        <v>803</v>
      </c>
      <c r="H303" s="2"/>
      <c r="I303" s="2"/>
      <c r="J303" s="2"/>
      <c r="K303" s="2"/>
    </row>
    <row r="304" ht="15" customHeight="1">
      <c r="A304" s="29" t="s">
        <v>359</v>
      </c>
      <c r="B304" s="14"/>
      <c r="C304" s="14"/>
      <c r="D304" s="40">
        <v>630</v>
      </c>
      <c r="E304" s="40">
        <v>-29</v>
      </c>
      <c r="F304" s="14"/>
      <c r="G304" s="2" t="s">
        <v>803</v>
      </c>
      <c r="H304" s="2"/>
      <c r="I304" s="2"/>
      <c r="J304" s="2"/>
      <c r="K304" s="2"/>
    </row>
    <row r="305" ht="15" customHeight="1">
      <c r="A305" s="29" t="s">
        <v>360</v>
      </c>
      <c r="B305" s="14"/>
      <c r="C305" s="14"/>
      <c r="D305" s="40">
        <v>-1704</v>
      </c>
      <c r="E305" s="40">
        <v>-703</v>
      </c>
      <c r="F305" s="14"/>
      <c r="G305" s="2" t="s">
        <v>803</v>
      </c>
      <c r="H305" s="2"/>
      <c r="I305" s="2"/>
      <c r="J305" s="2"/>
      <c r="K305" s="2"/>
    </row>
    <row r="306" ht="15" customHeight="1">
      <c r="A306" s="29" t="s">
        <v>362</v>
      </c>
      <c r="B306" s="14"/>
      <c r="C306" s="14"/>
      <c r="D306" s="40">
        <v>-76</v>
      </c>
      <c r="E306" s="40">
        <v>141</v>
      </c>
      <c r="F306" s="14"/>
      <c r="G306" s="2" t="s">
        <v>803</v>
      </c>
      <c r="H306" s="2"/>
      <c r="I306" s="2"/>
      <c r="J306" s="2"/>
      <c r="K306" s="2"/>
    </row>
    <row r="307" ht="15" customHeight="1">
      <c r="A307" s="29" t="s">
        <v>364</v>
      </c>
      <c r="B307" s="14"/>
      <c r="C307" s="14"/>
      <c r="D307" s="40">
        <v>-419</v>
      </c>
      <c r="E307" s="40">
        <v>-718</v>
      </c>
      <c r="F307" s="14"/>
      <c r="G307" s="2" t="s">
        <v>803</v>
      </c>
      <c r="H307" s="2"/>
      <c r="I307" s="2"/>
      <c r="J307" s="2"/>
      <c r="K307" s="2"/>
    </row>
    <row r="308" ht="15" customHeight="1">
      <c r="A308" s="29" t="s">
        <v>365</v>
      </c>
      <c r="B308" s="14"/>
      <c r="C308" s="14"/>
      <c r="D308" s="40">
        <v>706</v>
      </c>
      <c r="E308" s="40">
        <v>627</v>
      </c>
      <c r="F308" s="14"/>
      <c r="G308" s="2" t="s">
        <v>803</v>
      </c>
      <c r="H308" s="2"/>
      <c r="I308" s="2"/>
      <c r="J308" s="2"/>
      <c r="K308" s="2"/>
    </row>
    <row r="309" ht="15" customHeight="1">
      <c r="A309" s="29" t="s">
        <v>367</v>
      </c>
      <c r="B309" s="14"/>
      <c r="C309" s="14"/>
      <c r="D309" s="40">
        <v>309</v>
      </c>
      <c r="E309" s="40">
        <v>9</v>
      </c>
      <c r="F309" s="14"/>
      <c r="G309" s="2" t="s">
        <v>803</v>
      </c>
      <c r="H309" s="2"/>
      <c r="I309" s="2"/>
      <c r="J309" s="2"/>
      <c r="K309" s="2"/>
    </row>
    <row r="310" ht="15" customHeight="1">
      <c r="A310" s="3" t="s">
        <v>369</v>
      </c>
      <c r="B310" s="82">
        <v>6255</v>
      </c>
      <c r="C310" s="82">
        <v>4814</v>
      </c>
      <c r="D310" s="34">
        <f t="shared" si="87" ref="D310:E310">_xlfn.IFERROR(D295+D296+D297+D298+D299+D300+D301+D302+D303+D304+D305+D306+D307+D308+D309,"n/a")</f>
        <v>2156</v>
      </c>
      <c r="E310" s="34">
        <f t="shared" si="87"/>
        <v>2540</v>
      </c>
      <c r="F310" s="82">
        <v>14923</v>
      </c>
      <c r="G310" s="2" t="s">
        <v>803</v>
      </c>
      <c r="H310" s="2"/>
      <c r="I310" s="2"/>
      <c r="J310" s="2"/>
      <c r="K310" s="2"/>
    </row>
    <row r="311" ht="15" customHeight="1">
      <c r="A311" s="29" t="s">
        <v>371</v>
      </c>
      <c r="B311" s="40">
        <v>-3513</v>
      </c>
      <c r="C311" s="40">
        <v>-2780</v>
      </c>
      <c r="D311" s="40">
        <v>-1492</v>
      </c>
      <c r="E311" s="40">
        <v>-2394</v>
      </c>
      <c r="F311" s="40">
        <v>-11342</v>
      </c>
      <c r="G311" s="2" t="s">
        <v>803</v>
      </c>
      <c r="H311" s="2"/>
      <c r="I311" s="2"/>
      <c r="J311" s="2"/>
      <c r="K311" s="2"/>
    </row>
    <row r="312" ht="15" customHeight="1">
      <c r="A312" s="29" t="s">
        <v>373</v>
      </c>
      <c r="B312" s="14"/>
      <c r="C312" s="14"/>
      <c r="D312" s="40">
        <v>0</v>
      </c>
      <c r="E312" s="40">
        <v>0</v>
      </c>
      <c r="F312" s="14"/>
      <c r="G312" s="2" t="s">
        <v>803</v>
      </c>
      <c r="H312" s="2"/>
      <c r="I312" s="2"/>
      <c r="J312" s="2"/>
      <c r="K312" s="2"/>
    </row>
    <row r="313" ht="15" customHeight="1">
      <c r="A313" s="29" t="s">
        <v>374</v>
      </c>
      <c r="B313" s="14"/>
      <c r="C313" s="14"/>
      <c r="D313" s="40">
        <v>-6015</v>
      </c>
      <c r="E313" s="40">
        <v>-7485</v>
      </c>
      <c r="F313" s="14"/>
      <c r="G313" s="2" t="s">
        <v>803</v>
      </c>
      <c r="H313" s="2"/>
      <c r="I313" s="2"/>
      <c r="J313" s="2"/>
      <c r="K313" s="2"/>
    </row>
    <row r="314" ht="15" customHeight="1">
      <c r="A314" s="29" t="s">
        <v>376</v>
      </c>
      <c r="B314" s="14"/>
      <c r="C314" s="14"/>
      <c r="D314" s="40">
        <v>5856</v>
      </c>
      <c r="E314" s="40">
        <v>6935</v>
      </c>
      <c r="F314" s="14"/>
      <c r="G314" s="2" t="s">
        <v>803</v>
      </c>
      <c r="H314" s="2"/>
      <c r="I314" s="2"/>
      <c r="J314" s="2"/>
      <c r="K314" s="2"/>
    </row>
    <row r="315" ht="15" customHeight="1">
      <c r="A315" s="29" t="s">
        <v>377</v>
      </c>
      <c r="B315" s="14"/>
      <c r="C315" s="14"/>
      <c r="D315" s="40">
        <v>0</v>
      </c>
      <c r="E315" s="40">
        <v>0</v>
      </c>
      <c r="F315" s="14"/>
      <c r="G315" s="2" t="s">
        <v>803</v>
      </c>
      <c r="H315" s="2"/>
      <c r="I315" s="2"/>
      <c r="J315" s="2"/>
      <c r="K315" s="2"/>
    </row>
    <row r="316" ht="15" customHeight="1">
      <c r="A316" s="3" t="s">
        <v>378</v>
      </c>
      <c r="B316" s="34" t="s">
        <v>31</v>
      </c>
      <c r="C316" s="34" t="s">
        <v>31</v>
      </c>
      <c r="D316" s="34">
        <f t="shared" si="88" ref="D316:E316">_xlfn.IFERROR(D311+D312+D313+D314+D315,"n/a")</f>
        <v>-1651</v>
      </c>
      <c r="E316" s="34">
        <f t="shared" si="88"/>
        <v>-2944</v>
      </c>
      <c r="F316" s="34" t="s">
        <v>31</v>
      </c>
      <c r="G316" s="2" t="s">
        <v>803</v>
      </c>
      <c r="H316" s="2"/>
      <c r="I316" s="2"/>
      <c r="J316" s="2"/>
      <c r="K316" s="2"/>
    </row>
    <row r="317" ht="15" customHeight="1">
      <c r="A317" s="29" t="s">
        <v>380</v>
      </c>
      <c r="B317" s="14"/>
      <c r="C317" s="14"/>
      <c r="D317" s="40">
        <v>625</v>
      </c>
      <c r="E317" s="40">
        <v>2425</v>
      </c>
      <c r="F317" s="14"/>
      <c r="G317" s="2" t="s">
        <v>803</v>
      </c>
      <c r="H317" s="2"/>
      <c r="I317" s="2"/>
      <c r="J317" s="2"/>
      <c r="K317" s="2"/>
    </row>
    <row r="318" ht="15" customHeight="1">
      <c r="A318" s="29" t="s">
        <v>382</v>
      </c>
      <c r="B318" s="14"/>
      <c r="C318" s="14"/>
      <c r="D318" s="40">
        <v>-1301</v>
      </c>
      <c r="E318" s="40">
        <v>-2828</v>
      </c>
      <c r="F318" s="14"/>
      <c r="G318" s="2" t="s">
        <v>803</v>
      </c>
      <c r="H318" s="2"/>
      <c r="I318" s="2"/>
      <c r="J318" s="2"/>
      <c r="K318" s="2"/>
    </row>
    <row r="319" ht="15" customHeight="1">
      <c r="A319" s="29" t="s">
        <v>383</v>
      </c>
      <c r="B319" s="14"/>
      <c r="C319" s="14"/>
      <c r="D319" s="40">
        <v>0</v>
      </c>
      <c r="E319" s="40">
        <v>-1</v>
      </c>
      <c r="F319" s="14"/>
      <c r="G319" s="2" t="s">
        <v>803</v>
      </c>
      <c r="H319" s="2"/>
      <c r="I319" s="2"/>
      <c r="J319" s="2"/>
      <c r="K319" s="2"/>
    </row>
    <row r="320" ht="15" customHeight="1">
      <c r="A320" s="29" t="s">
        <v>384</v>
      </c>
      <c r="B320" s="14"/>
      <c r="C320" s="14"/>
      <c r="D320" s="40">
        <v>313</v>
      </c>
      <c r="E320" s="40">
        <v>215</v>
      </c>
      <c r="F320" s="14"/>
      <c r="G320" s="2" t="s">
        <v>803</v>
      </c>
      <c r="H320" s="2"/>
      <c r="I320" s="2"/>
      <c r="J320" s="2"/>
      <c r="K320" s="2"/>
    </row>
    <row r="321" ht="15" customHeight="1">
      <c r="A321" s="29" t="s">
        <v>385</v>
      </c>
      <c r="B321" s="14"/>
      <c r="C321" s="14"/>
      <c r="D321" s="40">
        <v>-48</v>
      </c>
      <c r="E321" s="40">
        <v>-19</v>
      </c>
      <c r="F321" s="14"/>
      <c r="G321" s="2" t="s">
        <v>803</v>
      </c>
      <c r="H321" s="2"/>
      <c r="I321" s="2"/>
      <c r="J321" s="2"/>
      <c r="K321" s="2"/>
    </row>
    <row r="322" ht="15" customHeight="1">
      <c r="A322" s="29" t="s">
        <v>386</v>
      </c>
      <c r="B322" s="14"/>
      <c r="C322" s="14"/>
      <c r="D322" s="40">
        <v>101</v>
      </c>
      <c r="E322" s="40">
        <v>0</v>
      </c>
      <c r="F322" s="14"/>
      <c r="G322" s="2" t="s">
        <v>803</v>
      </c>
      <c r="H322" s="2"/>
      <c r="I322" s="2"/>
      <c r="J322" s="2"/>
      <c r="K322" s="2"/>
    </row>
    <row r="323" ht="15" customHeight="1">
      <c r="A323" s="29" t="s">
        <v>387</v>
      </c>
      <c r="B323" s="14"/>
      <c r="C323" s="14"/>
      <c r="D323" s="40">
        <v>-22</v>
      </c>
      <c r="E323" s="40">
        <v>-14</v>
      </c>
      <c r="F323" s="14"/>
      <c r="G323" s="2" t="s">
        <v>803</v>
      </c>
      <c r="H323" s="2"/>
      <c r="I323" s="2"/>
      <c r="J323" s="2"/>
      <c r="K323" s="2"/>
    </row>
    <row r="324" ht="15" customHeight="1">
      <c r="A324" s="3" t="s">
        <v>388</v>
      </c>
      <c r="B324" s="34" t="s">
        <v>31</v>
      </c>
      <c r="C324" s="34" t="s">
        <v>31</v>
      </c>
      <c r="D324" s="34">
        <f t="shared" si="89" ref="D324:E324">_xlfn.IFERROR(D317+D318+D319+D320+D321+D322+D323,"n/a")</f>
        <v>-332</v>
      </c>
      <c r="E324" s="34">
        <f t="shared" si="89"/>
        <v>-222</v>
      </c>
      <c r="F324" s="34" t="s">
        <v>31</v>
      </c>
      <c r="G324" s="2" t="s">
        <v>803</v>
      </c>
      <c r="H324" s="2"/>
      <c r="I324" s="2"/>
      <c r="J324" s="2"/>
      <c r="K324" s="2"/>
    </row>
    <row r="325" ht="15" customHeight="1">
      <c r="A325" s="29" t="s">
        <v>389</v>
      </c>
      <c r="B325" s="14"/>
      <c r="C325" s="14"/>
      <c r="D325" s="40">
        <v>40</v>
      </c>
      <c r="E325" s="40">
        <v>111</v>
      </c>
      <c r="F325" s="14"/>
      <c r="G325" s="2" t="s">
        <v>803</v>
      </c>
      <c r="H325" s="2"/>
      <c r="I325" s="2"/>
      <c r="J325" s="2"/>
      <c r="K325" s="2"/>
    </row>
    <row r="326" ht="15" customHeight="1">
      <c r="A326" s="3" t="s">
        <v>390</v>
      </c>
      <c r="B326" s="34" t="s">
        <v>31</v>
      </c>
      <c r="C326" s="34" t="s">
        <v>31</v>
      </c>
      <c r="D326" s="34">
        <f t="shared" si="90" ref="D326:E326">_xlfn.IFERROR(D310+D316+D324+D325,"n/a")</f>
        <v>213</v>
      </c>
      <c r="E326" s="34">
        <f t="shared" si="90"/>
        <v>-515</v>
      </c>
      <c r="F326" s="34" t="s">
        <v>31</v>
      </c>
      <c r="G326" s="2" t="s">
        <v>803</v>
      </c>
      <c r="H326" s="2"/>
      <c r="I326" s="2"/>
      <c r="J326" s="2"/>
      <c r="K326" s="2"/>
    </row>
    <row r="327" ht="15" customHeight="1">
      <c r="A327" s="29" t="s">
        <v>391</v>
      </c>
      <c r="B327" s="14"/>
      <c r="C327" s="14"/>
      <c r="D327" s="40">
        <v>17037</v>
      </c>
      <c r="E327" s="14"/>
      <c r="F327" s="14"/>
      <c r="G327" s="2" t="s">
        <v>803</v>
      </c>
      <c r="H327" s="2"/>
      <c r="I327" s="2"/>
      <c r="J327" s="2"/>
      <c r="K327" s="2"/>
    </row>
    <row r="328" ht="15" customHeight="1">
      <c r="A328" s="3" t="s">
        <v>392</v>
      </c>
      <c r="B328" s="34" t="s">
        <v>31</v>
      </c>
      <c r="C328" s="34" t="s">
        <v>31</v>
      </c>
      <c r="D328" s="34">
        <f>_xlfn.IFERROR(D327+D326,"n/a")</f>
        <v>17250</v>
      </c>
      <c r="E328" s="34" t="s">
        <v>31</v>
      </c>
      <c r="F328" s="34" t="s">
        <v>31</v>
      </c>
      <c r="G328" s="2" t="s">
        <v>803</v>
      </c>
      <c r="H328" s="2"/>
      <c r="I328" s="2"/>
      <c r="J328" s="2"/>
      <c r="K328" s="2"/>
    </row>
    <row r="329" ht="15" customHeight="1">
      <c r="A329" s="3" t="s">
        <v>396</v>
      </c>
      <c r="B329" s="34">
        <f t="shared" si="91" ref="B329:F329">_xlfn.IFERROR(B310+B311,"n/a")</f>
        <v>2742</v>
      </c>
      <c r="C329" s="34">
        <f t="shared" si="91"/>
        <v>2034</v>
      </c>
      <c r="D329" s="34">
        <f t="shared" si="91"/>
        <v>664</v>
      </c>
      <c r="E329" s="34">
        <f t="shared" si="91"/>
        <v>146</v>
      </c>
      <c r="F329" s="34">
        <f t="shared" si="91"/>
        <v>3581</v>
      </c>
      <c r="G329" s="2" t="s">
        <v>803</v>
      </c>
      <c r="H329" s="2"/>
      <c r="I329" s="2"/>
      <c r="J329" s="2"/>
      <c r="K329" s="2"/>
    </row>
    <row r="330" ht="15" customHeight="1">
      <c r="A330" s="31" t="s">
        <v>401</v>
      </c>
      <c r="B330" s="15">
        <f t="shared" si="92" ref="B330:F330">_xlfn.IFERROR(B331/B336,"n/a")</f>
        <v>0.49972202366769913</v>
      </c>
      <c r="C330" s="15">
        <f t="shared" si="92"/>
        <v>0.47158361535768467</v>
      </c>
      <c r="D330" s="15">
        <f t="shared" si="92"/>
        <v>0.5344194465994311</v>
      </c>
      <c r="E330" s="15">
        <f t="shared" si="92"/>
        <v>0.5249377667140825</v>
      </c>
      <c r="F330" s="15">
        <f t="shared" si="92"/>
        <v>0.4885351622479271</v>
      </c>
      <c r="G330" s="2" t="s">
        <v>399</v>
      </c>
      <c r="H330" s="2"/>
      <c r="I330" s="2"/>
      <c r="J330" s="2"/>
      <c r="K330" s="2"/>
    </row>
    <row r="331" ht="15" customHeight="1">
      <c r="A331" s="29" t="s">
        <v>403</v>
      </c>
      <c r="B331" s="40">
        <v>12584</v>
      </c>
      <c r="C331" s="14">
        <f>B147-C147</f>
        <v>12123</v>
      </c>
      <c r="D331" s="40">
        <v>10333</v>
      </c>
      <c r="E331" s="40">
        <v>11809</v>
      </c>
      <c r="F331" s="14">
        <f>B147</f>
        <v>47725</v>
      </c>
      <c r="G331" s="2" t="s">
        <v>399</v>
      </c>
      <c r="H331" s="2"/>
      <c r="I331" s="2"/>
      <c r="J331" s="2"/>
      <c r="K331" s="2"/>
    </row>
    <row r="332" ht="15" customHeight="1">
      <c r="A332" s="31" t="s">
        <v>404</v>
      </c>
      <c r="B332" s="15">
        <f t="shared" si="93" ref="B332:F332">_xlfn.IFERROR(B333/B336,"n/a")</f>
        <v>0.2249622746406163</v>
      </c>
      <c r="C332" s="15">
        <f t="shared" si="93"/>
        <v>0.23538335861827517</v>
      </c>
      <c r="D332" s="15">
        <f t="shared" si="93"/>
        <v>0.22254978019136282</v>
      </c>
      <c r="E332" s="15">
        <f t="shared" si="93"/>
        <v>0.19136735419630158</v>
      </c>
      <c r="F332" s="15">
        <f t="shared" si="93"/>
        <v>0.21439246596376293</v>
      </c>
      <c r="G332" s="2" t="s">
        <v>399</v>
      </c>
      <c r="H332" s="2"/>
      <c r="I332" s="2"/>
      <c r="J332" s="2"/>
      <c r="K332" s="2"/>
    </row>
    <row r="333" ht="15" customHeight="1">
      <c r="A333" s="29" t="s">
        <v>406</v>
      </c>
      <c r="B333" s="40">
        <v>5665</v>
      </c>
      <c r="C333" s="14">
        <f t="shared" si="94" ref="C333:C334">B148-C148</f>
        <v>6051</v>
      </c>
      <c r="D333" s="40">
        <v>4303</v>
      </c>
      <c r="E333" s="40">
        <v>4305</v>
      </c>
      <c r="F333" s="14">
        <f t="shared" si="95" ref="F333:F334">B148</f>
        <v>20944</v>
      </c>
      <c r="G333" s="2" t="s">
        <v>399</v>
      </c>
      <c r="H333" s="2"/>
      <c r="I333" s="2"/>
      <c r="J333" s="2"/>
      <c r="K333" s="2"/>
    </row>
    <row r="334" ht="15" customHeight="1">
      <c r="A334" s="29" t="s">
        <v>407</v>
      </c>
      <c r="B334" s="40">
        <v>6933</v>
      </c>
      <c r="C334" s="14">
        <f t="shared" si="94"/>
        <v>7533</v>
      </c>
      <c r="D334" s="40">
        <v>4699</v>
      </c>
      <c r="E334" s="40">
        <v>6382</v>
      </c>
      <c r="F334" s="14">
        <f t="shared" si="95"/>
        <v>29021</v>
      </c>
      <c r="G334" s="2" t="s">
        <v>399</v>
      </c>
      <c r="H334" s="2"/>
      <c r="I334" s="2"/>
      <c r="J334" s="2"/>
      <c r="K334" s="2"/>
    </row>
    <row r="335" ht="15" customHeight="1">
      <c r="A335" s="31" t="s">
        <v>409</v>
      </c>
      <c r="B335" s="15">
        <f t="shared" si="96" ref="B335:F335">_xlfn.IFERROR(B334/B336,"n/a")</f>
        <v>0.2753157016916845</v>
      </c>
      <c r="C335" s="15">
        <f t="shared" si="96"/>
        <v>0.29303302602404013</v>
      </c>
      <c r="D335" s="15">
        <f t="shared" si="96"/>
        <v>0.2430307732092061</v>
      </c>
      <c r="E335" s="15">
        <f t="shared" si="96"/>
        <v>0.28369487908961594</v>
      </c>
      <c r="F335" s="15">
        <f t="shared" si="96"/>
        <v>0.29707237178831</v>
      </c>
      <c r="G335" s="2" t="s">
        <v>399</v>
      </c>
      <c r="H335" s="2"/>
      <c r="I335" s="2"/>
      <c r="J335" s="2"/>
      <c r="K335" s="2"/>
    </row>
    <row r="336" ht="15" customHeight="1">
      <c r="A336" s="3" t="s">
        <v>410</v>
      </c>
      <c r="B336" s="34">
        <f t="shared" si="97" ref="B336:F336">_xlfn.IFERROR(B331+B333+B334,"n/a")</f>
        <v>25182</v>
      </c>
      <c r="C336" s="34">
        <f t="shared" si="97"/>
        <v>25707</v>
      </c>
      <c r="D336" s="34">
        <f t="shared" si="97"/>
        <v>19335</v>
      </c>
      <c r="E336" s="34">
        <f t="shared" si="97"/>
        <v>22496</v>
      </c>
      <c r="F336" s="34">
        <f t="shared" si="97"/>
        <v>97690</v>
      </c>
      <c r="G336" s="2" t="s">
        <v>399</v>
      </c>
      <c r="H336" s="2"/>
      <c r="I336" s="2"/>
      <c r="J336" s="2"/>
      <c r="K336" s="2"/>
    </row>
    <row r="337" ht="15" customHeight="1">
      <c r="A337" s="29" t="s">
        <v>416</v>
      </c>
      <c r="B337" s="40">
        <v>3198</v>
      </c>
      <c r="C337" s="40">
        <v>3213</v>
      </c>
      <c r="D337" s="40">
        <v>3218</v>
      </c>
      <c r="E337" s="40">
        <v>3223</v>
      </c>
      <c r="F337" s="40">
        <v>3197</v>
      </c>
      <c r="G337" s="2" t="s">
        <v>804</v>
      </c>
      <c r="H337" s="2"/>
      <c r="I337" s="2"/>
      <c r="J337" s="2"/>
      <c r="K337" s="2"/>
    </row>
    <row r="338" ht="15" customHeight="1">
      <c r="A338" s="3" t="s">
        <v>420</v>
      </c>
      <c r="B338" s="82">
        <v>3497</v>
      </c>
      <c r="C338" s="82">
        <v>3517</v>
      </c>
      <c r="D338" s="82">
        <v>3521</v>
      </c>
      <c r="E338" s="82">
        <v>3519</v>
      </c>
      <c r="F338" s="82">
        <v>3498</v>
      </c>
      <c r="G338" s="2" t="s">
        <v>804</v>
      </c>
      <c r="H338" s="2"/>
      <c r="I338" s="2"/>
      <c r="J338" s="2"/>
      <c r="K338" s="2"/>
    </row>
    <row r="339" ht="15" customHeight="1">
      <c r="A339" s="29" t="s">
        <v>429</v>
      </c>
      <c r="B339" s="14" t="s">
        <v>31</v>
      </c>
      <c r="C339" s="14" t="s">
        <v>31</v>
      </c>
      <c r="D339" s="14">
        <f t="shared" si="98" ref="D339:E339">_xlfn.IFERROR(D320,"n/a")</f>
        <v>313</v>
      </c>
      <c r="E339" s="14">
        <f t="shared" si="98"/>
        <v>215</v>
      </c>
      <c r="F339" s="14" t="s">
        <v>31</v>
      </c>
      <c r="G339" s="2" t="s">
        <v>804</v>
      </c>
      <c r="H339" s="2"/>
      <c r="I339" s="2"/>
      <c r="J339" s="2"/>
      <c r="K339" s="2"/>
    </row>
    <row r="340" ht="15" customHeight="1">
      <c r="A340" s="29" t="s">
        <v>431</v>
      </c>
      <c r="B340" s="14">
        <f t="shared" si="99" ref="B340:F340">_xlfn.IFERROR(B284,"n/a")</f>
        <v>2505</v>
      </c>
      <c r="C340" s="14">
        <f t="shared" si="99"/>
        <v>2104</v>
      </c>
      <c r="D340" s="14">
        <f t="shared" si="99"/>
        <v>934</v>
      </c>
      <c r="E340" s="14">
        <f t="shared" si="99"/>
        <v>1393</v>
      </c>
      <c r="F340" s="14">
        <f t="shared" si="99"/>
        <v>7999</v>
      </c>
      <c r="G340" s="2" t="s">
        <v>804</v>
      </c>
      <c r="H340" s="2"/>
      <c r="I340" s="2"/>
      <c r="J340" s="2"/>
      <c r="K340" s="2"/>
    </row>
    <row r="341" ht="15" customHeight="1">
      <c r="A341" s="29" t="s">
        <v>432</v>
      </c>
      <c r="B341" s="14">
        <f t="shared" si="100" ref="B341:F341">_xlfn.IFERROR(B338,"n/a")</f>
        <v>3497</v>
      </c>
      <c r="C341" s="14">
        <f t="shared" si="100"/>
        <v>3517</v>
      </c>
      <c r="D341" s="14">
        <f t="shared" si="100"/>
        <v>3521</v>
      </c>
      <c r="E341" s="14">
        <f t="shared" si="100"/>
        <v>3519</v>
      </c>
      <c r="F341" s="14">
        <f t="shared" si="100"/>
        <v>3498</v>
      </c>
      <c r="G341" s="2" t="s">
        <v>804</v>
      </c>
      <c r="H341" s="2"/>
      <c r="I341" s="2"/>
      <c r="J341" s="2"/>
      <c r="K341" s="2"/>
    </row>
    <row r="342" ht="15" customHeight="1">
      <c r="A342" s="3" t="s">
        <v>433</v>
      </c>
      <c r="B342" s="72">
        <f t="shared" si="12"/>
        <v>0.7163282813840435</v>
      </c>
      <c r="C342" s="72">
        <f t="shared" si="12"/>
        <v>0.5982371339209553</v>
      </c>
      <c r="D342" s="72">
        <f t="shared" si="12"/>
        <v>0.26526554955978415</v>
      </c>
      <c r="E342" s="72">
        <f t="shared" si="12"/>
        <v>0.39585109406081276</v>
      </c>
      <c r="F342" s="72">
        <f t="shared" si="12"/>
        <v>2.286735277301315</v>
      </c>
      <c r="G342" s="2" t="s">
        <v>804</v>
      </c>
      <c r="H342" s="2"/>
      <c r="I342" s="2"/>
      <c r="J342" s="2"/>
      <c r="K342" s="2"/>
    </row>
    <row r="343" ht="15" customHeight="1">
      <c r="A343" s="29" t="s">
        <v>434</v>
      </c>
      <c r="B343" s="14">
        <f t="shared" si="101" ref="B343:F343">_xlfn.IFERROR(B269,"n/a")</f>
        <v>2173</v>
      </c>
      <c r="C343" s="14">
        <f t="shared" si="101"/>
        <v>2125</v>
      </c>
      <c r="D343" s="14">
        <f t="shared" si="101"/>
        <v>409</v>
      </c>
      <c r="E343" s="14">
        <f t="shared" si="101"/>
        <v>1172</v>
      </c>
      <c r="F343" s="14">
        <f t="shared" si="101"/>
        <v>7130</v>
      </c>
      <c r="G343" s="2" t="s">
        <v>804</v>
      </c>
      <c r="H343" s="2"/>
      <c r="I343" s="2"/>
      <c r="J343" s="2"/>
      <c r="K343" s="2"/>
    </row>
    <row r="344" ht="15" customHeight="1">
      <c r="A344" s="3" t="s">
        <v>435</v>
      </c>
      <c r="B344" s="72">
        <f t="shared" si="102" ref="B344:F344">_xlfn.IFERROR(B343/B341,"n/a")</f>
        <v>0.6213897626537032</v>
      </c>
      <c r="C344" s="72">
        <f t="shared" si="102"/>
        <v>0.6042081319306227</v>
      </c>
      <c r="D344" s="72">
        <f t="shared" si="102"/>
        <v>0.1161601817665436</v>
      </c>
      <c r="E344" s="72">
        <f t="shared" si="102"/>
        <v>0.333049161693663</v>
      </c>
      <c r="F344" s="72">
        <f t="shared" si="102"/>
        <v>2.03830760434534</v>
      </c>
      <c r="G344" s="2" t="s">
        <v>804</v>
      </c>
      <c r="H344" s="2"/>
      <c r="I344" s="2"/>
      <c r="J344" s="2"/>
      <c r="K344" s="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2026-10-19T23:11:50Z</dcterms:created>
</cp:coreProperties>
</file>